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G:\My Drive\PhD - Custado\Writing\2024_DEI_SEA\for_submission\R1\"/>
    </mc:Choice>
  </mc:AlternateContent>
  <xr:revisionPtr revIDLastSave="0" documentId="13_ncr:1_{BDA090D3-23D3-480F-9CBF-C664CA624296}" xr6:coauthVersionLast="47" xr6:coauthVersionMax="47" xr10:uidLastSave="{00000000-0000-0000-0000-000000000000}"/>
  <bookViews>
    <workbookView xWindow="2660" yWindow="2660" windowWidth="28800" windowHeight="15370" activeTab="4" xr2:uid="{37B3673E-7972-465C-9D9B-E501156860D7}"/>
  </bookViews>
  <sheets>
    <sheet name="data_notes" sheetId="4" r:id="rId1"/>
    <sheet name="complete_dataset" sheetId="6" r:id="rId2"/>
    <sheet name="figures" sheetId="5" r:id="rId3"/>
    <sheet name="author_data_clean" sheetId="1" r:id="rId4"/>
    <sheet name="publication_data_clean" sheetId="2" r:id="rId5"/>
    <sheet name="funding_statement_data_clean"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34" i="6" l="1"/>
  <c r="AD733" i="6"/>
  <c r="Y733" i="6"/>
  <c r="AD732" i="6"/>
  <c r="Y732" i="6"/>
  <c r="AD731" i="6"/>
  <c r="Y731" i="6"/>
  <c r="AD730" i="6"/>
  <c r="Y730" i="6"/>
  <c r="AD729" i="6"/>
  <c r="Y729" i="6"/>
  <c r="AD728" i="6"/>
  <c r="Y728" i="6"/>
  <c r="AD727" i="6"/>
  <c r="Y727" i="6"/>
  <c r="AD726" i="6"/>
  <c r="Y726" i="6"/>
  <c r="AD725" i="6"/>
  <c r="Y725" i="6"/>
  <c r="AD724" i="6"/>
  <c r="Y724" i="6"/>
  <c r="AD723" i="6"/>
  <c r="Y723" i="6"/>
  <c r="AD722" i="6"/>
  <c r="Y722" i="6"/>
  <c r="AD721" i="6"/>
  <c r="Y721" i="6"/>
  <c r="AD720" i="6"/>
  <c r="Y720" i="6"/>
  <c r="AD719" i="6"/>
  <c r="Y719" i="6"/>
  <c r="AD718" i="6"/>
  <c r="Y718" i="6"/>
  <c r="AD717" i="6"/>
  <c r="Y717" i="6"/>
  <c r="AD716" i="6"/>
  <c r="Y716" i="6"/>
  <c r="AD715" i="6"/>
  <c r="Y715" i="6"/>
  <c r="AD714" i="6"/>
  <c r="Y714" i="6"/>
  <c r="AD713" i="6"/>
  <c r="Y713" i="6"/>
  <c r="AD712" i="6"/>
  <c r="Y712" i="6"/>
  <c r="AD711" i="6"/>
  <c r="Y711" i="6"/>
  <c r="AD710" i="6"/>
  <c r="Y710" i="6"/>
  <c r="AD709" i="6"/>
  <c r="Y709" i="6"/>
  <c r="AD708" i="6"/>
  <c r="Y708" i="6"/>
  <c r="AD707" i="6"/>
  <c r="Y707" i="6"/>
  <c r="AD706" i="6"/>
  <c r="Y706" i="6"/>
  <c r="AD705" i="6"/>
  <c r="Y705" i="6"/>
  <c r="AD704" i="6"/>
  <c r="Y704" i="6"/>
  <c r="AD703" i="6"/>
  <c r="Y703" i="6"/>
  <c r="AD702" i="6"/>
  <c r="Y702" i="6"/>
  <c r="AD701" i="6"/>
  <c r="Y701" i="6"/>
  <c r="AD700" i="6"/>
  <c r="Y700" i="6"/>
  <c r="AD699" i="6"/>
  <c r="Y699" i="6"/>
  <c r="AD698" i="6"/>
  <c r="Y698" i="6"/>
  <c r="AD697" i="6"/>
  <c r="Y697" i="6"/>
  <c r="AD696" i="6"/>
  <c r="Y696" i="6"/>
  <c r="AD695" i="6"/>
  <c r="Y695" i="6"/>
  <c r="AD694" i="6"/>
  <c r="Y694" i="6"/>
  <c r="AD693" i="6"/>
  <c r="Y693" i="6"/>
  <c r="AD692" i="6"/>
  <c r="Y692" i="6"/>
  <c r="AD691" i="6"/>
  <c r="Y691" i="6"/>
  <c r="AD690" i="6"/>
  <c r="AD689" i="6"/>
  <c r="Y689" i="6"/>
  <c r="AD688" i="6"/>
  <c r="Y688" i="6"/>
  <c r="AD687" i="6"/>
  <c r="Y687" i="6"/>
  <c r="AD686" i="6"/>
  <c r="Y686" i="6"/>
  <c r="AD685" i="6"/>
  <c r="Y685" i="6"/>
  <c r="AD684" i="6"/>
  <c r="Y684" i="6"/>
  <c r="AD683" i="6"/>
  <c r="Y683" i="6"/>
  <c r="AD682" i="6"/>
  <c r="Y682" i="6"/>
  <c r="AD681" i="6"/>
  <c r="Y681" i="6"/>
  <c r="AD680" i="6"/>
  <c r="Y680" i="6"/>
  <c r="AD679" i="6"/>
  <c r="Y679" i="6"/>
  <c r="AD678" i="6"/>
  <c r="Y678" i="6"/>
  <c r="AD677" i="6"/>
  <c r="Y677" i="6"/>
  <c r="AD676" i="6"/>
  <c r="Y676" i="6"/>
  <c r="AD675" i="6"/>
  <c r="Y675" i="6"/>
  <c r="AD674" i="6"/>
  <c r="Y674" i="6"/>
  <c r="AD673" i="6"/>
  <c r="Y673" i="6"/>
  <c r="AD672" i="6"/>
  <c r="Y672" i="6"/>
  <c r="AD671" i="6"/>
  <c r="Y671" i="6"/>
  <c r="AD670" i="6"/>
  <c r="Y670" i="6"/>
  <c r="AD669" i="6"/>
  <c r="Y669" i="6"/>
  <c r="AD668" i="6"/>
  <c r="Y668" i="6"/>
  <c r="AD667" i="6"/>
  <c r="Y667" i="6"/>
  <c r="AD666" i="6"/>
  <c r="Y666" i="6"/>
  <c r="AD665" i="6"/>
  <c r="Y665" i="6"/>
  <c r="AD664" i="6"/>
  <c r="Y664" i="6"/>
  <c r="AD663" i="6"/>
  <c r="Y663" i="6"/>
  <c r="AD662" i="6"/>
  <c r="Y662" i="6"/>
  <c r="AD661" i="6"/>
  <c r="Y661" i="6"/>
  <c r="AD660" i="6"/>
  <c r="Y660" i="6"/>
  <c r="AD659" i="6"/>
  <c r="Y659" i="6"/>
  <c r="AD658" i="6"/>
  <c r="Y658" i="6"/>
  <c r="AD657" i="6"/>
  <c r="Y657" i="6"/>
  <c r="AD656" i="6"/>
  <c r="Y656" i="6"/>
  <c r="AD655" i="6"/>
  <c r="Y655" i="6"/>
  <c r="AD654" i="6"/>
  <c r="Y654" i="6"/>
  <c r="AD653" i="6"/>
  <c r="Y653" i="6"/>
  <c r="AD652" i="6"/>
  <c r="Y652" i="6"/>
  <c r="AD651" i="6"/>
  <c r="Y651" i="6"/>
  <c r="AD650" i="6"/>
  <c r="Y650" i="6"/>
  <c r="AD649" i="6"/>
  <c r="Y649" i="6"/>
  <c r="AD648" i="6"/>
  <c r="Y648" i="6"/>
  <c r="AD647" i="6"/>
  <c r="Y647" i="6"/>
  <c r="AD646" i="6"/>
  <c r="Y646" i="6"/>
  <c r="AD645" i="6"/>
  <c r="Y645" i="6"/>
  <c r="AD644" i="6"/>
  <c r="Y644" i="6"/>
  <c r="AD643" i="6"/>
  <c r="Y643" i="6"/>
  <c r="AD642" i="6"/>
  <c r="Y642" i="6"/>
  <c r="AD641" i="6"/>
  <c r="Y641" i="6"/>
  <c r="AD640" i="6"/>
  <c r="Y640" i="6"/>
  <c r="AD639" i="6"/>
  <c r="Y639" i="6"/>
  <c r="AD638" i="6"/>
  <c r="Y638" i="6"/>
  <c r="AD637" i="6"/>
  <c r="Y637" i="6"/>
  <c r="AD636" i="6"/>
  <c r="Y636" i="6"/>
  <c r="AD635" i="6"/>
  <c r="Y635" i="6"/>
  <c r="AD634" i="6"/>
  <c r="Y634" i="6"/>
  <c r="AD633" i="6"/>
  <c r="Y633" i="6"/>
  <c r="AD632" i="6"/>
  <c r="Y632" i="6"/>
  <c r="AD631" i="6"/>
  <c r="Y631" i="6"/>
  <c r="AD630" i="6"/>
  <c r="Y630" i="6"/>
  <c r="AD629" i="6"/>
  <c r="Y629" i="6"/>
  <c r="AD628" i="6"/>
  <c r="Y628" i="6"/>
  <c r="AD627" i="6"/>
  <c r="Y627" i="6"/>
  <c r="AD626" i="6"/>
  <c r="Y626" i="6"/>
  <c r="AD625" i="6"/>
  <c r="Y625" i="6"/>
  <c r="AD624" i="6"/>
  <c r="Y624" i="6"/>
  <c r="AD623" i="6"/>
  <c r="Y623" i="6"/>
  <c r="AD622" i="6"/>
  <c r="Y622" i="6"/>
  <c r="AD621" i="6"/>
  <c r="Y621" i="6"/>
  <c r="AD620" i="6"/>
  <c r="Y620" i="6"/>
  <c r="AD619" i="6"/>
  <c r="Y619" i="6"/>
  <c r="AD618" i="6"/>
  <c r="Y618" i="6"/>
  <c r="AD617" i="6"/>
  <c r="Y617" i="6"/>
  <c r="AD616" i="6"/>
  <c r="Y616" i="6"/>
  <c r="AD615" i="6"/>
  <c r="Y615" i="6"/>
  <c r="AD614" i="6"/>
  <c r="Y614" i="6"/>
  <c r="AD613" i="6"/>
  <c r="Y613" i="6"/>
  <c r="AD612" i="6"/>
  <c r="Y612" i="6"/>
  <c r="AD611" i="6"/>
  <c r="Y611" i="6"/>
  <c r="AD610" i="6"/>
  <c r="Y610" i="6"/>
  <c r="AD609" i="6"/>
  <c r="Y609" i="6"/>
  <c r="AD608" i="6"/>
  <c r="Y608" i="6"/>
  <c r="AD607" i="6"/>
  <c r="Y607" i="6"/>
  <c r="AD606" i="6"/>
  <c r="Y606" i="6"/>
  <c r="AD605" i="6"/>
  <c r="Y605" i="6"/>
  <c r="AD604" i="6"/>
  <c r="Y604" i="6"/>
  <c r="AD603" i="6"/>
  <c r="Y603" i="6"/>
  <c r="AD602" i="6"/>
  <c r="Y602" i="6"/>
  <c r="AD601" i="6"/>
  <c r="Y601" i="6"/>
  <c r="AD600" i="6"/>
  <c r="Y600" i="6"/>
  <c r="AD599" i="6"/>
  <c r="Y599" i="6"/>
  <c r="AD598" i="6"/>
  <c r="Y598" i="6"/>
  <c r="AD597" i="6"/>
  <c r="Y597" i="6"/>
  <c r="AD596" i="6"/>
  <c r="Y596" i="6"/>
  <c r="AD595" i="6"/>
  <c r="Y595" i="6"/>
  <c r="AD594" i="6"/>
  <c r="Y594" i="6"/>
  <c r="AD593" i="6"/>
  <c r="Y593" i="6"/>
  <c r="AD592" i="6"/>
  <c r="Y592" i="6"/>
  <c r="AD591" i="6"/>
  <c r="Y591" i="6"/>
  <c r="AD590" i="6"/>
  <c r="Y590" i="6"/>
  <c r="AD589" i="6"/>
  <c r="Y589" i="6"/>
  <c r="AD588" i="6"/>
  <c r="Y588" i="6"/>
  <c r="AD587" i="6"/>
  <c r="Y587" i="6"/>
  <c r="AD586" i="6"/>
  <c r="Y586" i="6"/>
  <c r="AD585" i="6"/>
  <c r="Y585" i="6"/>
  <c r="AD584" i="6"/>
  <c r="Y584" i="6"/>
  <c r="AD583" i="6"/>
  <c r="Y583" i="6"/>
  <c r="AD582" i="6"/>
  <c r="Y582" i="6"/>
  <c r="AD581" i="6"/>
  <c r="Y581" i="6"/>
  <c r="AD580" i="6"/>
  <c r="Y580" i="6"/>
  <c r="AD579" i="6"/>
  <c r="Y579" i="6"/>
  <c r="AD578" i="6"/>
  <c r="Y578" i="6"/>
  <c r="AD577" i="6"/>
  <c r="Y577" i="6"/>
  <c r="AD576" i="6"/>
  <c r="Y576" i="6"/>
  <c r="AD575" i="6"/>
  <c r="Y575" i="6"/>
  <c r="AD574" i="6"/>
  <c r="Y574" i="6"/>
  <c r="AD573" i="6"/>
  <c r="Y573" i="6"/>
  <c r="AD572" i="6"/>
  <c r="Y572" i="6"/>
  <c r="AD571" i="6"/>
  <c r="Y571" i="6"/>
  <c r="AD570" i="6"/>
  <c r="Y570" i="6"/>
  <c r="AD569" i="6"/>
  <c r="Y569" i="6"/>
  <c r="AD568" i="6"/>
  <c r="Y568" i="6"/>
  <c r="AD567" i="6"/>
  <c r="Y567" i="6"/>
  <c r="AD566" i="6"/>
  <c r="Y566" i="6"/>
  <c r="AD565" i="6"/>
  <c r="Y565" i="6"/>
  <c r="AD564" i="6"/>
  <c r="Y564" i="6"/>
  <c r="AD563" i="6"/>
  <c r="Y563" i="6"/>
  <c r="AD562" i="6"/>
  <c r="Y562" i="6"/>
  <c r="AD561" i="6"/>
  <c r="Y561" i="6"/>
  <c r="AD560" i="6"/>
  <c r="Y560" i="6"/>
  <c r="AD559" i="6"/>
  <c r="Y559" i="6"/>
  <c r="AD558" i="6"/>
  <c r="Y558" i="6"/>
  <c r="AD557" i="6"/>
  <c r="Y557" i="6"/>
  <c r="AD556" i="6"/>
  <c r="Y556" i="6"/>
  <c r="AD555" i="6"/>
  <c r="Y555" i="6"/>
  <c r="AD554" i="6"/>
  <c r="Y554" i="6"/>
  <c r="AD553" i="6"/>
  <c r="Y553" i="6"/>
  <c r="AD552" i="6"/>
  <c r="Y552" i="6"/>
  <c r="AD551" i="6"/>
  <c r="Y551" i="6"/>
  <c r="AD550" i="6"/>
  <c r="Y550" i="6"/>
  <c r="AD549" i="6"/>
  <c r="Y549" i="6"/>
  <c r="AD548" i="6"/>
  <c r="Y548" i="6"/>
  <c r="AD547" i="6"/>
  <c r="Y547" i="6"/>
  <c r="AD546" i="6"/>
  <c r="Y546" i="6"/>
  <c r="AD545" i="6"/>
  <c r="Y545" i="6"/>
  <c r="AD544" i="6"/>
  <c r="Y544" i="6"/>
  <c r="AD543" i="6"/>
  <c r="Y543" i="6"/>
  <c r="AD542" i="6"/>
  <c r="Y542" i="6"/>
  <c r="AD541" i="6"/>
  <c r="Y541" i="6"/>
  <c r="AD540" i="6"/>
  <c r="Y540" i="6"/>
  <c r="AD539" i="6"/>
  <c r="Y539" i="6"/>
  <c r="AD538" i="6"/>
  <c r="Y538" i="6"/>
  <c r="AD537" i="6"/>
  <c r="Y537" i="6"/>
  <c r="AD536" i="6"/>
  <c r="Y536" i="6"/>
  <c r="AD535" i="6"/>
  <c r="Y535" i="6"/>
  <c r="AD534" i="6"/>
  <c r="Y534" i="6"/>
  <c r="AD533" i="6"/>
  <c r="Y533" i="6"/>
  <c r="AD532" i="6"/>
  <c r="Y532" i="6"/>
  <c r="AD531" i="6"/>
  <c r="Y531" i="6"/>
  <c r="AD530" i="6"/>
  <c r="Y530" i="6"/>
  <c r="AD529" i="6"/>
  <c r="Y529" i="6"/>
  <c r="AD528" i="6"/>
  <c r="Y528" i="6"/>
  <c r="AD527" i="6"/>
  <c r="Y527" i="6"/>
  <c r="AD526" i="6"/>
  <c r="Y526" i="6"/>
  <c r="AD525" i="6"/>
  <c r="Y525" i="6"/>
  <c r="AD524" i="6"/>
  <c r="Y524" i="6"/>
  <c r="AD523" i="6"/>
  <c r="Y523" i="6"/>
  <c r="AD522" i="6"/>
  <c r="Y522" i="6"/>
  <c r="AD521" i="6"/>
  <c r="Y521" i="6"/>
  <c r="AD520" i="6"/>
  <c r="Y520" i="6"/>
  <c r="AD519" i="6"/>
  <c r="Y519" i="6"/>
  <c r="AD518" i="6"/>
  <c r="Y518" i="6"/>
  <c r="AD517" i="6"/>
  <c r="Y517" i="6"/>
  <c r="AD516" i="6"/>
  <c r="Y516" i="6"/>
  <c r="AD515" i="6"/>
  <c r="Y515" i="6"/>
  <c r="AD514" i="6"/>
  <c r="Y514" i="6"/>
  <c r="AD513" i="6"/>
  <c r="Y513" i="6"/>
  <c r="AD512" i="6"/>
  <c r="Y512" i="6"/>
  <c r="AD511" i="6"/>
  <c r="Y511" i="6"/>
  <c r="AD510" i="6"/>
  <c r="Y510" i="6"/>
  <c r="AD509" i="6"/>
  <c r="Y509" i="6"/>
  <c r="AD508" i="6"/>
  <c r="Y508" i="6"/>
  <c r="AD507" i="6"/>
  <c r="Y507" i="6"/>
  <c r="AD506" i="6"/>
  <c r="Y506" i="6"/>
  <c r="AD505" i="6"/>
  <c r="Y505" i="6"/>
  <c r="AD504" i="6"/>
  <c r="Y504" i="6"/>
  <c r="AD503" i="6"/>
  <c r="Y503" i="6"/>
  <c r="AD502" i="6"/>
  <c r="Y502" i="6"/>
  <c r="AD501" i="6"/>
  <c r="Y501" i="6"/>
  <c r="AD500" i="6"/>
  <c r="Y500" i="6"/>
  <c r="AD499" i="6"/>
  <c r="Y499" i="6"/>
  <c r="AD498" i="6"/>
  <c r="Y498" i="6"/>
  <c r="AD497" i="6"/>
  <c r="Y497" i="6"/>
  <c r="AD496" i="6"/>
  <c r="Y496" i="6"/>
  <c r="AD495" i="6"/>
  <c r="Y495" i="6"/>
  <c r="AD494" i="6"/>
  <c r="Y494" i="6"/>
  <c r="AD493" i="6"/>
  <c r="Y493" i="6"/>
  <c r="AD492" i="6"/>
  <c r="Y492" i="6"/>
  <c r="AD491" i="6"/>
  <c r="Y491" i="6"/>
  <c r="AD490" i="6"/>
  <c r="Y490" i="6"/>
  <c r="AD489" i="6"/>
  <c r="Y489" i="6"/>
  <c r="AD488" i="6"/>
  <c r="Y488" i="6"/>
  <c r="AD487" i="6"/>
  <c r="Y487" i="6"/>
  <c r="AD486" i="6"/>
  <c r="Y486" i="6"/>
  <c r="AD485" i="6"/>
  <c r="Y485" i="6"/>
  <c r="AD484" i="6"/>
  <c r="Y484" i="6"/>
  <c r="AD483" i="6"/>
  <c r="Y483" i="6"/>
  <c r="AD482" i="6"/>
  <c r="Y482" i="6"/>
  <c r="AD481" i="6"/>
  <c r="AD480" i="6"/>
  <c r="Y480" i="6"/>
  <c r="AD479" i="6"/>
  <c r="Y479" i="6"/>
  <c r="AD478" i="6"/>
  <c r="Y478" i="6"/>
  <c r="AD477" i="6"/>
  <c r="Y477" i="6"/>
  <c r="AD476" i="6"/>
  <c r="Y476" i="6"/>
  <c r="AD475" i="6"/>
  <c r="Y475" i="6"/>
  <c r="AD474" i="6"/>
  <c r="Y474" i="6"/>
  <c r="AD473" i="6"/>
  <c r="Y473" i="6"/>
  <c r="AD472" i="6"/>
  <c r="Y472" i="6"/>
  <c r="AD471" i="6"/>
  <c r="Y471" i="6"/>
  <c r="AD470" i="6"/>
  <c r="Y470" i="6"/>
  <c r="AD469" i="6"/>
  <c r="Y469" i="6"/>
  <c r="AD468" i="6"/>
  <c r="Y468" i="6"/>
  <c r="AD467" i="6"/>
  <c r="Y467" i="6"/>
  <c r="AD466" i="6"/>
  <c r="Y466" i="6"/>
  <c r="AD465" i="6"/>
  <c r="Y465" i="6"/>
  <c r="AD464" i="6"/>
  <c r="Y464" i="6"/>
  <c r="AD463" i="6"/>
  <c r="Y463" i="6"/>
  <c r="AD462" i="6"/>
  <c r="Y462" i="6"/>
  <c r="AD461" i="6"/>
  <c r="Y461" i="6"/>
  <c r="AD460" i="6"/>
  <c r="Y460" i="6"/>
  <c r="AD459" i="6"/>
  <c r="Y459" i="6"/>
  <c r="AD458" i="6"/>
  <c r="Y458" i="6"/>
  <c r="AD457" i="6"/>
  <c r="Y457" i="6"/>
  <c r="AD456" i="6"/>
  <c r="Y456" i="6"/>
  <c r="AD455" i="6"/>
  <c r="AD454" i="6"/>
  <c r="Y454" i="6"/>
  <c r="AD453" i="6"/>
  <c r="Y453" i="6"/>
  <c r="AD452" i="6"/>
  <c r="Y452" i="6"/>
  <c r="AD451" i="6"/>
  <c r="Y451" i="6"/>
  <c r="AD450" i="6"/>
  <c r="Y450" i="6"/>
  <c r="AD449" i="6"/>
  <c r="Y449" i="6"/>
  <c r="AD448" i="6"/>
  <c r="Y448" i="6"/>
  <c r="AD447" i="6"/>
  <c r="Y447" i="6"/>
  <c r="AD446" i="6"/>
  <c r="Y446" i="6"/>
  <c r="AD445" i="6"/>
  <c r="Y445" i="6"/>
  <c r="AD444" i="6"/>
  <c r="Y444" i="6"/>
  <c r="AD443" i="6"/>
  <c r="Y443" i="6"/>
  <c r="AD442" i="6"/>
  <c r="Y442" i="6"/>
  <c r="AD441" i="6"/>
  <c r="Y441" i="6"/>
  <c r="AD440" i="6"/>
  <c r="Y440" i="6"/>
  <c r="AD439" i="6"/>
  <c r="Y439" i="6"/>
  <c r="AD438" i="6"/>
  <c r="Y438" i="6"/>
  <c r="AD437" i="6"/>
  <c r="Y437" i="6"/>
  <c r="AD436" i="6"/>
  <c r="AD435" i="6"/>
  <c r="Y435" i="6"/>
  <c r="AD434" i="6"/>
  <c r="Y434" i="6"/>
  <c r="AD433" i="6"/>
  <c r="Y433" i="6"/>
  <c r="AD432" i="6"/>
  <c r="Y432" i="6"/>
  <c r="AD431" i="6"/>
  <c r="Y431" i="6"/>
  <c r="AD430" i="6"/>
  <c r="Y430" i="6"/>
  <c r="AD429" i="6"/>
  <c r="Y429" i="6"/>
  <c r="AD428" i="6"/>
  <c r="Y428" i="6"/>
  <c r="AD427" i="6"/>
  <c r="Y427" i="6"/>
  <c r="AD426" i="6"/>
  <c r="Y426" i="6"/>
  <c r="AD425" i="6"/>
  <c r="Y425" i="6"/>
  <c r="AD424" i="6"/>
  <c r="Y424" i="6"/>
  <c r="AD423" i="6"/>
  <c r="Y423" i="6"/>
  <c r="AD422" i="6"/>
  <c r="Y422" i="6"/>
  <c r="AD421" i="6"/>
  <c r="Y421" i="6"/>
  <c r="AD420" i="6"/>
  <c r="Y420" i="6"/>
  <c r="AD419" i="6"/>
  <c r="Y419" i="6"/>
  <c r="AD418" i="6"/>
  <c r="Y418" i="6"/>
  <c r="AD417" i="6"/>
  <c r="Y417" i="6"/>
  <c r="AD416" i="6"/>
  <c r="Y416" i="6"/>
  <c r="AD415" i="6"/>
  <c r="Y415" i="6"/>
  <c r="AD414" i="6"/>
  <c r="Y414" i="6"/>
  <c r="AD413" i="6"/>
  <c r="Y413" i="6"/>
  <c r="AD412" i="6"/>
  <c r="Y412" i="6"/>
  <c r="AD411" i="6"/>
  <c r="Y411" i="6"/>
  <c r="AD410" i="6"/>
  <c r="Y410" i="6"/>
  <c r="AD409" i="6"/>
  <c r="Y409" i="6"/>
  <c r="AD408" i="6"/>
  <c r="Y408" i="6"/>
  <c r="AD407" i="6"/>
  <c r="Y407" i="6"/>
  <c r="AD406" i="6"/>
  <c r="Y406" i="6"/>
  <c r="AD405" i="6"/>
  <c r="Y405" i="6"/>
  <c r="AD404" i="6"/>
  <c r="Y404" i="6"/>
  <c r="AD403" i="6"/>
  <c r="Y403" i="6"/>
  <c r="AD402" i="6"/>
  <c r="Y402" i="6"/>
  <c r="AD401" i="6"/>
  <c r="Y401" i="6"/>
  <c r="AD400" i="6"/>
  <c r="Y400" i="6"/>
  <c r="AD399" i="6"/>
  <c r="Y399" i="6"/>
  <c r="AD398" i="6"/>
  <c r="AD397" i="6"/>
  <c r="Y397" i="6"/>
  <c r="AD396" i="6"/>
  <c r="Y396" i="6"/>
  <c r="AD395" i="6"/>
  <c r="Y395" i="6"/>
  <c r="AD394" i="6"/>
  <c r="Y394" i="6"/>
  <c r="AD393" i="6"/>
  <c r="Y393" i="6"/>
  <c r="AD392" i="6"/>
  <c r="Y392" i="6"/>
  <c r="AD391" i="6"/>
  <c r="Y391" i="6"/>
  <c r="AD390" i="6"/>
  <c r="Y390" i="6"/>
  <c r="AD389" i="6"/>
  <c r="Y389" i="6"/>
  <c r="AD388" i="6"/>
  <c r="Y388" i="6"/>
  <c r="AD387" i="6"/>
  <c r="Y387" i="6"/>
  <c r="AD386" i="6"/>
  <c r="Y386" i="6"/>
  <c r="AD385" i="6"/>
  <c r="Y385" i="6"/>
  <c r="AD384" i="6"/>
  <c r="Y384" i="6"/>
  <c r="AD383" i="6"/>
  <c r="Y383" i="6"/>
  <c r="AD382" i="6"/>
  <c r="Y382" i="6"/>
  <c r="AD381" i="6"/>
  <c r="Y381" i="6"/>
  <c r="AD380" i="6"/>
  <c r="Y380" i="6"/>
  <c r="AD379" i="6"/>
  <c r="Y379" i="6"/>
  <c r="AD378" i="6"/>
  <c r="Y378" i="6"/>
  <c r="AD377" i="6"/>
  <c r="Y377" i="6"/>
  <c r="AD376" i="6"/>
  <c r="Y376" i="6"/>
  <c r="AD375" i="6"/>
  <c r="Y375" i="6"/>
  <c r="AD374" i="6"/>
  <c r="Y374" i="6"/>
  <c r="AD373" i="6"/>
  <c r="Y373" i="6"/>
  <c r="AD372" i="6"/>
  <c r="Y372" i="6"/>
  <c r="AD371" i="6"/>
  <c r="Y371" i="6"/>
  <c r="AD370" i="6"/>
  <c r="Y370" i="6"/>
  <c r="AD369" i="6"/>
  <c r="Y369" i="6"/>
  <c r="AD368" i="6"/>
  <c r="Y368" i="6"/>
  <c r="AD367" i="6"/>
  <c r="Y367" i="6"/>
  <c r="AD366" i="6"/>
  <c r="Y366" i="6"/>
  <c r="AD365" i="6"/>
  <c r="Y365" i="6"/>
  <c r="AD364" i="6"/>
  <c r="Y364" i="6"/>
  <c r="AD363" i="6"/>
  <c r="Y363" i="6"/>
  <c r="AD362" i="6"/>
  <c r="Y362" i="6"/>
  <c r="AD361" i="6"/>
  <c r="Y361" i="6"/>
  <c r="AD360" i="6"/>
  <c r="Y360" i="6"/>
  <c r="AD359" i="6"/>
  <c r="Y359" i="6"/>
  <c r="AD358" i="6"/>
  <c r="Y358" i="6"/>
  <c r="AD357" i="6"/>
  <c r="Y357" i="6"/>
  <c r="AD356" i="6"/>
  <c r="Y356" i="6"/>
  <c r="AD355" i="6"/>
  <c r="Y355" i="6"/>
  <c r="AD354" i="6"/>
  <c r="Y354" i="6"/>
  <c r="AD353" i="6"/>
  <c r="Y353" i="6"/>
  <c r="AD352" i="6"/>
  <c r="Y352" i="6"/>
  <c r="AD351" i="6"/>
  <c r="Y351" i="6"/>
  <c r="AD350" i="6"/>
  <c r="Y350" i="6"/>
  <c r="AD349" i="6"/>
  <c r="Y349" i="6"/>
  <c r="AD348" i="6"/>
  <c r="Y348" i="6"/>
  <c r="AD347" i="6"/>
  <c r="Y347" i="6"/>
  <c r="AD346" i="6"/>
  <c r="AD345" i="6"/>
  <c r="Y345" i="6"/>
  <c r="AD344" i="6"/>
  <c r="Y344" i="6"/>
  <c r="AD343" i="6"/>
  <c r="Y343" i="6"/>
  <c r="AD342" i="6"/>
  <c r="Y342" i="6"/>
  <c r="AD341" i="6"/>
  <c r="Y341" i="6"/>
  <c r="AD340" i="6"/>
  <c r="Y340" i="6"/>
  <c r="AD339" i="6"/>
  <c r="Y339" i="6"/>
  <c r="AD338" i="6"/>
  <c r="Y338" i="6"/>
  <c r="AD337" i="6"/>
  <c r="Y337" i="6"/>
  <c r="AD336" i="6"/>
  <c r="Y336" i="6"/>
  <c r="AD335" i="6"/>
  <c r="Y335" i="6"/>
  <c r="AD334" i="6"/>
  <c r="Y334" i="6"/>
  <c r="AD333" i="6"/>
  <c r="Y333" i="6"/>
  <c r="AD332" i="6"/>
  <c r="Y332" i="6"/>
  <c r="AD331" i="6"/>
  <c r="Y331" i="6"/>
  <c r="AD330" i="6"/>
  <c r="Y330" i="6"/>
  <c r="AD329" i="6"/>
  <c r="Y329" i="6"/>
  <c r="AD328" i="6"/>
  <c r="Y328" i="6"/>
  <c r="AD327" i="6"/>
  <c r="Y327" i="6"/>
  <c r="AD326" i="6"/>
  <c r="Y326" i="6"/>
  <c r="AD325" i="6"/>
  <c r="Y325" i="6"/>
  <c r="AD324" i="6"/>
  <c r="Y324" i="6"/>
  <c r="AD323" i="6"/>
  <c r="Y323" i="6"/>
  <c r="AD322" i="6"/>
  <c r="Y322" i="6"/>
  <c r="AD321" i="6"/>
  <c r="Y321" i="6"/>
  <c r="AD320" i="6"/>
  <c r="Y320" i="6"/>
  <c r="AD319" i="6"/>
  <c r="Y319" i="6"/>
  <c r="AD318" i="6"/>
  <c r="Y318" i="6"/>
  <c r="AD317" i="6"/>
  <c r="Y317" i="6"/>
  <c r="AD316" i="6"/>
  <c r="Y316" i="6"/>
  <c r="AD315" i="6"/>
  <c r="Y315" i="6"/>
  <c r="AD314" i="6"/>
  <c r="Y314" i="6"/>
  <c r="AD313" i="6"/>
  <c r="Y313" i="6"/>
  <c r="AD312" i="6"/>
  <c r="Y312" i="6"/>
  <c r="AD311" i="6"/>
  <c r="Y311" i="6"/>
  <c r="AD310" i="6"/>
  <c r="Y310" i="6"/>
  <c r="AD309" i="6"/>
  <c r="Y309" i="6"/>
  <c r="AD308" i="6"/>
  <c r="Y308" i="6"/>
  <c r="AD307" i="6"/>
  <c r="Y307" i="6"/>
  <c r="AD306" i="6"/>
  <c r="Y306" i="6"/>
  <c r="AD305" i="6"/>
  <c r="Y305" i="6"/>
  <c r="AD304" i="6"/>
  <c r="Y304" i="6"/>
  <c r="AD303" i="6"/>
  <c r="Y303" i="6"/>
  <c r="AD302" i="6"/>
  <c r="Y302" i="6"/>
  <c r="AD301" i="6"/>
  <c r="Y301" i="6"/>
  <c r="AD300" i="6"/>
  <c r="Y300" i="6"/>
  <c r="AD299" i="6"/>
  <c r="Y299" i="6"/>
  <c r="AD298" i="6"/>
  <c r="Y298" i="6"/>
  <c r="AD297" i="6"/>
  <c r="Y297" i="6"/>
  <c r="AD296" i="6"/>
  <c r="Y296" i="6"/>
  <c r="AD295" i="6"/>
  <c r="Y295" i="6"/>
  <c r="AD294" i="6"/>
  <c r="Y294" i="6"/>
  <c r="AD293" i="6"/>
  <c r="Y293" i="6"/>
  <c r="AD292" i="6"/>
  <c r="Y292" i="6"/>
  <c r="AD291" i="6"/>
  <c r="Y291" i="6"/>
  <c r="AD290" i="6"/>
  <c r="Y290" i="6"/>
  <c r="AD289" i="6"/>
  <c r="Y289" i="6"/>
  <c r="AD288" i="6"/>
  <c r="Y288" i="6"/>
  <c r="AD287" i="6"/>
  <c r="Y287" i="6"/>
  <c r="AD286" i="6"/>
  <c r="Y286" i="6"/>
  <c r="AD285" i="6"/>
  <c r="Y285" i="6"/>
  <c r="AD284" i="6"/>
  <c r="Y284" i="6"/>
  <c r="AD283" i="6"/>
  <c r="Y283" i="6"/>
  <c r="AD282" i="6"/>
  <c r="Y282" i="6"/>
  <c r="AD281" i="6"/>
  <c r="Y281" i="6"/>
  <c r="AD280" i="6"/>
  <c r="Y280" i="6"/>
  <c r="AD279" i="6"/>
  <c r="Y279" i="6"/>
  <c r="AD278" i="6"/>
  <c r="Y278" i="6"/>
  <c r="AD277" i="6"/>
  <c r="Y277" i="6"/>
  <c r="AD276" i="6"/>
  <c r="Y276" i="6"/>
  <c r="AD275" i="6"/>
  <c r="Y275" i="6"/>
  <c r="AD274" i="6"/>
  <c r="Y274" i="6"/>
  <c r="AD273" i="6"/>
  <c r="Y273" i="6"/>
  <c r="AD272" i="6"/>
  <c r="Y272" i="6"/>
  <c r="AD271" i="6"/>
  <c r="Y271" i="6"/>
  <c r="AD270" i="6"/>
  <c r="Y270" i="6"/>
  <c r="AD269" i="6"/>
  <c r="Y269" i="6"/>
  <c r="AD268" i="6"/>
  <c r="Y268" i="6"/>
  <c r="AD267" i="6"/>
  <c r="Y267" i="6"/>
  <c r="AD266" i="6"/>
  <c r="Y266" i="6"/>
  <c r="AD265" i="6"/>
  <c r="Y265" i="6"/>
  <c r="AD264" i="6"/>
  <c r="Y264" i="6"/>
  <c r="AD263" i="6"/>
  <c r="Y263" i="6"/>
  <c r="AD262" i="6"/>
  <c r="Y262" i="6"/>
  <c r="AD261" i="6"/>
  <c r="Y261" i="6"/>
  <c r="AD260" i="6"/>
  <c r="Y260" i="6"/>
  <c r="AD259" i="6"/>
  <c r="Y259" i="6"/>
  <c r="AD258" i="6"/>
  <c r="Y258" i="6"/>
  <c r="AD257" i="6"/>
  <c r="Y257" i="6"/>
  <c r="AD256" i="6"/>
  <c r="Y256" i="6"/>
  <c r="AD255" i="6"/>
  <c r="Y255" i="6"/>
  <c r="AD254" i="6"/>
  <c r="Y254" i="6"/>
  <c r="AD253" i="6"/>
  <c r="Y253" i="6"/>
  <c r="AD252" i="6"/>
  <c r="Y252" i="6"/>
  <c r="AD251" i="6"/>
  <c r="Y251" i="6"/>
  <c r="AD250" i="6"/>
  <c r="Y250" i="6"/>
  <c r="AD249" i="6"/>
  <c r="Y249" i="6"/>
  <c r="AD248" i="6"/>
  <c r="Y248" i="6"/>
  <c r="AD247" i="6"/>
  <c r="Y247" i="6"/>
  <c r="AD246" i="6"/>
  <c r="Y246" i="6"/>
  <c r="AD245" i="6"/>
  <c r="Y245" i="6"/>
  <c r="AD244" i="6"/>
  <c r="Y244" i="6"/>
  <c r="AD243" i="6"/>
  <c r="Y243" i="6"/>
  <c r="AD242" i="6"/>
  <c r="Y242" i="6"/>
  <c r="AD241" i="6"/>
  <c r="Y241" i="6"/>
  <c r="AD240" i="6"/>
  <c r="Y240" i="6"/>
  <c r="AD239" i="6"/>
  <c r="Y239" i="6"/>
  <c r="AD238" i="6"/>
  <c r="Y238" i="6"/>
  <c r="AD237" i="6"/>
  <c r="Y237" i="6"/>
  <c r="AD236" i="6"/>
  <c r="Y236" i="6"/>
  <c r="AD235" i="6"/>
  <c r="Y235" i="6"/>
  <c r="AD234" i="6"/>
  <c r="Y234" i="6"/>
  <c r="AD233" i="6"/>
  <c r="Y233" i="6"/>
  <c r="AD232" i="6"/>
  <c r="Y232" i="6"/>
  <c r="AD231" i="6"/>
  <c r="Y231" i="6"/>
  <c r="AD230" i="6"/>
  <c r="Y230" i="6"/>
  <c r="AD229" i="6"/>
  <c r="Y229" i="6"/>
  <c r="AD228" i="6"/>
  <c r="Y228" i="6"/>
  <c r="AD227" i="6"/>
  <c r="Y227" i="6"/>
  <c r="AD226" i="6"/>
  <c r="Y226" i="6"/>
  <c r="AD225" i="6"/>
  <c r="Y225" i="6"/>
  <c r="AD224" i="6"/>
  <c r="Y224" i="6"/>
  <c r="AD223" i="6"/>
  <c r="Y223" i="6"/>
  <c r="AD222" i="6"/>
  <c r="Y222" i="6"/>
  <c r="AD221" i="6"/>
  <c r="Y221" i="6"/>
  <c r="AD220" i="6"/>
  <c r="Y220" i="6"/>
  <c r="AD219" i="6"/>
  <c r="Y219" i="6"/>
  <c r="AD218" i="6"/>
  <c r="Y218" i="6"/>
  <c r="AD217" i="6"/>
  <c r="Y217" i="6"/>
  <c r="AD216" i="6"/>
  <c r="Y216" i="6"/>
  <c r="AD215" i="6"/>
  <c r="Y215" i="6"/>
  <c r="AD214" i="6"/>
  <c r="Y214" i="6"/>
  <c r="AD213" i="6"/>
  <c r="Y213" i="6"/>
  <c r="AD212" i="6"/>
  <c r="Y212" i="6"/>
  <c r="AD211" i="6"/>
  <c r="Y211" i="6"/>
  <c r="AD210" i="6"/>
  <c r="Y210" i="6"/>
  <c r="AD209" i="6"/>
  <c r="Y209" i="6"/>
  <c r="AD208" i="6"/>
  <c r="Y208" i="6"/>
  <c r="AD207" i="6"/>
  <c r="Y207" i="6"/>
  <c r="AD206" i="6"/>
  <c r="Y206" i="6"/>
  <c r="AD205" i="6"/>
  <c r="Y205" i="6"/>
  <c r="AD204" i="6"/>
  <c r="Y204" i="6"/>
  <c r="AD203" i="6"/>
  <c r="Y203" i="6"/>
  <c r="AD202" i="6"/>
  <c r="Y202" i="6"/>
  <c r="AD201" i="6"/>
  <c r="Y201" i="6"/>
  <c r="AD200" i="6"/>
  <c r="Y200" i="6"/>
  <c r="AD199" i="6"/>
  <c r="Y199" i="6"/>
  <c r="AD198" i="6"/>
  <c r="Y198" i="6"/>
  <c r="AD197" i="6"/>
  <c r="Y197" i="6"/>
  <c r="AD196" i="6"/>
  <c r="Y196" i="6"/>
  <c r="AD195" i="6"/>
  <c r="Y195" i="6"/>
  <c r="AD194" i="6"/>
  <c r="Y194" i="6"/>
  <c r="AD193" i="6"/>
  <c r="Y193" i="6"/>
  <c r="AD192" i="6"/>
  <c r="Y192" i="6"/>
  <c r="AD191" i="6"/>
  <c r="Y191" i="6"/>
  <c r="AD190" i="6"/>
  <c r="Y190" i="6"/>
  <c r="AD189" i="6"/>
  <c r="Y189" i="6"/>
  <c r="AD188" i="6"/>
  <c r="Y188" i="6"/>
  <c r="AD187" i="6"/>
  <c r="Y187" i="6"/>
  <c r="AD186" i="6"/>
  <c r="Y186" i="6"/>
  <c r="AD185" i="6"/>
  <c r="Y185" i="6"/>
  <c r="AD184" i="6"/>
  <c r="Y184" i="6"/>
  <c r="AD183" i="6"/>
  <c r="Y183" i="6"/>
  <c r="AD182" i="6"/>
  <c r="Y182" i="6"/>
  <c r="AD181" i="6"/>
  <c r="Y181" i="6"/>
  <c r="AD180" i="6"/>
  <c r="Y180" i="6"/>
  <c r="AD179" i="6"/>
  <c r="Y179" i="6"/>
  <c r="AD178" i="6"/>
  <c r="Y178" i="6"/>
  <c r="AD177" i="6"/>
  <c r="Y177" i="6"/>
  <c r="AD176" i="6"/>
  <c r="Y176" i="6"/>
  <c r="AD175" i="6"/>
  <c r="Y175" i="6"/>
  <c r="AD174" i="6"/>
  <c r="Y174" i="6"/>
  <c r="AD173" i="6"/>
  <c r="Y173" i="6"/>
  <c r="AD172" i="6"/>
  <c r="Y172" i="6"/>
  <c r="AD171" i="6"/>
  <c r="Y171" i="6"/>
  <c r="AD170" i="6"/>
  <c r="Y170" i="6"/>
  <c r="AD169" i="6"/>
  <c r="Y169" i="6"/>
  <c r="AD168" i="6"/>
  <c r="Y168" i="6"/>
  <c r="AD167" i="6"/>
  <c r="Y167" i="6"/>
  <c r="AD166" i="6"/>
  <c r="Y166" i="6"/>
  <c r="AD165" i="6"/>
  <c r="Y165" i="6"/>
  <c r="AD164" i="6"/>
  <c r="Y164" i="6"/>
  <c r="AD163" i="6"/>
  <c r="Y163" i="6"/>
  <c r="AD162" i="6"/>
  <c r="Y162" i="6"/>
  <c r="AD161" i="6"/>
  <c r="Y161" i="6"/>
  <c r="AD160" i="6"/>
  <c r="Y160" i="6"/>
  <c r="AD159" i="6"/>
  <c r="Y159" i="6"/>
  <c r="AD158" i="6"/>
  <c r="Y158" i="6"/>
  <c r="AD157" i="6"/>
  <c r="Y157" i="6"/>
  <c r="AD156" i="6"/>
  <c r="Y156" i="6"/>
  <c r="AD155" i="6"/>
  <c r="Y155" i="6"/>
  <c r="AD154" i="6"/>
  <c r="Y154" i="6"/>
  <c r="AD153" i="6"/>
  <c r="Y153" i="6"/>
  <c r="AD152" i="6"/>
  <c r="Y152" i="6"/>
  <c r="AD151" i="6"/>
  <c r="Y151" i="6"/>
  <c r="AD150" i="6"/>
  <c r="Y150" i="6"/>
  <c r="AD149" i="6"/>
  <c r="Y149" i="6"/>
  <c r="AD148" i="6"/>
  <c r="Y148" i="6"/>
  <c r="AD147" i="6"/>
  <c r="Y147" i="6"/>
  <c r="AD146" i="6"/>
  <c r="Y146" i="6"/>
  <c r="AD145" i="6"/>
  <c r="Y145" i="6"/>
  <c r="AD144" i="6"/>
  <c r="Y144" i="6"/>
  <c r="AD143" i="6"/>
  <c r="Y143" i="6"/>
  <c r="AD142" i="6"/>
  <c r="Y142" i="6"/>
  <c r="AD141" i="6"/>
  <c r="Y141" i="6"/>
  <c r="AD140" i="6"/>
  <c r="Y140" i="6"/>
  <c r="AD139" i="6"/>
  <c r="Y139" i="6"/>
  <c r="AD138" i="6"/>
  <c r="Y138" i="6"/>
  <c r="AD137" i="6"/>
  <c r="Y137" i="6"/>
  <c r="AD136" i="6"/>
  <c r="Y136" i="6"/>
  <c r="AD135" i="6"/>
  <c r="Y135" i="6"/>
  <c r="AD134" i="6"/>
  <c r="Y134" i="6"/>
  <c r="AD133" i="6"/>
  <c r="Y133" i="6"/>
  <c r="AD132" i="6"/>
  <c r="Y132" i="6"/>
  <c r="AD131" i="6"/>
  <c r="Y131" i="6"/>
  <c r="AD130" i="6"/>
  <c r="Y130" i="6"/>
  <c r="AD129" i="6"/>
  <c r="Y129" i="6"/>
  <c r="AD128" i="6"/>
  <c r="Y128" i="6"/>
  <c r="AD127" i="6"/>
  <c r="Y127" i="6"/>
  <c r="AD126" i="6"/>
  <c r="Y126" i="6"/>
  <c r="AD125" i="6"/>
  <c r="Y125" i="6"/>
  <c r="AD124" i="6"/>
  <c r="Y124" i="6"/>
  <c r="AD123" i="6"/>
  <c r="Y123" i="6"/>
  <c r="AD122" i="6"/>
  <c r="Y122" i="6"/>
  <c r="AD121" i="6"/>
  <c r="Y121" i="6"/>
  <c r="AD120" i="6"/>
  <c r="Y120" i="6"/>
  <c r="AD119" i="6"/>
  <c r="Y119" i="6"/>
  <c r="AD118" i="6"/>
  <c r="Y118" i="6"/>
  <c r="AD117" i="6"/>
  <c r="Y117" i="6"/>
  <c r="AD116" i="6"/>
  <c r="Y116" i="6"/>
  <c r="AD115" i="6"/>
  <c r="Y115" i="6"/>
  <c r="AD114" i="6"/>
  <c r="Y114" i="6"/>
  <c r="AD113" i="6"/>
  <c r="Y113" i="6"/>
  <c r="AD112" i="6"/>
  <c r="Y112" i="6"/>
  <c r="AD111" i="6"/>
  <c r="Y111" i="6"/>
  <c r="AD110" i="6"/>
  <c r="Y110" i="6"/>
  <c r="AD109" i="6"/>
  <c r="Y109" i="6"/>
  <c r="AD108" i="6"/>
  <c r="Y108" i="6"/>
  <c r="AD107" i="6"/>
  <c r="Y107" i="6"/>
  <c r="AD106" i="6"/>
  <c r="Y106" i="6"/>
  <c r="AD105" i="6"/>
  <c r="Y105" i="6"/>
  <c r="AD104" i="6"/>
  <c r="Y104" i="6"/>
  <c r="AD103" i="6"/>
  <c r="Y103" i="6"/>
  <c r="AD102" i="6"/>
  <c r="Y102" i="6"/>
  <c r="AD101" i="6"/>
  <c r="Y101" i="6"/>
  <c r="AD100" i="6"/>
  <c r="Y100" i="6"/>
  <c r="AD99" i="6"/>
  <c r="Y99" i="6"/>
  <c r="AD98" i="6"/>
  <c r="Y98" i="6"/>
  <c r="AD97" i="6"/>
  <c r="Y97" i="6"/>
  <c r="AD96" i="6"/>
  <c r="Y96" i="6"/>
  <c r="AD95" i="6"/>
  <c r="Y95" i="6"/>
  <c r="AD94" i="6"/>
  <c r="Y94" i="6"/>
  <c r="AD93" i="6"/>
  <c r="Y93" i="6"/>
  <c r="AD92" i="6"/>
  <c r="Y92" i="6"/>
  <c r="AD91" i="6"/>
  <c r="Y91" i="6"/>
  <c r="AD90" i="6"/>
  <c r="Y90" i="6"/>
  <c r="AD89" i="6"/>
  <c r="Y89" i="6"/>
  <c r="AD88" i="6"/>
  <c r="Y88" i="6"/>
  <c r="AD87" i="6"/>
  <c r="Y87" i="6"/>
  <c r="AD86" i="6"/>
  <c r="Y86" i="6"/>
  <c r="AD85" i="6"/>
  <c r="Y85" i="6"/>
  <c r="AD84" i="6"/>
  <c r="Y84" i="6"/>
  <c r="AD83" i="6"/>
  <c r="Y83" i="6"/>
  <c r="AD82" i="6"/>
  <c r="Y82" i="6"/>
  <c r="AD81" i="6"/>
  <c r="Y81" i="6"/>
  <c r="AD80" i="6"/>
  <c r="Y80" i="6"/>
  <c r="AD79" i="6"/>
  <c r="Y79" i="6"/>
  <c r="AD78" i="6"/>
  <c r="Y78" i="6"/>
  <c r="AD77" i="6"/>
  <c r="Y77" i="6"/>
  <c r="AD76" i="6"/>
  <c r="Y76" i="6"/>
  <c r="AD75" i="6"/>
  <c r="Y75" i="6"/>
  <c r="AD74" i="6"/>
  <c r="Y74" i="6"/>
  <c r="AD73" i="6"/>
  <c r="Y73" i="6"/>
  <c r="AD72" i="6"/>
  <c r="Y72" i="6"/>
  <c r="AD71" i="6"/>
  <c r="Y71" i="6"/>
  <c r="AD70" i="6"/>
  <c r="Y70" i="6"/>
  <c r="AD69" i="6"/>
  <c r="Y69" i="6"/>
  <c r="AD68" i="6"/>
  <c r="Y68" i="6"/>
  <c r="AD67" i="6"/>
  <c r="Y67" i="6"/>
  <c r="AD66" i="6"/>
  <c r="Y66" i="6"/>
  <c r="AD65" i="6"/>
  <c r="Y65" i="6"/>
  <c r="AD64" i="6"/>
  <c r="Y64" i="6"/>
  <c r="AD63" i="6"/>
  <c r="Y63" i="6"/>
  <c r="AD62" i="6"/>
  <c r="Y62" i="6"/>
  <c r="AD61" i="6"/>
  <c r="Y61" i="6"/>
  <c r="AD60" i="6"/>
  <c r="Y60" i="6"/>
  <c r="AD59" i="6"/>
  <c r="Y59" i="6"/>
  <c r="AD58" i="6"/>
  <c r="Y58" i="6"/>
  <c r="AD57" i="6"/>
  <c r="Y57" i="6"/>
  <c r="AD56" i="6"/>
  <c r="Y56" i="6"/>
  <c r="AD55" i="6"/>
  <c r="Y55" i="6"/>
  <c r="AD54" i="6"/>
  <c r="Y54" i="6"/>
  <c r="AD53" i="6"/>
  <c r="Y53" i="6"/>
  <c r="AD52" i="6"/>
  <c r="Y52" i="6"/>
  <c r="AD51" i="6"/>
  <c r="Y51" i="6"/>
  <c r="AD50" i="6"/>
  <c r="Y50" i="6"/>
  <c r="AD49" i="6"/>
  <c r="Y49" i="6"/>
  <c r="AD48" i="6"/>
  <c r="Y48" i="6"/>
  <c r="AD47" i="6"/>
  <c r="Y47" i="6"/>
  <c r="AD46" i="6"/>
  <c r="Y46" i="6"/>
  <c r="AD45" i="6"/>
  <c r="Y45" i="6"/>
  <c r="AD44" i="6"/>
  <c r="Y44" i="6"/>
  <c r="AD43" i="6"/>
  <c r="Y43" i="6"/>
  <c r="AD42" i="6"/>
  <c r="Y42" i="6"/>
  <c r="AD41" i="6"/>
  <c r="Y41" i="6"/>
  <c r="AD40" i="6"/>
  <c r="Y40" i="6"/>
  <c r="AD39" i="6"/>
  <c r="Y39" i="6"/>
  <c r="AD38" i="6"/>
  <c r="Y38" i="6"/>
  <c r="AD37" i="6"/>
  <c r="AD36" i="6"/>
  <c r="Y36" i="6"/>
  <c r="AD35" i="6"/>
  <c r="Y35" i="6"/>
  <c r="AD34" i="6"/>
  <c r="Y34" i="6"/>
  <c r="AD33" i="6"/>
  <c r="Y33" i="6"/>
  <c r="AD32" i="6"/>
  <c r="Y32" i="6"/>
  <c r="AD31" i="6"/>
  <c r="Y31" i="6"/>
  <c r="AD30" i="6"/>
  <c r="Y30" i="6"/>
  <c r="AD29" i="6"/>
  <c r="Y29" i="6"/>
  <c r="AD28" i="6"/>
  <c r="Y28" i="6"/>
  <c r="AD27" i="6"/>
  <c r="Y27" i="6"/>
  <c r="AD26" i="6"/>
  <c r="Y26" i="6"/>
  <c r="AD25" i="6"/>
  <c r="Y25" i="6"/>
  <c r="AD24" i="6"/>
  <c r="Y24" i="6"/>
  <c r="AD23" i="6"/>
  <c r="Y23" i="6"/>
  <c r="AD22" i="6"/>
  <c r="Y22" i="6"/>
  <c r="AD21" i="6"/>
  <c r="Y21" i="6"/>
  <c r="AD20" i="6"/>
  <c r="Y20" i="6"/>
  <c r="AD19" i="6"/>
  <c r="Y19" i="6"/>
  <c r="AD18" i="6"/>
  <c r="Y18" i="6"/>
  <c r="AD17" i="6"/>
  <c r="Y17" i="6"/>
  <c r="AD16" i="6"/>
  <c r="Y16" i="6"/>
  <c r="AD15" i="6"/>
  <c r="Y15" i="6"/>
  <c r="AD14" i="6"/>
  <c r="Y14" i="6"/>
  <c r="AD13" i="6"/>
  <c r="Y13" i="6"/>
  <c r="AD12" i="6"/>
  <c r="Y12" i="6"/>
  <c r="AD11" i="6"/>
  <c r="Y11" i="6"/>
  <c r="AD10" i="6"/>
  <c r="Y10" i="6"/>
  <c r="AD9" i="6"/>
  <c r="Y9" i="6"/>
  <c r="AD8" i="6"/>
  <c r="Y8" i="6"/>
  <c r="AD7" i="6"/>
  <c r="Y7" i="6"/>
  <c r="AD6" i="6"/>
  <c r="Y6" i="6"/>
  <c r="AD5" i="6"/>
  <c r="Y5" i="6"/>
  <c r="AD4" i="6"/>
  <c r="Y4" i="6"/>
  <c r="AD3" i="6"/>
  <c r="Y3" i="6"/>
  <c r="AD2" i="6"/>
  <c r="Y2" i="6"/>
</calcChain>
</file>

<file path=xl/sharedStrings.xml><?xml version="1.0" encoding="utf-8"?>
<sst xmlns="http://schemas.openxmlformats.org/spreadsheetml/2006/main" count="33436" uniqueCount="10103">
  <si>
    <t>article_id</t>
  </si>
  <si>
    <t>name</t>
  </si>
  <si>
    <t>country</t>
  </si>
  <si>
    <t>SEA?</t>
  </si>
  <si>
    <t>Gheewala, Shabbir H.</t>
  </si>
  <si>
    <t>Thailand</t>
  </si>
  <si>
    <t>Yes</t>
  </si>
  <si>
    <t>Kamworapan, Suchada</t>
  </si>
  <si>
    <t>Pimonsree, Sittichai</t>
  </si>
  <si>
    <t>Prueksakorn, Kritana</t>
  </si>
  <si>
    <t>Thongbhakdi, Amornpong</t>
  </si>
  <si>
    <t>Alahacoon, Niranga</t>
  </si>
  <si>
    <t>Sri Lanka</t>
  </si>
  <si>
    <t>No</t>
  </si>
  <si>
    <t>Edirisinghe, Mahesh</t>
  </si>
  <si>
    <t>Murayama, Yuji</t>
  </si>
  <si>
    <t>Japan</t>
  </si>
  <si>
    <t>Ranagalage, Manjula</t>
  </si>
  <si>
    <t>DiNapoli, S.</t>
  </si>
  <si>
    <t>USA</t>
  </si>
  <si>
    <t>Misra, V.</t>
  </si>
  <si>
    <t>Ha, Kyung-Ja</t>
  </si>
  <si>
    <t>Korea</t>
  </si>
  <si>
    <t>Ho, Chang-Hoi</t>
  </si>
  <si>
    <t>Kripalani, Ramesh</t>
  </si>
  <si>
    <t>India</t>
  </si>
  <si>
    <t>Mujumdar, Milind</t>
  </si>
  <si>
    <t>Oh, Jai-Ho</t>
  </si>
  <si>
    <t>Prabhu, Amita</t>
  </si>
  <si>
    <t>Preethi, B.</t>
  </si>
  <si>
    <t>Li, Yubin</t>
  </si>
  <si>
    <t>Myint, Soe W.</t>
  </si>
  <si>
    <t>Schaffer-Smith, Danica</t>
  </si>
  <si>
    <t>Zhu, Yuanhui</t>
  </si>
  <si>
    <t>Dech, Stefan</t>
  </si>
  <si>
    <t>Germany</t>
  </si>
  <si>
    <t>Kuenzer, Claudia</t>
  </si>
  <si>
    <t>Leinenkugel, Patrick</t>
  </si>
  <si>
    <t>Vollmuth, Matthias</t>
  </si>
  <si>
    <t>Abatzis, Ioannis</t>
  </si>
  <si>
    <t>Denmark</t>
  </si>
  <si>
    <t>Bergman, Steven C.</t>
  </si>
  <si>
    <t>Chea, Socheat</t>
  </si>
  <si>
    <t>Cambodia</t>
  </si>
  <si>
    <t>Dien, Phan T.</t>
  </si>
  <si>
    <t>Vietnam</t>
  </si>
  <si>
    <t>Fyhn, Michael B. W.</t>
  </si>
  <si>
    <t>Green, Paul F.</t>
  </si>
  <si>
    <t>Australia</t>
  </si>
  <si>
    <t>Mai, Le C.</t>
  </si>
  <si>
    <t>Nielsen, Lars H.</t>
  </si>
  <si>
    <t>Pedersen, Stig A. S.</t>
  </si>
  <si>
    <t>Thomsen, Tonny B.</t>
  </si>
  <si>
    <t>Tri, Tran V.</t>
  </si>
  <si>
    <t>Tuan, Hoang A.</t>
  </si>
  <si>
    <t>Van Itterbeeck, Jimmy</t>
  </si>
  <si>
    <t>Netherlands</t>
  </si>
  <si>
    <t>Hasegawa, Akira</t>
  </si>
  <si>
    <t>Iwami, Yoichi</t>
  </si>
  <si>
    <t>Kudo, Shun</t>
  </si>
  <si>
    <t>Kuribayashi, Daisuke</t>
  </si>
  <si>
    <t>Magome, Jun</t>
  </si>
  <si>
    <t>Miyamoto, Mamoru</t>
  </si>
  <si>
    <t>Perera, Edangodage Duminda Pradeep</t>
  </si>
  <si>
    <t>Canada</t>
  </si>
  <si>
    <t>Sawano, Hisaya</t>
  </si>
  <si>
    <t>Sayama, Takahiro</t>
  </si>
  <si>
    <t>Shrestha, Badri Bhakta</t>
  </si>
  <si>
    <t>Tokunage, Yoshio</t>
  </si>
  <si>
    <t>Ushiyama, Tomoki</t>
  </si>
  <si>
    <t>Yamazaki, Yusuke</t>
  </si>
  <si>
    <t>Bai, Peng</t>
  </si>
  <si>
    <t>China</t>
  </si>
  <si>
    <t>Liang, Kang</t>
  </si>
  <si>
    <t>Liu, Changming</t>
  </si>
  <si>
    <t>Liu, Lu</t>
  </si>
  <si>
    <t>Tian, Wei</t>
  </si>
  <si>
    <t>Chen, Deliang</t>
  </si>
  <si>
    <t>Sweden</t>
  </si>
  <si>
    <t>Liu, Xingcai</t>
  </si>
  <si>
    <t>Lu, Hui</t>
  </si>
  <si>
    <t>Tang, Qiuhong</t>
  </si>
  <si>
    <t>Wang, Jie</t>
  </si>
  <si>
    <t>Wang, Yueling</t>
  </si>
  <si>
    <t>Yun, Xiaobo</t>
  </si>
  <si>
    <t>Zhang, Lu</t>
  </si>
  <si>
    <t>Zhang, Yongqiang</t>
  </si>
  <si>
    <t>Head, Martin J.</t>
  </si>
  <si>
    <t>Matsuoka, Kazumi</t>
  </si>
  <si>
    <t>Mertens, Kenneth N.</t>
  </si>
  <si>
    <t>Belgium</t>
  </si>
  <si>
    <t>Takano, Yoshihito</t>
  </si>
  <si>
    <t>Easton-Calabria, Evan</t>
  </si>
  <si>
    <t>UK</t>
  </si>
  <si>
    <t>Jaime, Catalina</t>
  </si>
  <si>
    <t>MacLeod, David</t>
  </si>
  <si>
    <t>Perez, Erin Coughlan de</t>
  </si>
  <si>
    <t>Barbieri, M.</t>
  </si>
  <si>
    <t>Switzerland</t>
  </si>
  <si>
    <t>Collivignarelli, F.</t>
  </si>
  <si>
    <t>Garcia, C.</t>
  </si>
  <si>
    <t>Philippines</t>
  </si>
  <si>
    <t>Gatti, L.</t>
  </si>
  <si>
    <t>Holecz, F. H.</t>
  </si>
  <si>
    <t>Intrman, A.</t>
  </si>
  <si>
    <t>Khan, N. I.</t>
  </si>
  <si>
    <t>Mabalay, M. R. O.</t>
  </si>
  <si>
    <t>Maunahan, A.</t>
  </si>
  <si>
    <t>Minh, V. Q.</t>
  </si>
  <si>
    <t>Pazhanivelan, S.</t>
  </si>
  <si>
    <t>Phuong, D. M.</t>
  </si>
  <si>
    <t>Quicho, E. D.</t>
  </si>
  <si>
    <t>Rakwatin, P.</t>
  </si>
  <si>
    <t>Rala, A.</t>
  </si>
  <si>
    <t>Raviz, J.</t>
  </si>
  <si>
    <t>Romuga, G.</t>
  </si>
  <si>
    <t>Setiyono, T. D.</t>
  </si>
  <si>
    <t>Sothy, M.</t>
  </si>
  <si>
    <t>Veasna, T.</t>
  </si>
  <si>
    <t>Vo, Q. T.</t>
  </si>
  <si>
    <t>Chen, Qihui</t>
  </si>
  <si>
    <t>Du, Yao</t>
  </si>
  <si>
    <t>Han, Xingye</t>
  </si>
  <si>
    <t>He, Pengfei</t>
  </si>
  <si>
    <t>Li, Qiongfang</t>
  </si>
  <si>
    <t>Weng, Xi</t>
  </si>
  <si>
    <t>Zeng, Tianshan</t>
  </si>
  <si>
    <t>Zhou, Zhengmo</t>
  </si>
  <si>
    <t>Sridhar, Venkataramana</t>
  </si>
  <si>
    <t>Thilakarathne, Madusanka</t>
  </si>
  <si>
    <t>Degefu, Dagmawi Mulugeta</t>
  </si>
  <si>
    <t>He, Weijun</t>
  </si>
  <si>
    <t>Kong, Yang</t>
  </si>
  <si>
    <t>Ramsey, Thomas Stephen</t>
  </si>
  <si>
    <t>Wu, Xia</t>
  </si>
  <si>
    <t>Yuan, Liang</t>
  </si>
  <si>
    <t>Cheng, Yuqi</t>
  </si>
  <si>
    <t>Cracknell, Arthur Philip</t>
  </si>
  <si>
    <t>Gong, Peng</t>
  </si>
  <si>
    <t>Hackman, Kwame</t>
  </si>
  <si>
    <t>Xu, Yidi</t>
  </si>
  <si>
    <t>Yu, Le</t>
  </si>
  <si>
    <t>Zhao, Yuanyuan</t>
  </si>
  <si>
    <t>McGregor, James</t>
  </si>
  <si>
    <t>New Zealand</t>
  </si>
  <si>
    <t>Nguyen Dang-Quang</t>
  </si>
  <si>
    <t>Renwick, James A.</t>
  </si>
  <si>
    <t>Eltahir, Elfatih A. B.</t>
  </si>
  <si>
    <t>Malanotte-Rizzoli, Paola</t>
  </si>
  <si>
    <t>Sun, Yunfang</t>
  </si>
  <si>
    <t>Ndah, Anthony Banyouko</t>
  </si>
  <si>
    <t>Brunei</t>
  </si>
  <si>
    <t>Odihi, John Onu</t>
  </si>
  <si>
    <t>Nigeria</t>
  </si>
  <si>
    <t>Nigam, Sumant</t>
  </si>
  <si>
    <t>Ruiz-Barradas, Alfredo</t>
  </si>
  <si>
    <t>Becker, Erik</t>
  </si>
  <si>
    <t>Singapore</t>
  </si>
  <si>
    <t>Dipankar, Anurag</t>
  </si>
  <si>
    <t>Doan, Quang-Van</t>
  </si>
  <si>
    <t>Huang, Xiang-Yu</t>
  </si>
  <si>
    <t>Roth, Matthias</t>
  </si>
  <si>
    <t>Sanchez, Claudio</t>
  </si>
  <si>
    <t>Simon-Moral, Andres</t>
  </si>
  <si>
    <t>Spain</t>
  </si>
  <si>
    <t>Alpert, Jordan</t>
  </si>
  <si>
    <t>Chen, Tsing-Chang</t>
  </si>
  <si>
    <t>Matsumoto, Jun</t>
  </si>
  <si>
    <t>Tsay, Jenq-Dar</t>
  </si>
  <si>
    <t>Shen, Li-jian</t>
  </si>
  <si>
    <t>Siritongkham, Nuchit</t>
  </si>
  <si>
    <t>Sein, Zin Mie Mie</t>
  </si>
  <si>
    <t>Myanmar</t>
  </si>
  <si>
    <t>Zhi, Xiefei</t>
  </si>
  <si>
    <t>Ekkawatpanit, Chaiwat</t>
  </si>
  <si>
    <t>Kazama, So</t>
  </si>
  <si>
    <t>Rangsiwanichpong, Prem</t>
  </si>
  <si>
    <t>Bui Minh Tuan</t>
  </si>
  <si>
    <t>Nguyen Minh Truong</t>
  </si>
  <si>
    <t>D'Arrigo, Rosanne</t>
  </si>
  <si>
    <t>Ummenhofer, Caroline C.</t>
  </si>
  <si>
    <t>Fukushi, Kensuke</t>
  </si>
  <si>
    <t>Kefi, Mohamed</t>
  </si>
  <si>
    <t>Tunisia</t>
  </si>
  <si>
    <t>Masago, Yoshifumi</t>
  </si>
  <si>
    <t>Mishra, Binaya Kumar</t>
  </si>
  <si>
    <t>Nepal</t>
  </si>
  <si>
    <t>Sengupta, Agniv</t>
  </si>
  <si>
    <t>Abdillah, Muhammad Rais</t>
  </si>
  <si>
    <t>Indonesia</t>
  </si>
  <si>
    <t>Fajary, Faiz Rohman</t>
  </si>
  <si>
    <t>Firmansyah, Hafidz Rizky</t>
  </si>
  <si>
    <t>Muharsyah, Robi</t>
  </si>
  <si>
    <t>Sakti, Anjar Dimara</t>
  </si>
  <si>
    <t>Sarli, Prasanti Widyasih</t>
  </si>
  <si>
    <t>Sudarman, Gian Gardian</t>
  </si>
  <si>
    <t>Dodla, Venkata Bhaskar Rao</t>
  </si>
  <si>
    <t>Satyanarayana, G. China</t>
  </si>
  <si>
    <t>Srinivas, Desamsetti</t>
  </si>
  <si>
    <t>Dalal, Mamta</t>
  </si>
  <si>
    <t>Kar, Sarat C.</t>
  </si>
  <si>
    <t>Pattnayak, Kanhu Charan</t>
  </si>
  <si>
    <t>Pattnayak, R. K.</t>
  </si>
  <si>
    <t>Cawood, Peter A.</t>
  </si>
  <si>
    <t>Gardiner, Nicholas J.</t>
  </si>
  <si>
    <t>Kirkland, Christopher L.</t>
  </si>
  <si>
    <t>Morley, Christopher K.</t>
  </si>
  <si>
    <t>Robb, Laurence J.</t>
  </si>
  <si>
    <t>Roberts, Nick M. W.</t>
  </si>
  <si>
    <t>Searle, Michael P.</t>
  </si>
  <si>
    <t>Tin Aung Myint</t>
  </si>
  <si>
    <t>Whitehouse, Martin J.</t>
  </si>
  <si>
    <t>Babel, Mukand Singh</t>
  </si>
  <si>
    <t>Mohanasundaram, S.</t>
  </si>
  <si>
    <t>Shrestha, Sangam</t>
  </si>
  <si>
    <t>Sokneth, Lim</t>
  </si>
  <si>
    <t>Virdis, Salvatore G. P.</t>
  </si>
  <si>
    <t>Devi, S. Ranjeeta</t>
  </si>
  <si>
    <t>Singh, B. P.</t>
  </si>
  <si>
    <t>Singh, Kshetrimayum Atamajit</t>
  </si>
  <si>
    <t>Singh, Yengkhom Raghumani</t>
  </si>
  <si>
    <t>Srivastava, V. K.</t>
  </si>
  <si>
    <t>Hasan, Dk. Siti Nurul Ain binti Pg. Ali</t>
  </si>
  <si>
    <t>Nayan, Zuliana Binti Hj</t>
  </si>
  <si>
    <t>Rahman, Ena Kartina Abdul</t>
  </si>
  <si>
    <t>Ratnayake, Uditha</t>
  </si>
  <si>
    <t>Shams, Shahriar</t>
  </si>
  <si>
    <t>Brindha, K.</t>
  </si>
  <si>
    <t>Chua, Vivien P.</t>
  </si>
  <si>
    <t>Li, Cheng</t>
  </si>
  <si>
    <t>Tan, Mou Leong</t>
  </si>
  <si>
    <t>Malaysia</t>
  </si>
  <si>
    <t>Speelman, Stijn</t>
  </si>
  <si>
    <t>Tun Oo, Aung</t>
  </si>
  <si>
    <t>Van Huylenbroeck, Guido</t>
  </si>
  <si>
    <t>Fang, Xiaomin</t>
  </si>
  <si>
    <t>Li, Minghui</t>
  </si>
  <si>
    <t>Liu, Xiaoming</t>
  </si>
  <si>
    <t>Sun, Shurui</t>
  </si>
  <si>
    <t>Yan, Maodu</t>
  </si>
  <si>
    <t>Zhang, Gengxin</t>
  </si>
  <si>
    <t>Zhang, Zengjie</t>
  </si>
  <si>
    <t>Ibrahim, Ab Latif</t>
  </si>
  <si>
    <t>Yusop, Zulkifli</t>
  </si>
  <si>
    <t>Azam, Kamran</t>
  </si>
  <si>
    <t>Pakistan</t>
  </si>
  <si>
    <t>Hina, Saadia</t>
  </si>
  <si>
    <t>Iyakaremye, Vedaste</t>
  </si>
  <si>
    <t>Ngoma, Hamida</t>
  </si>
  <si>
    <t>Nkunzimana, Athanase</t>
  </si>
  <si>
    <t>Burundi</t>
  </si>
  <si>
    <t>Saleem, Farhan</t>
  </si>
  <si>
    <t>Syed, Sidra</t>
  </si>
  <si>
    <t>Ullah, Irfan</t>
  </si>
  <si>
    <t>Xing, Yun</t>
  </si>
  <si>
    <t>Ma, Xieyao</t>
  </si>
  <si>
    <t>Choi, Ki-Seon</t>
  </si>
  <si>
    <t>Kang, Sung-Dae</t>
  </si>
  <si>
    <t>Kim, Baek-Jo</t>
  </si>
  <si>
    <t>Kim, Hae-Dong</t>
  </si>
  <si>
    <t>Nguyen, Duc Van</t>
  </si>
  <si>
    <t>Taiwan</t>
  </si>
  <si>
    <t>Wang, Chung-Chieh</t>
  </si>
  <si>
    <t>Jani, Rohana</t>
  </si>
  <si>
    <t>McNeil, Rhysa</t>
  </si>
  <si>
    <t>Munawar, Munawar</t>
  </si>
  <si>
    <t>Prasetya, Tofan Agung Eka</t>
  </si>
  <si>
    <t>Qian, Jian-Hua</t>
  </si>
  <si>
    <t>Attavanich, Witsanu</t>
  </si>
  <si>
    <t>Hein, Yarzar</t>
  </si>
  <si>
    <t>Janekarnkij, Penporn</t>
  </si>
  <si>
    <t>Vijitsrikamol, Kampanat</t>
  </si>
  <si>
    <t>Duc Le</t>
  </si>
  <si>
    <t>Hang Vu-Thanh</t>
  </si>
  <si>
    <t>Kitoh, Akio</t>
  </si>
  <si>
    <t>Linh Nguyen-Manh</t>
  </si>
  <si>
    <t>Sasaki, Hidetaka</t>
  </si>
  <si>
    <t>Takayabu, Izuru</t>
  </si>
  <si>
    <t>Truong Nguyen-Minh</t>
  </si>
  <si>
    <t>Xin Kieu-Thi</t>
  </si>
  <si>
    <t>Islam, A. R. M. Towfiqul</t>
  </si>
  <si>
    <t>Bangladesh</t>
  </si>
  <si>
    <t>Maw, K. W.</t>
  </si>
  <si>
    <t>Moya, T. B.</t>
  </si>
  <si>
    <t>Oo, Kyaw Than</t>
  </si>
  <si>
    <t>Dado, Julie Mae B.</t>
  </si>
  <si>
    <t>Takahashi, Hiroshi G.</t>
  </si>
  <si>
    <t>Mie Sein, Zin Mie</t>
  </si>
  <si>
    <t>Rasool, Ghulam</t>
  </si>
  <si>
    <t>Le, Phong V. V.</t>
  </si>
  <si>
    <t>Mai, Khiem V.</t>
  </si>
  <si>
    <t>Tan Phan-Van</t>
  </si>
  <si>
    <t>Tran, Duc Q.</t>
  </si>
  <si>
    <t>Cruz, Faye Abigail T.</t>
  </si>
  <si>
    <t>Narisma, Gemma Teresa T.</t>
  </si>
  <si>
    <t>Peralta, J. C. Albert C.</t>
  </si>
  <si>
    <t>Chen, Cheng Yee</t>
  </si>
  <si>
    <t>Singh, Mandeep Jit</t>
  </si>
  <si>
    <t>Williamson, Fiona</t>
  </si>
  <si>
    <t>Ares, Emma D.</t>
  </si>
  <si>
    <t>Barba, Rose</t>
  </si>
  <si>
    <t>Cinco, Thelma A.</t>
  </si>
  <si>
    <t>de Guzman, Rosalina G.</t>
  </si>
  <si>
    <t>Delfino, Rafaela Jane P.</t>
  </si>
  <si>
    <t>Hilario, Flaviana D.</t>
  </si>
  <si>
    <t>Juanillo, Edna L.</t>
  </si>
  <si>
    <t>Lasco, Rodel D.</t>
  </si>
  <si>
    <t>Ortiz, Andrea Monica D.</t>
  </si>
  <si>
    <t>Salvacion, Arnold R.</t>
  </si>
  <si>
    <t>Dong, Zizhen</t>
  </si>
  <si>
    <t>Faikrua, Apiwat</t>
  </si>
  <si>
    <t>Limsakul, Atsamon</t>
  </si>
  <si>
    <t>Singhruck, Patama</t>
  </si>
  <si>
    <t>Wang, Lin</t>
  </si>
  <si>
    <t>Bang, Ho Q.</t>
  </si>
  <si>
    <t>Duc, Hiep N.</t>
  </si>
  <si>
    <t>Quang, Ngo X.</t>
  </si>
  <si>
    <t>Kumar, Anupam</t>
  </si>
  <si>
    <t>Moise, Aurel Florian</t>
  </si>
  <si>
    <t>Obbard, Jeff</t>
  </si>
  <si>
    <t>Yu, Jianjun</t>
  </si>
  <si>
    <t>Cheong, Brendan D.</t>
  </si>
  <si>
    <t>Chow, Winston T. L.</t>
  </si>
  <si>
    <t>Ho, Beatrice H.</t>
  </si>
  <si>
    <t>Haishan, Chen</t>
  </si>
  <si>
    <t>Jonah, Kazora</t>
  </si>
  <si>
    <t>Rwanda</t>
  </si>
  <si>
    <t>Bagtasa, Gerry</t>
  </si>
  <si>
    <t>Liong, Shie-Yui</t>
  </si>
  <si>
    <t>Raghavan, Srivatsan V.</t>
  </si>
  <si>
    <t>Vu, Tue M.</t>
  </si>
  <si>
    <t>He Li</t>
  </si>
  <si>
    <t>Huang Xiaoyan</t>
  </si>
  <si>
    <t>Huang Ying</t>
  </si>
  <si>
    <t>Zhao Huasheng</t>
  </si>
  <si>
    <t>Chhin, Rattana</t>
  </si>
  <si>
    <t>Shwe, Myint M.</t>
  </si>
  <si>
    <t>Yoden, Shigeo</t>
  </si>
  <si>
    <t>Jiang, Songyao</t>
  </si>
  <si>
    <t>Jin, Jian-Hua</t>
  </si>
  <si>
    <t>Kodrul, Tatiana M.</t>
  </si>
  <si>
    <t>Russia</t>
  </si>
  <si>
    <t>Maslova, Natalia P.</t>
  </si>
  <si>
    <t>Quan, Cheng</t>
  </si>
  <si>
    <t>Wu, Xinkai</t>
  </si>
  <si>
    <t>Yin, Qianyi</t>
  </si>
  <si>
    <t>Zhang, Hao</t>
  </si>
  <si>
    <t>Inoue, Tomoshige</t>
  </si>
  <si>
    <t>Long Trinh-Tuan</t>
  </si>
  <si>
    <t>Nodzu, Masato I.</t>
  </si>
  <si>
    <t>Thanh Ngo-Duc</t>
  </si>
  <si>
    <t>Boccardo, Piero</t>
  </si>
  <si>
    <t>Italy</t>
  </si>
  <si>
    <t>Borgogno-Mondino, Enrico</t>
  </si>
  <si>
    <t>De Petris, Samuele</t>
  </si>
  <si>
    <t>Amalia, Siti</t>
  </si>
  <si>
    <t>Chung, Jing Xiang</t>
  </si>
  <si>
    <t>Juneng, Liew</t>
  </si>
  <si>
    <t>Ngai, Sheau Tieh</t>
  </si>
  <si>
    <t>Salimun, Ester</t>
  </si>
  <si>
    <t>Tangang, Fredolin T.</t>
  </si>
  <si>
    <t>Asrar, Ghassem R.</t>
  </si>
  <si>
    <t>Ibrahim, Kamarulazizi</t>
  </si>
  <si>
    <t>Koshy, Kanayathu Chacko</t>
  </si>
  <si>
    <t>Shabudin, Ahmad Firdaus Ahmad</t>
  </si>
  <si>
    <t>Buajan, Supaporn</t>
  </si>
  <si>
    <t>Cai, Binggui</t>
  </si>
  <si>
    <t>Kongsombat, Prat</t>
  </si>
  <si>
    <t>Kulsuwan, Patticha</t>
  </si>
  <si>
    <t>Muangsong, Chotika</t>
  </si>
  <si>
    <t>Panthi, Shankar</t>
  </si>
  <si>
    <t>Pumijumnong, Nathsuda</t>
  </si>
  <si>
    <t>Fosu, Boniface O.</t>
  </si>
  <si>
    <t>Wang, Shih-Yu Simon</t>
  </si>
  <si>
    <t>Fu, Shen-Ming</t>
  </si>
  <si>
    <t>Ma, Zheng</t>
  </si>
  <si>
    <t>Sun, Jian-Hua</t>
  </si>
  <si>
    <t>Wei, Jie</t>
  </si>
  <si>
    <t>Yang, Wen-Ting</t>
  </si>
  <si>
    <t>Zheng, Fei</t>
  </si>
  <si>
    <t>Huang, He Qing</t>
  </si>
  <si>
    <t>Li, Renzhi</t>
  </si>
  <si>
    <t>Wang, Zhonggen</t>
  </si>
  <si>
    <t>Zhao, Ruxin</t>
  </si>
  <si>
    <t>Cayanan, Esperanza O.</t>
  </si>
  <si>
    <t>Kubota, Hisayuki</t>
  </si>
  <si>
    <t>Olaguera, Lyndon Mark P.</t>
  </si>
  <si>
    <t>Buckley, Brendan M.</t>
  </si>
  <si>
    <t>Cho, C.</t>
  </si>
  <si>
    <t>Gillies, R. R.</t>
  </si>
  <si>
    <t>Li, R.</t>
  </si>
  <si>
    <t>Yoon, J. -H.</t>
  </si>
  <si>
    <t>Choy, Suelynn</t>
  </si>
  <si>
    <t>Kuleshov, Yuriy</t>
  </si>
  <si>
    <t>Le, Tien</t>
  </si>
  <si>
    <t>Sun, Chayn</t>
  </si>
  <si>
    <t>Hassim, Muhammad Eeqmal Eesfansyah</t>
  </si>
  <si>
    <t>Timbal, Bertrand</t>
  </si>
  <si>
    <t>Sharma, Anu Rani</t>
  </si>
  <si>
    <t>Shrivastava, Sourabh</t>
  </si>
  <si>
    <t>Agustin, Wilmer</t>
  </si>
  <si>
    <t>Hong, Juyoung</t>
  </si>
  <si>
    <t>Park, Jeong-Soo</t>
  </si>
  <si>
    <t>Yoon, Sanghoo</t>
  </si>
  <si>
    <t>Murata, Akihiko</t>
  </si>
  <si>
    <t>Nosaka, Masaya</t>
  </si>
  <si>
    <t>Supari, Supari</t>
  </si>
  <si>
    <t>Gischler, Eberhard</t>
  </si>
  <si>
    <t>Hudson, J. Harold</t>
  </si>
  <si>
    <t>Klostermann, Lars</t>
  </si>
  <si>
    <t>Storz, David</t>
  </si>
  <si>
    <t>Lund, Steve P.</t>
  </si>
  <si>
    <t>Aldrian, Edvin</t>
  </si>
  <si>
    <t>Gunawan, Dodo</t>
  </si>
  <si>
    <t>Magnaye, Angela Monina T.</t>
  </si>
  <si>
    <t>Ngo-Duc, Thanh</t>
  </si>
  <si>
    <t>Phan-Van, Tan</t>
  </si>
  <si>
    <t>Santisirisomboon, Jerasom</t>
  </si>
  <si>
    <t>Phuong Nguyen-Ngoc-Bich</t>
  </si>
  <si>
    <t>Tue Vu-Minh</t>
  </si>
  <si>
    <t>Villafuerte, Marcelino Q., II</t>
  </si>
  <si>
    <t>Huang, Yuk Feng</t>
  </si>
  <si>
    <t>Ng, Jing Lin</t>
  </si>
  <si>
    <t>Tan, Yi Xun</t>
  </si>
  <si>
    <t>Browning, James, V</t>
  </si>
  <si>
    <t>Makarova, Maria</t>
  </si>
  <si>
    <t>Miller, Kenneth G.</t>
  </si>
  <si>
    <t>Podrecca, Luca G.</t>
  </si>
  <si>
    <t>Wright, James D.</t>
  </si>
  <si>
    <t>Trinh-Tuan, Long</t>
  </si>
  <si>
    <t>Axelsson, Josefine</t>
  </si>
  <si>
    <t>Barnett, Jamie</t>
  </si>
  <si>
    <t>Dickinson, Travis</t>
  </si>
  <si>
    <t>Power, Katherine</t>
  </si>
  <si>
    <t>Dash, Itesh</t>
  </si>
  <si>
    <t>Nagai, Masahiko</t>
  </si>
  <si>
    <t>Pal, Indrajit</t>
  </si>
  <si>
    <t>Prasanna, Venkatraman</t>
  </si>
  <si>
    <t>Quang-Van Doan</t>
  </si>
  <si>
    <t>Katzfey, Jack J.</t>
  </si>
  <si>
    <t>McGregor, John L.</t>
  </si>
  <si>
    <t>Nguyen, Kim C.</t>
  </si>
  <si>
    <t>Ha Pham-Thanh</t>
  </si>
  <si>
    <t>Hiep Van Nguyen</t>
  </si>
  <si>
    <t>Laux, Patrick</t>
  </si>
  <si>
    <t>Thanh Nguyen-Xuan</t>
  </si>
  <si>
    <t>Cheng, Hai</t>
  </si>
  <si>
    <t>Hu, Chaoyong</t>
  </si>
  <si>
    <t>Dang-Quang Nguyen</t>
  </si>
  <si>
    <t>Buonomo, Erasmo</t>
  </si>
  <si>
    <t>Daron, Joseph</t>
  </si>
  <si>
    <t>Gallo, Florian</t>
  </si>
  <si>
    <t>Hein-Griggs, David</t>
  </si>
  <si>
    <t>Jones, Richard G.</t>
  </si>
  <si>
    <t>Macadam, Ian</t>
  </si>
  <si>
    <t>Tucker, Simon</t>
  </si>
  <si>
    <t>Ngo Duc Thanh</t>
  </si>
  <si>
    <t>Nguyen Thi Tuyet</t>
  </si>
  <si>
    <t>Phan Van Tan</t>
  </si>
  <si>
    <t>Wilson, David M.</t>
  </si>
  <si>
    <t>Firdaus, R. B. Radin</t>
  </si>
  <si>
    <t>Cheng, Ke-Sheng</t>
  </si>
  <si>
    <t>Kanzaki, Mamoru</t>
  </si>
  <si>
    <t>Lien, Tsung-Hsun</t>
  </si>
  <si>
    <t>Toe, Mya Thandar</t>
  </si>
  <si>
    <t>Ahn, Joong-Bae</t>
  </si>
  <si>
    <t>Kim, So-Hee</t>
  </si>
  <si>
    <t>Sun, Jianqi</t>
  </si>
  <si>
    <t>Kong, Han</t>
  </si>
  <si>
    <t>Li, Jie</t>
  </si>
  <si>
    <t>Wang, Jinliang</t>
  </si>
  <si>
    <t>Zhang, Jianpeng</t>
  </si>
  <si>
    <t>Zhang, Jun</t>
  </si>
  <si>
    <t>Bhatti, Asif Mumtaz</t>
  </si>
  <si>
    <t>Jaranilla-Sanchez, Patricia Ann</t>
  </si>
  <si>
    <t>Koike, Toshio</t>
  </si>
  <si>
    <t>Koudelova, Petra</t>
  </si>
  <si>
    <t>Nyunt, Cho Thanda</t>
  </si>
  <si>
    <t>Tamagawa, Katsunori</t>
  </si>
  <si>
    <t>Khoi, Dao Nguyen</t>
  </si>
  <si>
    <t>Thao, Nguyen Thi Thanh</t>
  </si>
  <si>
    <t>Tychon, Bernard</t>
  </si>
  <si>
    <t>Xuan, Tran Thanh</t>
  </si>
  <si>
    <t>Chen, Jie</t>
  </si>
  <si>
    <t>Kim, Jong-Suk</t>
  </si>
  <si>
    <t>Lee, Taesam</t>
  </si>
  <si>
    <t>Ma, Tianfang</t>
  </si>
  <si>
    <t>Xiong, Lihua</t>
  </si>
  <si>
    <t>Yoon, Sun-Kwon</t>
  </si>
  <si>
    <t>Zhang, Long</t>
  </si>
  <si>
    <t>Tierra, Maria Czarina M.</t>
  </si>
  <si>
    <t>Albar, Israr</t>
  </si>
  <si>
    <t>Atmoko, Dwi</t>
  </si>
  <si>
    <t>Field, Robert D.</t>
  </si>
  <si>
    <t>Saharjo, Bambang Hero</t>
  </si>
  <si>
    <t>Shawki, Dilshad</t>
  </si>
  <si>
    <t>Tippett, Michael K.</t>
  </si>
  <si>
    <t>Saudi Arabia</t>
  </si>
  <si>
    <t>Voulgarakis, Apostolos</t>
  </si>
  <si>
    <t>Asch, Folkard</t>
  </si>
  <si>
    <t>Bui Tan Yen</t>
  </si>
  <si>
    <t>Duong Quynh Vu</t>
  </si>
  <si>
    <t>Quang Hieu Dinh</t>
  </si>
  <si>
    <t>Sander, Bjoern Ole</t>
  </si>
  <si>
    <t>Thi Bach Thuong Vo</t>
  </si>
  <si>
    <t>Thi Hang Vu</t>
  </si>
  <si>
    <t>Thi Phuong Loan Bui</t>
  </si>
  <si>
    <t>Van Trinh Mai</t>
  </si>
  <si>
    <t>Wassmann, Reiner</t>
  </si>
  <si>
    <t>Holloway, Christopher E.</t>
  </si>
  <si>
    <t>Klingaman, Nicholas P.</t>
  </si>
  <si>
    <t>Racoma, Bernard Alan B.</t>
  </si>
  <si>
    <t>Schiemann, Reinhard K. H.</t>
  </si>
  <si>
    <t>Aung, Day Wa</t>
  </si>
  <si>
    <t>Bergel, S.</t>
  </si>
  <si>
    <t>Capirala, A.</t>
  </si>
  <si>
    <t>Dupont-Nivet, Guillaume</t>
  </si>
  <si>
    <t>France</t>
  </si>
  <si>
    <t>Huntington, K. W.</t>
  </si>
  <si>
    <t>Kelson, J.</t>
  </si>
  <si>
    <t>Licht, Alexis</t>
  </si>
  <si>
    <t>Petersen, S., V</t>
  </si>
  <si>
    <t>Schauer, A.</t>
  </si>
  <si>
    <t>Win, Zaw</t>
  </si>
  <si>
    <t>Fan, Yi</t>
  </si>
  <si>
    <t>Li, Huixin</t>
  </si>
  <si>
    <t>Li, Jiayao</t>
  </si>
  <si>
    <t>Zhou, Botao</t>
  </si>
  <si>
    <t>Zhu, Shoupeng</t>
  </si>
  <si>
    <t>Clay, Gareth D.</t>
  </si>
  <si>
    <t>Doerr, Stefan H.</t>
  </si>
  <si>
    <t>Mezbahuddin, Symon</t>
  </si>
  <si>
    <t>Nikonovas, Tadas</t>
  </si>
  <si>
    <t>Spessa, Allan</t>
  </si>
  <si>
    <t>Nguyen-Thuy, Huong</t>
  </si>
  <si>
    <t>Kawasaki, Akiyuki</t>
  </si>
  <si>
    <t>Van Viet, Luong</t>
  </si>
  <si>
    <t>Cuong, Hoang D.</t>
  </si>
  <si>
    <t>Hien, Nguyen X.</t>
  </si>
  <si>
    <t>Kieu, Chanh</t>
  </si>
  <si>
    <t>Thanh, Nguyen T.</t>
  </si>
  <si>
    <t>Shirooka, Ryuichi</t>
  </si>
  <si>
    <t>Alsepan, Givo</t>
  </si>
  <si>
    <t>Minobe, Shoshiro</t>
  </si>
  <si>
    <t>Farzanmanesh, Raheleh</t>
  </si>
  <si>
    <t>Jamaluddin, Ahmad Fairudz</t>
  </si>
  <si>
    <t>Mirzaei, Ali</t>
  </si>
  <si>
    <t>Guo, Huadong</t>
  </si>
  <si>
    <t>Li, Xinwu</t>
  </si>
  <si>
    <t>Wang, Liyan</t>
  </si>
  <si>
    <t>Akasaka, Ikumi</t>
  </si>
  <si>
    <t>Li, Li</t>
  </si>
  <si>
    <t>Shen, Qian</t>
  </si>
  <si>
    <t>Zhang, Binghua</t>
  </si>
  <si>
    <t>Zhang, Li</t>
  </si>
  <si>
    <t>Zhou, Yu</t>
  </si>
  <si>
    <t>David, Carlos Primo C.</t>
  </si>
  <si>
    <t>Ibarra, Daniel E.</t>
  </si>
  <si>
    <t>Tolentino, Pamela Louise M.</t>
  </si>
  <si>
    <t>Duc Tran Anh</t>
  </si>
  <si>
    <t>Hoa Vo Van</t>
  </si>
  <si>
    <t>Hole, Lars Robert</t>
  </si>
  <si>
    <t>Norway</t>
  </si>
  <si>
    <t>Hung Mai Khanh</t>
  </si>
  <si>
    <t>Huyen Luong Thi Thanh</t>
  </si>
  <si>
    <t>Quan Dang Dinh</t>
  </si>
  <si>
    <t>Tien Du Duc</t>
  </si>
  <si>
    <t>Koh, Tieh-Yong</t>
  </si>
  <si>
    <t>Li, Xian-Xiang</t>
  </si>
  <si>
    <t>Norford, Leslie K.</t>
  </si>
  <si>
    <t>Panda, Jagabandhu</t>
  </si>
  <si>
    <t>Im, Eun-Soon</t>
  </si>
  <si>
    <t>Jung, Il-Won</t>
  </si>
  <si>
    <t>Lee, Eun-Jeong</t>
  </si>
  <si>
    <t>Shin, Yonghee</t>
  </si>
  <si>
    <t>Tebakari, Taichi</t>
  </si>
  <si>
    <t>Tsuda, Hinako</t>
  </si>
  <si>
    <t>Abd Wahab, Ahmad Khairi</t>
  </si>
  <si>
    <t>Bin Ismail, Zulhilmi</t>
  </si>
  <si>
    <t>Pour, Sahar Hadi</t>
  </si>
  <si>
    <t>Shahid, Shamsuddin</t>
  </si>
  <si>
    <t>Babovic, Vladan</t>
  </si>
  <si>
    <t>Li, Xin</t>
  </si>
  <si>
    <t>Wang, Xuan</t>
  </si>
  <si>
    <t>Ahmed, Ali Najah</t>
  </si>
  <si>
    <t>El-Shafie, Ahmed</t>
  </si>
  <si>
    <t>UAE</t>
  </si>
  <si>
    <t>Kumar, Pavitra</t>
  </si>
  <si>
    <t>Tan, Kok Weng</t>
  </si>
  <si>
    <t>Ayugi, Brian Odhiambo</t>
  </si>
  <si>
    <t>Chung, Eun-Sung</t>
  </si>
  <si>
    <t>Deegala, Danushka</t>
  </si>
  <si>
    <t>Song, Young Hoon</t>
  </si>
  <si>
    <t>Kurniadi, Ari</t>
  </si>
  <si>
    <t>Min, Seung-Ki</t>
  </si>
  <si>
    <t>Seong, Min-Gyu</t>
  </si>
  <si>
    <t>Weller, Evan</t>
  </si>
  <si>
    <t>Do, Hong Xuan</t>
  </si>
  <si>
    <t>Le, Manh-Hung</t>
  </si>
  <si>
    <t>Le, Tu Hoang</t>
  </si>
  <si>
    <t>Nguyen, Binh Quang</t>
  </si>
  <si>
    <t>Pham, Hung Thanh</t>
  </si>
  <si>
    <t>Arjasakusuma, Sanjiwana</t>
  </si>
  <si>
    <t>Hirano, Yasuhiro</t>
  </si>
  <si>
    <t>Yamaguchi, Yasushi</t>
  </si>
  <si>
    <t>Zhou, Xiang</t>
  </si>
  <si>
    <t>bin Hassan, Mohamad Hafiz</t>
  </si>
  <si>
    <t>bin Osman, Sazali</t>
  </si>
  <si>
    <t>Chang, Chun Kiat</t>
  </si>
  <si>
    <t>Chun, Kwok Pan</t>
  </si>
  <si>
    <t>Kabir, Muhammad Humayun</t>
  </si>
  <si>
    <t>Samat, Narimah</t>
  </si>
  <si>
    <t>Tew, Yi Lin</t>
  </si>
  <si>
    <t>Catto, Jennifer L.</t>
  </si>
  <si>
    <t>Hawcroft, Matthew K.</t>
  </si>
  <si>
    <t>Haywood, James M.</t>
  </si>
  <si>
    <t>Hodges, Kevin, I</t>
  </si>
  <si>
    <t>Liang, Ju</t>
  </si>
  <si>
    <t>Chan, Johnny C. L.</t>
  </si>
  <si>
    <t>Liu, Kin Sik</t>
  </si>
  <si>
    <t>Busababodhin, Piyapatr</t>
  </si>
  <si>
    <t>Prahadchai, Thanawan</t>
  </si>
  <si>
    <t>Shin, Yonggwan</t>
  </si>
  <si>
    <t>Basconcillo, Joseph Q.</t>
  </si>
  <si>
    <t>Duran, Ger Anne</t>
  </si>
  <si>
    <t>Maratas, Shalou-Lea A.</t>
  </si>
  <si>
    <t>Moon, Il-Ju</t>
  </si>
  <si>
    <t>Li, Laurent Z. X.</t>
  </si>
  <si>
    <t>Liang, Shijing</t>
  </si>
  <si>
    <t>Wang, Dashan</t>
  </si>
  <si>
    <t>Zeng, Zhenzhong</t>
  </si>
  <si>
    <t>Ziegler, Alan D.</t>
  </si>
  <si>
    <t>Hamid, Hazandy Abdul</t>
  </si>
  <si>
    <t>Marin Atucha, Arnaldo Aitor</t>
  </si>
  <si>
    <t>Nuruddin, Ahmad Ainuddin</t>
  </si>
  <si>
    <t>Razali, Sheriza Mohd</t>
  </si>
  <si>
    <t>Shafri, Helmi Zulhaidi Mohd</t>
  </si>
  <si>
    <t>Adnyana, I. Wayan Sandi</t>
  </si>
  <si>
    <t>Arthana, I. Wayan</t>
  </si>
  <si>
    <t>As-syakur, Abd. Rahman</t>
  </si>
  <si>
    <t>Ekayanti, Ni Wayan</t>
  </si>
  <si>
    <t>Kasa, I. Wayan</t>
  </si>
  <si>
    <t>Mahendra, Made Sudiana</t>
  </si>
  <si>
    <t>Merit, I. Nyoman</t>
  </si>
  <si>
    <t>Nuarsa, I. Wayan</t>
  </si>
  <si>
    <t>Sunarta, I. Nyoman</t>
  </si>
  <si>
    <t>Agus, Fahmuddin</t>
  </si>
  <si>
    <t>Astiani, Dwi</t>
  </si>
  <si>
    <t>Asyhari, Adibtya</t>
  </si>
  <si>
    <t>Desai, Ankur R.</t>
  </si>
  <si>
    <t>Deshmukh, Chandra S.</t>
  </si>
  <si>
    <t>Evans, Chris D.</t>
  </si>
  <si>
    <t>Gauci, Vincent</t>
  </si>
  <si>
    <t>Hendrizal, M.</t>
  </si>
  <si>
    <t>Julius, Dony</t>
  </si>
  <si>
    <t>Kurnianto, Sofyan</t>
  </si>
  <si>
    <t>Nardi, Nardi</t>
  </si>
  <si>
    <t>Nurholis, Nurholis</t>
  </si>
  <si>
    <t>Page, Susan E.</t>
  </si>
  <si>
    <t>Sabiham, Supiandi</t>
  </si>
  <si>
    <t>Salam, Yuandanis W.</t>
  </si>
  <si>
    <t>Suardiwerianto, Yogi</t>
  </si>
  <si>
    <t>Susanto, Ari P.</t>
  </si>
  <si>
    <t>Do-Trong, Quoc</t>
  </si>
  <si>
    <t>Nguyen-Dinh, Thai</t>
  </si>
  <si>
    <t>Nguyen-Van, Huong</t>
  </si>
  <si>
    <t>Ojala, Antti E. K.</t>
  </si>
  <si>
    <t>Finland</t>
  </si>
  <si>
    <t>Sauer, Peter E.</t>
  </si>
  <si>
    <t>Schimmelmann, Arndt</t>
  </si>
  <si>
    <t>Sun, Chunqing</t>
  </si>
  <si>
    <t>Unkel, Ingmar</t>
  </si>
  <si>
    <t>Wang, Wei</t>
  </si>
  <si>
    <t>Wang, Xue</t>
  </si>
  <si>
    <t>Xu, Xiaoting</t>
  </si>
  <si>
    <t>Zhong, Mianqing</t>
  </si>
  <si>
    <t>Benhamrouche, Aziz</t>
  </si>
  <si>
    <t>Algeria</t>
  </si>
  <si>
    <t>Carmen Moreno-Garcia, M.</t>
  </si>
  <si>
    <t>Kouachi, Mostefa E.</t>
  </si>
  <si>
    <t>Martin-Vide, Javier</t>
  </si>
  <si>
    <t>Quoc Bao Pham</t>
  </si>
  <si>
    <t>Jaafar, Wan Zurina Wan</t>
  </si>
  <si>
    <t>Lai, Sai Hin</t>
  </si>
  <si>
    <t>Liew, Juneng</t>
  </si>
  <si>
    <t>Mei, Yiwen</t>
  </si>
  <si>
    <t>Ng, Cia Yik</t>
  </si>
  <si>
    <t>Othman, Faridah</t>
  </si>
  <si>
    <t>Vu Van Tac</t>
  </si>
  <si>
    <t>Nikulin, Grigory</t>
  </si>
  <si>
    <t>Promjirapawat, Kamphol</t>
  </si>
  <si>
    <t>Santisirisomboon, Jaruthat</t>
  </si>
  <si>
    <t>Setsirichok, Damrongrit</t>
  </si>
  <si>
    <t>Sheau Tieh Ngai</t>
  </si>
  <si>
    <t>Srisawadwong, Ratchanan</t>
  </si>
  <si>
    <t>Sukamongkol, Yod</t>
  </si>
  <si>
    <t>Wongsaree, Waranyu</t>
  </si>
  <si>
    <t>Yang, Hongwei</t>
  </si>
  <si>
    <t>Mai Van Khiem</t>
  </si>
  <si>
    <t>McSweeney, Carol</t>
  </si>
  <si>
    <t>Redmond, Grace</t>
  </si>
  <si>
    <t>Tran Thuc</t>
  </si>
  <si>
    <t>Bolten, John</t>
  </si>
  <si>
    <t>Duong Du Bui</t>
  </si>
  <si>
    <t>Lakshmi, Venkataraman</t>
  </si>
  <si>
    <t>Manh-Hung Le</t>
  </si>
  <si>
    <t>Hong, Xuebao</t>
  </si>
  <si>
    <t>Lwin, Aung</t>
  </si>
  <si>
    <t>Sara, Cheraghi Shamsabadi</t>
  </si>
  <si>
    <t>Yang, Dongkai</t>
  </si>
  <si>
    <t>Zhang, Baoyin</t>
  </si>
  <si>
    <t>Zhang, Bo</t>
  </si>
  <si>
    <t>Camargo, Suzana J.</t>
  </si>
  <si>
    <t>Emanuel, Kerry A.</t>
  </si>
  <si>
    <t>Kossin, James P.</t>
  </si>
  <si>
    <t>Gui, Shu</t>
  </si>
  <si>
    <t>Yang, Ruowen</t>
  </si>
  <si>
    <t>Zeng, Feng</t>
  </si>
  <si>
    <t>Bang Thanh Nguyen</t>
  </si>
  <si>
    <t>Doan Ha Phong</t>
  </si>
  <si>
    <t>Hien Thuan Nguyen</t>
  </si>
  <si>
    <t>Hoffmann, Peter</t>
  </si>
  <si>
    <t>Kien Ba Truong</t>
  </si>
  <si>
    <t>Kim Nguyen</t>
  </si>
  <si>
    <t>Ramasamy, Suppiah</t>
  </si>
  <si>
    <t>Thang Van Nguyen</t>
  </si>
  <si>
    <t>Thang Van Vu</t>
  </si>
  <si>
    <t>Trung Nguyen-Quang</t>
  </si>
  <si>
    <t>Hall, Timothy M.</t>
  </si>
  <si>
    <t>Yonekura, Emmi</t>
  </si>
  <si>
    <t>Tan, Kok Chooi</t>
  </si>
  <si>
    <t>Kim, In-Won</t>
  </si>
  <si>
    <t>Woo, Sumin</t>
  </si>
  <si>
    <t>Lannigan, Robert</t>
  </si>
  <si>
    <t>Owrangi, Amin M.</t>
  </si>
  <si>
    <t>Simonovic, Slobodan P.</t>
  </si>
  <si>
    <t>Ha Dung Hoang</t>
  </si>
  <si>
    <t>Momtaz, Salim</t>
  </si>
  <si>
    <t>Schreider, Maria</t>
  </si>
  <si>
    <t>Ahmed, Kamal</t>
  </si>
  <si>
    <t>bin Ismail, Tarmizi</t>
  </si>
  <si>
    <t>Nawaz, Nadeem</t>
  </si>
  <si>
    <t>Noor, Muhammad</t>
  </si>
  <si>
    <t>Kachenchart, Boonlue</t>
  </si>
  <si>
    <t>Kamlangkla, Chaiyanan</t>
  </si>
  <si>
    <t>Kammuang, Asadorn</t>
  </si>
  <si>
    <t>Gatto, Beatrice</t>
  </si>
  <si>
    <t>Magni, Michele</t>
  </si>
  <si>
    <t>Marconi, Michele</t>
  </si>
  <si>
    <t>Marincioni, Fausto</t>
  </si>
  <si>
    <t>Duc Tran-Quang</t>
  </si>
  <si>
    <t>The-Anh Vu</t>
  </si>
  <si>
    <t>Blanc, Elodie</t>
  </si>
  <si>
    <t>Strobl, Eric</t>
  </si>
  <si>
    <t>Halsnaes, Kirsten</t>
  </si>
  <si>
    <t>Kaspersen, Per Skougaard</t>
  </si>
  <si>
    <t>Larsen, Morten Andreas Dahl</t>
  </si>
  <si>
    <t>Tri, Doan Quang</t>
  </si>
  <si>
    <t>Truong, Dinh Duc</t>
  </si>
  <si>
    <t>Ali, Firdaus</t>
  </si>
  <si>
    <t>Ishiwatari, Mikio</t>
  </si>
  <si>
    <t>Lee, Joo-Heon</t>
  </si>
  <si>
    <t>Matsuki, Hirotaka</t>
  </si>
  <si>
    <t>Tabios, Guillermo Q., III</t>
  </si>
  <si>
    <t>Abastillas, Rusy G.</t>
  </si>
  <si>
    <t>Duran, Ger Anne W.</t>
  </si>
  <si>
    <t>Francisco, Aaron A.</t>
  </si>
  <si>
    <t>Lucero, Anthony Joseph R.</t>
  </si>
  <si>
    <t>Solis, Ana Liza Solmoro</t>
  </si>
  <si>
    <t>Brill, Dominik</t>
  </si>
  <si>
    <t>Brueckner, Helmut</t>
  </si>
  <si>
    <t>Kraas, Frauke</t>
  </si>
  <si>
    <t>Minderhoud, Philip S. J.</t>
  </si>
  <si>
    <t>Oo, Nay Win</t>
  </si>
  <si>
    <t>Peffekoever, Andreas</t>
  </si>
  <si>
    <t>Seeger, Katharina</t>
  </si>
  <si>
    <t>Vogel, Anissa</t>
  </si>
  <si>
    <t>Abhishek, Abhijeet</t>
  </si>
  <si>
    <t>Andreadis, Konstantinos M.</t>
  </si>
  <si>
    <t>Das, Narendra N.</t>
  </si>
  <si>
    <t>Dutta, Rishiraj</t>
  </si>
  <si>
    <t>Ellenburg, Walter L.</t>
  </si>
  <si>
    <t>Granger, Stephanie</t>
  </si>
  <si>
    <t>Ines, Amor V. M.</t>
  </si>
  <si>
    <t>Jayasinghe, Susantha</t>
  </si>
  <si>
    <t>Markert, Amanda M.</t>
  </si>
  <si>
    <t>Mishra, Vikalp</t>
  </si>
  <si>
    <t>Phanikumar, Mantha S.</t>
  </si>
  <si>
    <t>Quyen, Nguyen Hanh</t>
  </si>
  <si>
    <t>Ando, Kentaro</t>
  </si>
  <si>
    <t>Hasegawa, Takuya</t>
  </si>
  <si>
    <t>Nagano, Akira</t>
  </si>
  <si>
    <t>Ueki, Iwao</t>
  </si>
  <si>
    <t>Lambrento, John Carlo R.</t>
  </si>
  <si>
    <t>Lassa, Jonatan A.</t>
  </si>
  <si>
    <t>Komori, Daisuke</t>
  </si>
  <si>
    <t>Phakonkham, Sengphrachanh</t>
  </si>
  <si>
    <t>Laos</t>
  </si>
  <si>
    <t>Bai, Yazhi</t>
  </si>
  <si>
    <t>Hu, Limin</t>
  </si>
  <si>
    <t>Khokiattiwong, Somkiat</t>
  </si>
  <si>
    <t>Kornkanitnan, Narumol</t>
  </si>
  <si>
    <t>Liu, Jihua</t>
  </si>
  <si>
    <t>Liu, Shengfa</t>
  </si>
  <si>
    <t>Qiao, Shuqing</t>
  </si>
  <si>
    <t>Shi, Xuefa</t>
  </si>
  <si>
    <t>Wu, Bin</t>
  </si>
  <si>
    <t>Wu, Xiaodan</t>
  </si>
  <si>
    <t>Zhu, Aimei</t>
  </si>
  <si>
    <t>Mainuddin, Mohammed</t>
  </si>
  <si>
    <t>Chen, Gang</t>
  </si>
  <si>
    <t>Sun, Yuexiang</t>
  </si>
  <si>
    <t>Tan, Benkui</t>
  </si>
  <si>
    <t>Meshgi, Ali</t>
  </si>
  <si>
    <t>Mishra, Ashok K.</t>
  </si>
  <si>
    <t>Ii, Marcelino Q. Villafuerte</t>
  </si>
  <si>
    <t>Lo, Tzu-Ting</t>
  </si>
  <si>
    <t>Tsai, Hsiao-Chung</t>
  </si>
  <si>
    <t>Sun, Siao</t>
  </si>
  <si>
    <t>Bautista, Eulito</t>
  </si>
  <si>
    <t>Kanamaru, Hideki</t>
  </si>
  <si>
    <t>Koizumi, Tatsuji</t>
  </si>
  <si>
    <t>Sandoval, Robert, Jr.</t>
  </si>
  <si>
    <t>Syafrina, A. H.</t>
  </si>
  <si>
    <t>Zalina, M. D.</t>
  </si>
  <si>
    <t>Long Trinh Tuan</t>
  </si>
  <si>
    <t>Tan Phan Van</t>
  </si>
  <si>
    <t>Thanh Nguyen Xuan</t>
  </si>
  <si>
    <t>Trung Nguyen Quang</t>
  </si>
  <si>
    <t>Hai, Nguyen Thi</t>
  </si>
  <si>
    <t>Ngu, Nguyen Huu</t>
  </si>
  <si>
    <t>Phuong, Tran Thi</t>
  </si>
  <si>
    <t>Tan, Nguyen Quang</t>
  </si>
  <si>
    <t>Hanif, Muhammad Faisal</t>
  </si>
  <si>
    <t>Hashim, Ahmad Mustafa</t>
  </si>
  <si>
    <t>Liaqat, Muhammad Usman</t>
  </si>
  <si>
    <t>Ul Mustafa, Muhammad Raza</t>
  </si>
  <si>
    <t>Yusof, Khamaruzaman Wan</t>
  </si>
  <si>
    <t>Hadi, Tri Wahyu</t>
  </si>
  <si>
    <t>Hutasoit, Lambok M.</t>
  </si>
  <si>
    <t>Sopaheluwakan, Ardhasena</t>
  </si>
  <si>
    <t>Wati, Trinah</t>
  </si>
  <si>
    <t>Duangdai, Eakkapong</t>
  </si>
  <si>
    <t>Likasiri, Chulin</t>
  </si>
  <si>
    <t>Amri, Avianto</t>
  </si>
  <si>
    <t>Bird, Deanne K.</t>
  </si>
  <si>
    <t>Iceland</t>
  </si>
  <si>
    <t>Haynes, Katharine</t>
  </si>
  <si>
    <t>Ronan, Kevin</t>
  </si>
  <si>
    <t>Towers, Briony</t>
  </si>
  <si>
    <t>Dev, Soumyabrata</t>
  </si>
  <si>
    <t>Lee, Yee Hui</t>
  </si>
  <si>
    <t>Winkler, Stefan</t>
  </si>
  <si>
    <t>Suhaila, Jamaludin</t>
  </si>
  <si>
    <t>Ampaiwan, Tianpan</t>
  </si>
  <si>
    <t>Kim, Mun Gi</t>
  </si>
  <si>
    <t>Kwon, Hyosang</t>
  </si>
  <si>
    <t>Lee, Yong Il</t>
  </si>
  <si>
    <t>Seo, Inah</t>
  </si>
  <si>
    <t>Asahi, Chisato</t>
  </si>
  <si>
    <t>Le, Ngoc Hanh</t>
  </si>
  <si>
    <t>Nguyen, Thuy Linh</t>
  </si>
  <si>
    <t>Tran, Thi An</t>
  </si>
  <si>
    <t>Gimeno, Luis</t>
  </si>
  <si>
    <t>Liberato, Margarida L. R.</t>
  </si>
  <si>
    <t>Portugal</t>
  </si>
  <si>
    <t>Nieto, Raquel</t>
  </si>
  <si>
    <t>Sori, Rogert</t>
  </si>
  <si>
    <t>Stojanovic, Milica</t>
  </si>
  <si>
    <t>Vazquez, Marta</t>
  </si>
  <si>
    <t>Bo, Wenbo</t>
  </si>
  <si>
    <t>Li, Jiaxun</t>
  </si>
  <si>
    <t>Ling, Zheng</t>
  </si>
  <si>
    <t>Liu, Yuhong</t>
  </si>
  <si>
    <t>Zhang, Ren</t>
  </si>
  <si>
    <t>Fahad, Shah</t>
  </si>
  <si>
    <t>Huong Hoang-Thi</t>
  </si>
  <si>
    <t>Huong Nguyen-Thi-Lan</t>
  </si>
  <si>
    <t>Nguyen To-The</t>
  </si>
  <si>
    <t>Shah, Ashfaq Ahmad</t>
  </si>
  <si>
    <t>Song Nguyen-Van</t>
  </si>
  <si>
    <t>Tuan Nguyen-Anh</t>
  </si>
  <si>
    <t>Tung Nguyen-Huu-Minh</t>
  </si>
  <si>
    <t>Pharino, Chanathip</t>
  </si>
  <si>
    <t>Seekao, Chaiyaporn</t>
  </si>
  <si>
    <t>Bolten, John D.</t>
  </si>
  <si>
    <t>Tran, Thanh-Nhan-Duc</t>
  </si>
  <si>
    <t>Zhang, Runze</t>
  </si>
  <si>
    <t>Aleksandrova, Galina N.</t>
  </si>
  <si>
    <t>Hoorn, Carina</t>
  </si>
  <si>
    <t>Huang, Huasheng</t>
  </si>
  <si>
    <t>Lelono, Eko Budi</t>
  </si>
  <si>
    <t>Morley, Robert J.</t>
  </si>
  <si>
    <t>Perez-Pinedo, Daniel</t>
  </si>
  <si>
    <t>Saxena, Ramesh K.</t>
  </si>
  <si>
    <t>Westerweel, Jan</t>
  </si>
  <si>
    <t>Done, James M.</t>
  </si>
  <si>
    <t>Kuo, Ying-Hwa</t>
  </si>
  <si>
    <t>Teng, Hsu-Feng</t>
  </si>
  <si>
    <t>Manalo, John A.</t>
  </si>
  <si>
    <t>Ren, Guoyu</t>
  </si>
  <si>
    <t>Lakshmi, Venkat</t>
  </si>
  <si>
    <t>Mohammed, Ibrahim Nourein</t>
  </si>
  <si>
    <t>Srinivasan, Raghavan</t>
  </si>
  <si>
    <t>Januriyadi, Nurul Fajar</t>
  </si>
  <si>
    <t>Kure, Shuichi</t>
  </si>
  <si>
    <t>Priyambodoho, Bambang Adhi</t>
  </si>
  <si>
    <t>Yagi, Ryuusei</t>
  </si>
  <si>
    <t>Farid, Mohammad</t>
  </si>
  <si>
    <t>Kanda, Manabu</t>
  </si>
  <si>
    <t>Varquez, Alvin Christopher Galang</t>
  </si>
  <si>
    <t>Donelick, Raymond A.</t>
  </si>
  <si>
    <t>Jiang, Shao-Yong</t>
  </si>
  <si>
    <t>Li, Renyuan</t>
  </si>
  <si>
    <t>Mei, Lianfu</t>
  </si>
  <si>
    <t>Xu, Sihuang</t>
  </si>
  <si>
    <t>Zhang, Peng</t>
  </si>
  <si>
    <t>Idroes, Rinaldi</t>
  </si>
  <si>
    <t>Latuamury, Bokiraiya</t>
  </si>
  <si>
    <t>Munadi, Khairul</t>
  </si>
  <si>
    <t>Oktari, Rina Suryani</t>
  </si>
  <si>
    <t>Sofyan, Hizir</t>
  </si>
  <si>
    <t>Karoly, David</t>
  </si>
  <si>
    <t>King, Andrew D.</t>
  </si>
  <si>
    <t>van Oldenborgh, Geert Jan</t>
  </si>
  <si>
    <t>Cha, Yu-Mi</t>
  </si>
  <si>
    <t>Choi, Jae-Won</t>
  </si>
  <si>
    <t>Anripa, Nuralfin</t>
  </si>
  <si>
    <t>Dimri, A. P.</t>
  </si>
  <si>
    <t>Kumar, A.</t>
  </si>
  <si>
    <t>Maharana, Pyarimohan</t>
  </si>
  <si>
    <t>Kyaw, Yadanar</t>
  </si>
  <si>
    <t>Nguyen, Thi Phuoc Lai</t>
  </si>
  <si>
    <t>Winijkul, Ekbordin</t>
  </si>
  <si>
    <t>Xue, Wenchao</t>
  </si>
  <si>
    <t>Abatan, Abayomi A.</t>
  </si>
  <si>
    <t>De Silva, Yenushi K.</t>
  </si>
  <si>
    <t>Khadka, Dibesh</t>
  </si>
  <si>
    <t>Shanmugasundaram, Jothiganesh</t>
  </si>
  <si>
    <t>Campbell, James B.</t>
  </si>
  <si>
    <t>Ha Thanh Tran</t>
  </si>
  <si>
    <t>Hoa Thi Tran</t>
  </si>
  <si>
    <t>Tri Dinh Tran</t>
  </si>
  <si>
    <t>Hayasaka, Tadahiro</t>
  </si>
  <si>
    <t>Putri, Nurfiena Sagita</t>
  </si>
  <si>
    <t>Johnson, Paul G.</t>
  </si>
  <si>
    <t>Promchote, Parichart</t>
  </si>
  <si>
    <t>Imada, Yukiko</t>
  </si>
  <si>
    <t>Ishii, Masayoshi</t>
  </si>
  <si>
    <t>Kanae, Shinjiro</t>
  </si>
  <si>
    <t>Kimoto, Masahide</t>
  </si>
  <si>
    <t>Watanabe, Masahiro</t>
  </si>
  <si>
    <t>Wang, Changgui</t>
  </si>
  <si>
    <t>Aze, Takahiro</t>
  </si>
  <si>
    <t>Hirabayashi, Shoko</t>
  </si>
  <si>
    <t>Maeda, Yasuo</t>
  </si>
  <si>
    <t>Miyairi, Yosuke</t>
  </si>
  <si>
    <t>Siringan, Fernando</t>
  </si>
  <si>
    <t>Suzuki, Atsushi</t>
  </si>
  <si>
    <t>Yokoyama, Yusuke</t>
  </si>
  <si>
    <t>Liu, Jian</t>
  </si>
  <si>
    <t>Luo, Xiao</t>
  </si>
  <si>
    <t>Wang, Bin</t>
  </si>
  <si>
    <t>Hein, David</t>
  </si>
  <si>
    <t>Le Loh, Jui</t>
  </si>
  <si>
    <t>Lee, Dong-In</t>
  </si>
  <si>
    <t>Harun, Sobri</t>
  </si>
  <si>
    <t>Ismail, Tarmizi</t>
  </si>
  <si>
    <t>Kisi, Ozgur</t>
  </si>
  <si>
    <t>Georgia</t>
  </si>
  <si>
    <t>Muhammad, Mohd Khairul Idlan</t>
  </si>
  <si>
    <t>Yaseen, Zaher Mundher</t>
  </si>
  <si>
    <t>Iraq</t>
  </si>
  <si>
    <t>Jang, Chan Joo</t>
  </si>
  <si>
    <t>Mubarrok, Saat</t>
  </si>
  <si>
    <t>Zin, Win Win</t>
  </si>
  <si>
    <t>Chan, Yu-Chang</t>
  </si>
  <si>
    <t>Chen, Chih-Tung</t>
  </si>
  <si>
    <t>Dinh, Thi-Hue</t>
  </si>
  <si>
    <t>Carmichael, Sarah K.</t>
  </si>
  <si>
    <t>Dombrowski, Allison</t>
  </si>
  <si>
    <t>Koenigshof, Peter</t>
  </si>
  <si>
    <t>Komatsu, Toshifumi</t>
  </si>
  <si>
    <t>Paschall, Olivia</t>
  </si>
  <si>
    <t>Ta, Phuong H.</t>
  </si>
  <si>
    <t>Waters, Johnny A.</t>
  </si>
  <si>
    <t>Chen, Zhifan</t>
  </si>
  <si>
    <t>Gao, Si</t>
  </si>
  <si>
    <t>Zhang, Wei</t>
  </si>
  <si>
    <t>Akcay, Fatma</t>
  </si>
  <si>
    <t>Turkey</t>
  </si>
  <si>
    <t>Kankal, Murat</t>
  </si>
  <si>
    <t>Linh, Nguyen Thi Thuy</t>
  </si>
  <si>
    <t>Pham, Quoc Bao</t>
  </si>
  <si>
    <t>San, Murat</t>
  </si>
  <si>
    <t>Agarwal, Anshul</t>
  </si>
  <si>
    <t>Ghimire, Uttam</t>
  </si>
  <si>
    <t>Srinivasan, Govindarajalu</t>
  </si>
  <si>
    <t>Borzino, Natalia</t>
  </si>
  <si>
    <t>Chng, Samuel</t>
  </si>
  <si>
    <t>Mughal, Muhammad Omer</t>
  </si>
  <si>
    <t>Schubert, Renate</t>
  </si>
  <si>
    <t>Fink, Andreas H.</t>
  </si>
  <si>
    <t>Massmeyer, Klaus</t>
  </si>
  <si>
    <t>Pinto, Joaquim G.</t>
  </si>
  <si>
    <t>Reyers, Mark</t>
  </si>
  <si>
    <t>Schubert, David</t>
  </si>
  <si>
    <t>van der Linden, Roderick</t>
  </si>
  <si>
    <t>Qiao, Fangli</t>
  </si>
  <si>
    <t>Wang, Guansuo</t>
  </si>
  <si>
    <t>Zhao, Biao</t>
  </si>
  <si>
    <t>Zhao, Chang</t>
  </si>
  <si>
    <t>Richard, Sandra</t>
  </si>
  <si>
    <t>Walsh, Kevin J. E.</t>
  </si>
  <si>
    <t>Puspito, Nanang Tyasbudi</t>
  </si>
  <si>
    <t>Subagyono, Kasdi</t>
  </si>
  <si>
    <t>Surmaini, Elza</t>
  </si>
  <si>
    <t>Kosaka, Yu</t>
  </si>
  <si>
    <t>Seiki, Ayako</t>
  </si>
  <si>
    <t>Yokoi, Satoru</t>
  </si>
  <si>
    <t>Kwan, Meng Sei</t>
  </si>
  <si>
    <t>Aranyabhaga, Nilobol</t>
  </si>
  <si>
    <t>Igarashi, Keiichi</t>
  </si>
  <si>
    <t>Koichiro, Kuraji</t>
  </si>
  <si>
    <t>Tanaka, Nobuaki</t>
  </si>
  <si>
    <t>Manandhar, Sujata</t>
  </si>
  <si>
    <t>Ono, Keisuke</t>
  </si>
  <si>
    <t>Pratoomchai, Weerayuth</t>
  </si>
  <si>
    <t>Arunrat, Noppol</t>
  </si>
  <si>
    <t>Sereenonchai, Sukanya</t>
  </si>
  <si>
    <t>Jiang, Yuwu</t>
  </si>
  <si>
    <t>Liao, Enhui</t>
  </si>
  <si>
    <t>Lu, Wenfang</t>
  </si>
  <si>
    <t>Oey, Lie-Yauw</t>
  </si>
  <si>
    <t>Yan, Xiao-Hai</t>
  </si>
  <si>
    <t>Zhuang, Wei</t>
  </si>
  <si>
    <t>Guo, Min</t>
  </si>
  <si>
    <t>Ji, Chao</t>
  </si>
  <si>
    <t>Kong, Deming</t>
  </si>
  <si>
    <t>Xu, Liqiang</t>
  </si>
  <si>
    <t>Fung, K. F.</t>
  </si>
  <si>
    <t>Koo, C. H.</t>
  </si>
  <si>
    <t>Abdullah, Khiruddin</t>
  </si>
  <si>
    <t>Lim, Hwee San</t>
  </si>
  <si>
    <t>Makama, Ezekiel Kaura</t>
  </si>
  <si>
    <t>Akhir, Mohd Fadzil</t>
  </si>
  <si>
    <t>Kok, Poh Heng</t>
  </si>
  <si>
    <t>Hui-Mean, Foo</t>
  </si>
  <si>
    <t>Yusof, Fadhilah</t>
  </si>
  <si>
    <t>Ramdani, Fatwa</t>
  </si>
  <si>
    <t>Barnes, Paul</t>
  </si>
  <si>
    <t>Chu, Cordia</t>
  </si>
  <si>
    <t>Dwirahmadi, Febi</t>
  </si>
  <si>
    <t>Wibowo, Arif</t>
  </si>
  <si>
    <t>Hanifa, Nuraini Rahma</t>
  </si>
  <si>
    <t>Kumar, Jeeten</t>
  </si>
  <si>
    <t>Sagala, Saut</t>
  </si>
  <si>
    <t>Tebe, Yusra</t>
  </si>
  <si>
    <t>Boening, Philipp</t>
  </si>
  <si>
    <t>Carter, Andrew</t>
  </si>
  <si>
    <t>Clift, Peter D.</t>
  </si>
  <si>
    <t>Hoang, Long V.</t>
  </si>
  <si>
    <t>Jonell, Tara N.</t>
  </si>
  <si>
    <t>Pahnke, Katharina</t>
  </si>
  <si>
    <t>Rittenour, Tammy</t>
  </si>
  <si>
    <t>Tina Hoang</t>
  </si>
  <si>
    <t>Wittmann, Hella</t>
  </si>
  <si>
    <t>Fink, Manfred</t>
  </si>
  <si>
    <t>Firoz, A. B. M.</t>
  </si>
  <si>
    <t>Nauditt, Alexandra</t>
  </si>
  <si>
    <t>Ribbe, Lars</t>
  </si>
  <si>
    <t>Baranowski, Adam</t>
  </si>
  <si>
    <t>Poland</t>
  </si>
  <si>
    <t>Czarniecka, Urszula</t>
  </si>
  <si>
    <t>Dang Minh Tuan</t>
  </si>
  <si>
    <t>Durska, Ewa</t>
  </si>
  <si>
    <t>Filipek, Anna</t>
  </si>
  <si>
    <t>Hoang van Tha</t>
  </si>
  <si>
    <t>Nguyen Quoc Cuong</t>
  </si>
  <si>
    <t>Nguyen Trung Thanh</t>
  </si>
  <si>
    <t>Phan Dong Pha</t>
  </si>
  <si>
    <t>Wysocka, Anna</t>
  </si>
  <si>
    <t>Zaszewski, Daniel</t>
  </si>
  <si>
    <t>Huy Hoang-Cong</t>
  </si>
  <si>
    <t>Tuyet Nguyen-Thi</t>
  </si>
  <si>
    <t>Huang, Bohua</t>
  </si>
  <si>
    <t>Shukla, Ravi P.</t>
  </si>
  <si>
    <t>Cook, E.</t>
  </si>
  <si>
    <t>Helle, G.</t>
  </si>
  <si>
    <t>Karamperidou, C.</t>
  </si>
  <si>
    <t>Krusic, Paul</t>
  </si>
  <si>
    <t>Greece</t>
  </si>
  <si>
    <t>Schollaen, K.</t>
  </si>
  <si>
    <t>Chen, Yi</t>
  </si>
  <si>
    <t>Chu, Xu</t>
  </si>
  <si>
    <t>Guo, Shun</t>
  </si>
  <si>
    <t>Hermann, Joerg</t>
  </si>
  <si>
    <t>Li, Qiuli</t>
  </si>
  <si>
    <t>Liu, Chuanzhou</t>
  </si>
  <si>
    <t>Sein, Kyaing</t>
  </si>
  <si>
    <t>Wu, Fuyuan</t>
  </si>
  <si>
    <t>Hur, Jina</t>
  </si>
  <si>
    <t>Ngoc Son Nguyen</t>
  </si>
  <si>
    <t>Chu, Xiaoqing</t>
  </si>
  <si>
    <t>Dong, Changming</t>
  </si>
  <si>
    <t>Qi, Yiquan</t>
  </si>
  <si>
    <t>Kajita, Ryosuke</t>
  </si>
  <si>
    <t>Kozan, Osamu</t>
  </si>
  <si>
    <t>Yamanaka, Manabu D. D.</t>
  </si>
  <si>
    <t>Kim, Yeon-Hee</t>
  </si>
  <si>
    <t>Bellucci, Alessio</t>
  </si>
  <si>
    <t>Hariadi, Mugni Hadi</t>
  </si>
  <si>
    <t>Linarka, Utoyo Ajie</t>
  </si>
  <si>
    <t>Moine, Marie-Pierre</t>
  </si>
  <si>
    <t>Putrasahan, Dian Ariyani</t>
  </si>
  <si>
    <t>Ratri, Dian Nur</t>
  </si>
  <si>
    <t>Senan, Retish</t>
  </si>
  <si>
    <t>Steeneveld, Gert-Jan</t>
  </si>
  <si>
    <t>Tank, Albert M. G. Klein</t>
  </si>
  <si>
    <t>Tourigny, Etienne</t>
  </si>
  <si>
    <t>van der Schrier, Gerard</t>
  </si>
  <si>
    <t>Lutero, Destiny S.</t>
  </si>
  <si>
    <t>Nazareno, Allen L.</t>
  </si>
  <si>
    <t>Rico, Emerson R.</t>
  </si>
  <si>
    <t>Chan, Ngai Weng</t>
  </si>
  <si>
    <t>Khan, Najeebullah</t>
  </si>
  <si>
    <t>Wang, Xiao-Jun</t>
  </si>
  <si>
    <t>Hashim, Mazlan</t>
  </si>
  <si>
    <t>Pour, Amin Beiranvand</t>
  </si>
  <si>
    <t>Sa'adi, Zulfaqar</t>
  </si>
  <si>
    <t>Ahmed, Nisar</t>
  </si>
  <si>
    <t>Gamez Vintaned, Jose Antonio</t>
  </si>
  <si>
    <t>Hanif, Tanzila</t>
  </si>
  <si>
    <t>Ismail, Mohd S.</t>
  </si>
  <si>
    <t>Sajid, Zulqarnain</t>
  </si>
  <si>
    <t>Tsegab, Haylay</t>
  </si>
  <si>
    <t>Zakariah, Muhammad Noor Amin</t>
  </si>
  <si>
    <t>Dao Nguyen Khoi</t>
  </si>
  <si>
    <t>Nguyen Xuan Hoan</t>
  </si>
  <si>
    <t>Pham Thi Thao Nhi</t>
  </si>
  <si>
    <t>Li, Reuben</t>
  </si>
  <si>
    <t>Sanchez, Beatriz</t>
  </si>
  <si>
    <t>Velasco, Erik</t>
  </si>
  <si>
    <t>Chen, Zesheng</t>
  </si>
  <si>
    <t>Guo, Yuanyuan</t>
  </si>
  <si>
    <t>Wen, Zhiping</t>
  </si>
  <si>
    <t>Wu, Renguang</t>
  </si>
  <si>
    <t>Zhang, Haiyan</t>
  </si>
  <si>
    <t>Coronel, Rochelle</t>
  </si>
  <si>
    <t>Lagare, Ma Cathrene</t>
  </si>
  <si>
    <t>Tibay, Jennifer</t>
  </si>
  <si>
    <t>Bhanage, Vinayak</t>
  </si>
  <si>
    <t>Kubota, Tetsu</t>
  </si>
  <si>
    <t>Lee, Han Soo</t>
  </si>
  <si>
    <t>Nimiya, Hideyo</t>
  </si>
  <si>
    <t>Pradana, Radyan Putra</t>
  </si>
  <si>
    <t>Putra, I. Dewa Gede Arya</t>
  </si>
  <si>
    <t>Cao, Yangtong</t>
  </si>
  <si>
    <t>Ding, Ting</t>
  </si>
  <si>
    <t>Liu, Chenglin</t>
  </si>
  <si>
    <t>Lv, Fenglin</t>
  </si>
  <si>
    <t>Shen, Lijian</t>
  </si>
  <si>
    <t>Wang, Licheng</t>
  </si>
  <si>
    <t>Wu, Chihua</t>
  </si>
  <si>
    <t>Zhao, Yanjun</t>
  </si>
  <si>
    <t>Chiang, Tzu-Ling</t>
  </si>
  <si>
    <t>Lin, Yong-Fu</t>
  </si>
  <si>
    <t>Wang, You-Lin</t>
  </si>
  <si>
    <t>Wu, Chao-Chi</t>
  </si>
  <si>
    <t>Wu, Chau-Ron</t>
  </si>
  <si>
    <t>Dunne, Kieran</t>
  </si>
  <si>
    <t>Jankaew, Kruawun</t>
  </si>
  <si>
    <t>Terry, James P.</t>
  </si>
  <si>
    <t>Lestari, Sopia</t>
  </si>
  <si>
    <t>Mori, Shuichi</t>
  </si>
  <si>
    <t>Protat, Alain</t>
  </si>
  <si>
    <t>Vincent, Claire</t>
  </si>
  <si>
    <t>Abbott, Michael</t>
  </si>
  <si>
    <t>Golub, Daria</t>
  </si>
  <si>
    <t>Hammond, Michael</t>
  </si>
  <si>
    <t>Hirunsalee, Sianee</t>
  </si>
  <si>
    <t>Kumara, Sisira</t>
  </si>
  <si>
    <t>Medina, Neiler</t>
  </si>
  <si>
    <t>Meesuk, Vorawit</t>
  </si>
  <si>
    <t>Sanchez, Arlex</t>
  </si>
  <si>
    <t>Vojinovic, Zoran</t>
  </si>
  <si>
    <t>Serbia</t>
  </si>
  <si>
    <t>Weesakul, Sutat</t>
  </si>
  <si>
    <t>Sharma, Devesh</t>
  </si>
  <si>
    <t>Chen, Albert S.</t>
  </si>
  <si>
    <t>Collins, Matthew</t>
  </si>
  <si>
    <t>Brecan, Petre</t>
  </si>
  <si>
    <t>Romania</t>
  </si>
  <si>
    <t>Bui, Quang-Thanh</t>
  </si>
  <si>
    <t>Bui, Thu Huong</t>
  </si>
  <si>
    <t>Dang, Dinh Kha</t>
  </si>
  <si>
    <t>Nguyen, Huu Duy</t>
  </si>
  <si>
    <t>Nguyen, Ngoc Diep</t>
  </si>
  <si>
    <t>Nguyen, Quoc-Huy</t>
  </si>
  <si>
    <t>Nguyen, Thi Ha Thanh</t>
  </si>
  <si>
    <t>Nguyen, Tien Giang</t>
  </si>
  <si>
    <t>Nguyen, Y. Nhu</t>
  </si>
  <si>
    <t>Petrisor, Alexandru-Ionut</t>
  </si>
  <si>
    <t>Quan Tran Anh</t>
  </si>
  <si>
    <t>Taniguchi, Kenji</t>
  </si>
  <si>
    <t>Du, Yuansheng</t>
  </si>
  <si>
    <t>Hou, Mingcai</t>
  </si>
  <si>
    <t>Huang, Hu</t>
  </si>
  <si>
    <t>Huyskens, Magdalena H.</t>
  </si>
  <si>
    <t>Xiong, Fuhao</t>
  </si>
  <si>
    <t>Yang, Chenchen</t>
  </si>
  <si>
    <t>Yang, Jianghai</t>
  </si>
  <si>
    <t>Yin, Qing-Zhu</t>
  </si>
  <si>
    <t>Downes, Nigel K.</t>
  </si>
  <si>
    <t>Huynh Vuong Thu Minh</t>
  </si>
  <si>
    <t>Kumar, Pankaj</t>
  </si>
  <si>
    <t>Lavane, Kim</t>
  </si>
  <si>
    <t>Luu Kim Phung</t>
  </si>
  <si>
    <t>Tran Gia Han</t>
  </si>
  <si>
    <t>Tran Thi Thuy An</t>
  </si>
  <si>
    <t>Alejandro, Arlen S.</t>
  </si>
  <si>
    <t>Alejo, Lanie A.</t>
  </si>
  <si>
    <t>Maeda, Shuhei</t>
  </si>
  <si>
    <t>Mukougawa, Hitoshi</t>
  </si>
  <si>
    <t>Takemura, Kazuto</t>
  </si>
  <si>
    <t>Chen, Wen</t>
  </si>
  <si>
    <t>Feng, Juan</t>
  </si>
  <si>
    <t>Brands, S.</t>
  </si>
  <si>
    <t>Gutierrez, J. M.</t>
  </si>
  <si>
    <t>Limbo, C.</t>
  </si>
  <si>
    <t>Manzanas, R.</t>
  </si>
  <si>
    <t>San-Martin, D.</t>
  </si>
  <si>
    <t>Masuda, Minami</t>
  </si>
  <si>
    <t>Sunilkumar, K.</t>
  </si>
  <si>
    <t>Yatagai, Akiyo</t>
  </si>
  <si>
    <t>Ge, Xuyang</t>
  </si>
  <si>
    <t>Xu, Peiqiang</t>
  </si>
  <si>
    <t>Kinouchi, Tsuyoshi</t>
  </si>
  <si>
    <t>Zhao, Wenpeng</t>
  </si>
  <si>
    <t>Aragon, Larry Ger B.</t>
  </si>
  <si>
    <t>Laggui, Narcisa</t>
  </si>
  <si>
    <t>Mabborang, Ma Haidee</t>
  </si>
  <si>
    <t>Maguddayao, Ruth N.</t>
  </si>
  <si>
    <t>Martin, Engr Buencamino</t>
  </si>
  <si>
    <t>Nozaleda, Bryan M.</t>
  </si>
  <si>
    <t>Sibal, Corazon</t>
  </si>
  <si>
    <t>Udaundo, Leonora</t>
  </si>
  <si>
    <t>Li, Sinong</t>
  </si>
  <si>
    <t>Luo, Jing-Jia</t>
  </si>
  <si>
    <t>Yan, Huiping</t>
  </si>
  <si>
    <t>Chotpantarat, Srilert</t>
  </si>
  <si>
    <t>Klongvessa, Pawee</t>
  </si>
  <si>
    <t>Koklu, Kevser</t>
  </si>
  <si>
    <t>Cipta, Iqbal Maulana</t>
  </si>
  <si>
    <t>Jaelani, Lalu Muhamad</t>
  </si>
  <si>
    <t>Sanjaya, Hartanto</t>
  </si>
  <si>
    <t>Giang, Pham Quy</t>
  </si>
  <si>
    <t>Asdak, Chay</t>
  </si>
  <si>
    <t>Subiyanto</t>
  </si>
  <si>
    <t>Supian, Sudradjat</t>
  </si>
  <si>
    <t>Minh, Pham Duc</t>
  </si>
  <si>
    <t>Shie-Yui, Liong</t>
  </si>
  <si>
    <t>Tue, Vu Minh</t>
  </si>
  <si>
    <t>Forgotson, Chalita</t>
  </si>
  <si>
    <t>Forgotson, Joshua</t>
  </si>
  <si>
    <t>Gangodagamage, Chandana</t>
  </si>
  <si>
    <t>Tangdamrongsub, Natthachet</t>
  </si>
  <si>
    <t>Le Hung Trinh</t>
  </si>
  <si>
    <t>Thi Giang Le</t>
  </si>
  <si>
    <t>Thi Minh Ly Tran</t>
  </si>
  <si>
    <t>Thi Thu Nga Nguyen</t>
  </si>
  <si>
    <t>Van Hoan Kieu</t>
  </si>
  <si>
    <t>Bamunawala, Janaka</t>
  </si>
  <si>
    <t>Maskey, Shreedhar</t>
  </si>
  <si>
    <t>Ranasinghe, Roshanka</t>
  </si>
  <si>
    <t>Sirisena, T. A. J. G.</t>
  </si>
  <si>
    <t>Arshad, Siti Hasniza M.</t>
  </si>
  <si>
    <t>Muhamad, Nurfashareena</t>
  </si>
  <si>
    <t>Pereira, Joy Jacqueline</t>
  </si>
  <si>
    <t>Campbell, James R.</t>
  </si>
  <si>
    <t>Chew, Boon Ning</t>
  </si>
  <si>
    <t>Gu, Yu</t>
  </si>
  <si>
    <t>Lewis, Jasper R.</t>
  </si>
  <si>
    <t>Liew, Soo-Chin</t>
  </si>
  <si>
    <t>Lolli, Simone</t>
  </si>
  <si>
    <t>Marquis, Jared W.</t>
  </si>
  <si>
    <t>Salinas, Santo V.</t>
  </si>
  <si>
    <t>Welton, Ellsworth J.</t>
  </si>
  <si>
    <t>Bojesen-Koefoed, J.</t>
  </si>
  <si>
    <t>Hovikoski, J.</t>
  </si>
  <si>
    <t>Huyen, Nguyen Thi</t>
  </si>
  <si>
    <t>Korte, C.</t>
  </si>
  <si>
    <t>Nytoft, H. P.</t>
  </si>
  <si>
    <t>Rizzi, M.</t>
  </si>
  <si>
    <t>Schovsbo, N. H.</t>
  </si>
  <si>
    <t>Thuy, N. T. T.</t>
  </si>
  <si>
    <t>Toan, D. M.</t>
  </si>
  <si>
    <t>Tuan, N. Q.</t>
  </si>
  <si>
    <t>Deb, Proloy</t>
  </si>
  <si>
    <t>Duong Anh Tran</t>
  </si>
  <si>
    <t>Udmale, Parmeshwar D.</t>
  </si>
  <si>
    <t>de Silva, Shanaka L.</t>
  </si>
  <si>
    <t>Hatfield, Robert G.</t>
  </si>
  <si>
    <t>Jamil, Rendi</t>
  </si>
  <si>
    <t>Mucek, Adonara E.</t>
  </si>
  <si>
    <t>Pratomo, Indyo</t>
  </si>
  <si>
    <t>Reilly, Brendan T.</t>
  </si>
  <si>
    <t>Setianto, Baskoro</t>
  </si>
  <si>
    <t>Solada, Katharine E.</t>
  </si>
  <si>
    <t>Stoner, Joseph S.</t>
  </si>
  <si>
    <t>Kim, Jeoung-Yun</t>
  </si>
  <si>
    <t>Nam, Jae-Cheol</t>
  </si>
  <si>
    <t>Park, Ki-Jun</t>
  </si>
  <si>
    <t>Zhang, Renhe</t>
  </si>
  <si>
    <t>Krishnan, M. V. Ninu</t>
  </si>
  <si>
    <t>Prasanna, M. V.</t>
  </si>
  <si>
    <t>Vijith, H.</t>
  </si>
  <si>
    <t>Kanniah, Kasturi Devi</t>
  </si>
  <si>
    <t>Tan, Kian Pang</t>
  </si>
  <si>
    <t>Wang, Lei</t>
  </si>
  <si>
    <t>Mutaqin, Dadang Jainal</t>
  </si>
  <si>
    <t>Chen, Lijuan</t>
  </si>
  <si>
    <t>Gu, Wei</t>
  </si>
  <si>
    <t>Li, Weijing</t>
  </si>
  <si>
    <t>Bresch, David N.</t>
  </si>
  <si>
    <t>Eberenz, Samuel</t>
  </si>
  <si>
    <t>Luethi, Samuel</t>
  </si>
  <si>
    <t>Bretcan, Petre</t>
  </si>
  <si>
    <t>Laffly, Dominique</t>
  </si>
  <si>
    <t>Loubiere, Peio</t>
  </si>
  <si>
    <t>Ngo, Hai Ly</t>
  </si>
  <si>
    <t>Serban, Gheorghe</t>
  </si>
  <si>
    <t>Van Tran, Truong</t>
  </si>
  <si>
    <t>Zelenakova, Martina</t>
  </si>
  <si>
    <t>Slovakia</t>
  </si>
  <si>
    <t>Hayasaka, Hiroshi</t>
  </si>
  <si>
    <t>McIlgorm, Alistair</t>
  </si>
  <si>
    <t>Nurhidayah, Laely</t>
  </si>
  <si>
    <t>Idris, Wan Mohd Razi</t>
  </si>
  <si>
    <t>Lihan, Tukimat</t>
  </si>
  <si>
    <t>Rahim, Sahibin Abdul</t>
  </si>
  <si>
    <t>Rahman, Zulfahmi Ali</t>
  </si>
  <si>
    <t>Rendana, Muhammad</t>
  </si>
  <si>
    <t>Tuan Anh Tran</t>
  </si>
  <si>
    <t>Estoque, Ronald C.</t>
  </si>
  <si>
    <t>Hou, Hao</t>
  </si>
  <si>
    <t>Pontius, Robert G., Jr.</t>
  </si>
  <si>
    <t>Thapa, Rajesh B.</t>
  </si>
  <si>
    <t>Villar, Merlito A.</t>
  </si>
  <si>
    <t>Chen, Meng-Shih</t>
  </si>
  <si>
    <t>Cho, Yin -Min</t>
  </si>
  <si>
    <t>Huang, Sheng-Feng</t>
  </si>
  <si>
    <t>Lu, Mong-Ming</t>
  </si>
  <si>
    <t>Sui, Chung-Hsiung</t>
  </si>
  <si>
    <t>Tsai, Wayne Yuan -Huai</t>
  </si>
  <si>
    <t>Apip</t>
  </si>
  <si>
    <t>Yamamoto, Kodai</t>
  </si>
  <si>
    <t>Orieschnig, C</t>
  </si>
  <si>
    <t>Venot, JP</t>
  </si>
  <si>
    <t>Massuel, S</t>
  </si>
  <si>
    <t>Eang, KE</t>
  </si>
  <si>
    <t>Chhuon, K</t>
  </si>
  <si>
    <t>Lun, SM</t>
  </si>
  <si>
    <t>Siev, S</t>
  </si>
  <si>
    <t>Belaud, G</t>
  </si>
  <si>
    <t>Barbarano, Marta</t>
  </si>
  <si>
    <t>Chen, Si</t>
  </si>
  <si>
    <t>Garzanti, Eduardo</t>
  </si>
  <si>
    <t>He, Jie</t>
  </si>
  <si>
    <t>Jiang, Tao</t>
  </si>
  <si>
    <t>Li, Xiaopeng</t>
  </si>
  <si>
    <t>Liao, Yuantao</t>
  </si>
  <si>
    <t>Liu, Entao</t>
  </si>
  <si>
    <t>Wang, Hua</t>
  </si>
  <si>
    <t>Amornkitvikai, Yot</t>
  </si>
  <si>
    <t>Anantsuksomsri, Sutee</t>
  </si>
  <si>
    <t>Bhula-or, Ruttiya</t>
  </si>
  <si>
    <t>Duangkaew, Sutpratana</t>
  </si>
  <si>
    <t>Mokkhamakkul, Tartat</t>
  </si>
  <si>
    <t>Nakasu, Tadashi</t>
  </si>
  <si>
    <t>Okazumi, Toshio</t>
  </si>
  <si>
    <t>Rojpratak, S.</t>
  </si>
  <si>
    <t>Supharatid, S.</t>
  </si>
  <si>
    <t>Wang, Dawei</t>
  </si>
  <si>
    <t>Wang, Weiwei</t>
  </si>
  <si>
    <t>Wu, Shiguo</t>
  </si>
  <si>
    <t>Yao, Genshun</t>
  </si>
  <si>
    <t>Dang Kien Cuong</t>
  </si>
  <si>
    <t>Dang Nguyen Dong Phuong</t>
  </si>
  <si>
    <t>Nguyen Duy Liem</t>
  </si>
  <si>
    <t>Nguyen Kim Loi</t>
  </si>
  <si>
    <t>Nguyen Thi Hong</t>
  </si>
  <si>
    <t>Nguyen Thi Huyen</t>
  </si>
  <si>
    <t>Ha, Phan Thi</t>
  </si>
  <si>
    <t>Loi, Nguyen Kim</t>
  </si>
  <si>
    <t>Nhat, Tran Thong</t>
  </si>
  <si>
    <t>Phuong, Dang Nguyen Dong</t>
  </si>
  <si>
    <t>Tu, Le Hoang</t>
  </si>
  <si>
    <t>Mcsweeney, Carol</t>
  </si>
  <si>
    <t>Chandrasa, Ganesha T.</t>
  </si>
  <si>
    <t>Montenegro, Alvaro</t>
  </si>
  <si>
    <t>Basu, Asish R.</t>
  </si>
  <si>
    <t>Ellwood, Brooks B.</t>
  </si>
  <si>
    <t>Ghosh, Nilotpal</t>
  </si>
  <si>
    <t>Hunt, Andrew</t>
  </si>
  <si>
    <t>Luu Thi Phuong Lan</t>
  </si>
  <si>
    <t>Nestell, Galina P.</t>
  </si>
  <si>
    <t>Nestell, Merlynd K.</t>
  </si>
  <si>
    <t>Ratcliffe, Kenneth T.</t>
  </si>
  <si>
    <t>Rowe, Harry D.</t>
  </si>
  <si>
    <t>Tomkin, Jonathan H.</t>
  </si>
  <si>
    <t>Wardlaw, Bruce R.</t>
  </si>
  <si>
    <t>Feng, Ming</t>
  </si>
  <si>
    <t>Liu, Qin-Yan</t>
  </si>
  <si>
    <t>Wang, Dongxiao</t>
  </si>
  <si>
    <t>Wijffels, Susan</t>
  </si>
  <si>
    <t>Doan, Van Q.</t>
  </si>
  <si>
    <t>Kusaka, Hiroyuki</t>
  </si>
  <si>
    <t>Carr, K.</t>
  </si>
  <si>
    <t>Do, N.</t>
  </si>
  <si>
    <t>Nguyen, V. T.</t>
  </si>
  <si>
    <t>Trinh, T.</t>
  </si>
  <si>
    <t>Tran Quoc Lap</t>
  </si>
  <si>
    <t>Antokida, Yulius</t>
  </si>
  <si>
    <t>Ariyoshi, Ryo</t>
  </si>
  <si>
    <t>Fitrinitia, Irene Sondang</t>
  </si>
  <si>
    <t>Matsuyuki, Mihoko</t>
  </si>
  <si>
    <t>Tanaka, Shinji</t>
  </si>
  <si>
    <t>Yokoyama, Ai</t>
  </si>
  <si>
    <t>Okuda, Kohei</t>
  </si>
  <si>
    <t>Fukushima, Masami</t>
  </si>
  <si>
    <t>Hata, Noriko</t>
  </si>
  <si>
    <t>Kuramitz, Hideki</t>
  </si>
  <si>
    <t>Sazawa, Kazuto</t>
  </si>
  <si>
    <t>Syawal, M. Suhaemi</t>
  </si>
  <si>
    <t>Taguchi, Shigeru</t>
  </si>
  <si>
    <t>Tanaka, Daisuke</t>
  </si>
  <si>
    <t>Tanaka, Shunitz</t>
  </si>
  <si>
    <t>Wakimoto, Takatoshi</t>
  </si>
  <si>
    <t>Yustiawati, Yustiawati</t>
  </si>
  <si>
    <t>Jan, Sen</t>
  </si>
  <si>
    <t>Lee, Craig M.</t>
  </si>
  <si>
    <t>Rudnick, Daniel L.</t>
  </si>
  <si>
    <t>Falamarzi, Yashar</t>
  </si>
  <si>
    <t>Ghazali, Abdul Halim</t>
  </si>
  <si>
    <t>Lee, Teang Shui</t>
  </si>
  <si>
    <t>Palizdan, Narges</t>
  </si>
  <si>
    <t>Kumar, Sanjay</t>
  </si>
  <si>
    <t>Razul, Sirajudeen Gulam</t>
  </si>
  <si>
    <t>See, Chong Meng Samson</t>
  </si>
  <si>
    <t>Siingh, Devendraa</t>
  </si>
  <si>
    <t>Tan, Eng Leong</t>
  </si>
  <si>
    <t>Chew, Lup Wai</t>
  </si>
  <si>
    <t>Liu, Xuan</t>
  </si>
  <si>
    <t>Hill, Emma M.</t>
  </si>
  <si>
    <t>Masputri, Aisha Sri</t>
  </si>
  <si>
    <t>Mayasari, Cut Deasy</t>
  </si>
  <si>
    <t>McAdoo, Brian G.</t>
  </si>
  <si>
    <t>Meilianda, Ella</t>
  </si>
  <si>
    <t>Monecke, Katrin</t>
  </si>
  <si>
    <t>Nasir, Muhammad</t>
  </si>
  <si>
    <t>Qiu, Qiang</t>
  </si>
  <si>
    <t>Riandi, Indra</t>
  </si>
  <si>
    <t>Setiawan, Agus</t>
  </si>
  <si>
    <t>Storms, Joep E. A.</t>
  </si>
  <si>
    <t>Templeton, Caroline K.</t>
  </si>
  <si>
    <t>Walstra, Dirk-Jan</t>
  </si>
  <si>
    <t>Anutaliya, Arachaporn</t>
  </si>
  <si>
    <t>Supriyasilp, Thanaporn</t>
  </si>
  <si>
    <t>Suwanlertcharoen, Teerawat</t>
  </si>
  <si>
    <t>Kakinuma, Daiki</t>
  </si>
  <si>
    <t>Kimmany, Bounhome</t>
  </si>
  <si>
    <t>Shakti, P. C.</t>
  </si>
  <si>
    <t>Sriariyawat, Anurak</t>
  </si>
  <si>
    <t>Visessri, Supattra</t>
  </si>
  <si>
    <t>Fahmi, Fikri Zul</t>
  </si>
  <si>
    <t>Maurischa, Saghita Desiyana</t>
  </si>
  <si>
    <t>Suroso, Djoko Santoso Abi</t>
  </si>
  <si>
    <t>Vidale, Pier Luigi</t>
  </si>
  <si>
    <t>Achnopha, Yudhi</t>
  </si>
  <si>
    <t>Behling, Hermann</t>
  </si>
  <si>
    <t>Biagioni, Siria</t>
  </si>
  <si>
    <t>Hapsari, Kartika Anggi</t>
  </si>
  <si>
    <t>Jennerjahn, Tim C.</t>
  </si>
  <si>
    <t>Reimer, Peter Meyer</t>
  </si>
  <si>
    <t>Saad, Asmadi</t>
  </si>
  <si>
    <t>Manola, Iris</t>
  </si>
  <si>
    <t>Sari, Fitria Puspita</t>
  </si>
  <si>
    <t>Tsiringakis, Aristofanis</t>
  </si>
  <si>
    <t>Najib, Mohamad Khoirun</t>
  </si>
  <si>
    <t>Nurdiati, Sri</t>
  </si>
  <si>
    <t>Chong, K. L.</t>
  </si>
  <si>
    <t>Beniston, Martin</t>
  </si>
  <si>
    <t>Churakova (Sidorova), Olga V.</t>
  </si>
  <si>
    <t>Corona, Christophe</t>
  </si>
  <si>
    <t>Daux, Valerie</t>
  </si>
  <si>
    <t>Davi, Nicole</t>
  </si>
  <si>
    <t>Eckert, Nicolas</t>
  </si>
  <si>
    <t>Edouard, Jean-Louis</t>
  </si>
  <si>
    <t>Guillet, Sebastien</t>
  </si>
  <si>
    <t>Guiot, Joel</t>
  </si>
  <si>
    <t>Khodri, Myriam</t>
  </si>
  <si>
    <t>Lavigne, Franck</t>
  </si>
  <si>
    <t>Luckman, Brian H.</t>
  </si>
  <si>
    <t>Masson-Delmotte, Valerie</t>
  </si>
  <si>
    <t>Myglan, Vladimir S.</t>
  </si>
  <si>
    <t>Oppenheimer, Clive</t>
  </si>
  <si>
    <t>Ortega, Pablo</t>
  </si>
  <si>
    <t>Sielenou, Pascal Dkengne</t>
  </si>
  <si>
    <t>Stoffel, Markus</t>
  </si>
  <si>
    <t>Zhang, Yong</t>
  </si>
  <si>
    <t>Boer, Rizaldi</t>
  </si>
  <si>
    <t>Dao, Hassan</t>
  </si>
  <si>
    <t>Islam, M. D. Rafiqul</t>
  </si>
  <si>
    <t>Zuhairi, Megat Farez Azril</t>
  </si>
  <si>
    <t>Bennartz, R.</t>
  </si>
  <si>
    <t>Gray, T. M.</t>
  </si>
  <si>
    <t>Limonta, Mara</t>
  </si>
  <si>
    <t>Vezzoli, Giovanni</t>
  </si>
  <si>
    <t>Wang, Jiang-Gang</t>
  </si>
  <si>
    <t>Wang, Chenghai</t>
  </si>
  <si>
    <t>Yang, Yiya</t>
  </si>
  <si>
    <t>Hoang, Phi-Phung</t>
  </si>
  <si>
    <t>Liou, Yuei-An</t>
  </si>
  <si>
    <t>Nguyen, Kim-Anh</t>
  </si>
  <si>
    <t>Nguyen, Thanh-Hung</t>
  </si>
  <si>
    <t>Tran, Ha-Phuong</t>
  </si>
  <si>
    <t>Watterson, Ian G.</t>
  </si>
  <si>
    <t>Luong, Van Viet</t>
  </si>
  <si>
    <t>Anwar, Ruslin</t>
  </si>
  <si>
    <t>Chiang, Li-Chi</t>
  </si>
  <si>
    <t>Rahayuningtyas, Christina</t>
  </si>
  <si>
    <t>Wu, Ray-Shyan</t>
  </si>
  <si>
    <t>Schmeits, Maurice</t>
  </si>
  <si>
    <t>Whan, Kirien</t>
  </si>
  <si>
    <t>Kereszturi, Gabor</t>
  </si>
  <si>
    <t>Procter, Jonathan</t>
  </si>
  <si>
    <t>Pullanagari, Reddy</t>
  </si>
  <si>
    <t>Ramadhani, Fadhlullah</t>
  </si>
  <si>
    <t>Halik, Gusfan</t>
  </si>
  <si>
    <t>Putra, Victorius Setiaji</t>
  </si>
  <si>
    <t>Wiyono, Retno Utami Agung</t>
  </si>
  <si>
    <t>Braswell, B. H.</t>
  </si>
  <si>
    <t>Delgado, G. M.</t>
  </si>
  <si>
    <t>Ellis, P.</t>
  </si>
  <si>
    <t>Hagen, S. C.</t>
  </si>
  <si>
    <t>Hanson, M. A.</t>
  </si>
  <si>
    <t>Klassen, A. W.</t>
  </si>
  <si>
    <t>Kustiyo</t>
  </si>
  <si>
    <t>Melendy, L.</t>
  </si>
  <si>
    <t>Palace, M. W.</t>
  </si>
  <si>
    <t>Pearson, T. R. H.</t>
  </si>
  <si>
    <t>Roswintiarti, O.</t>
  </si>
  <si>
    <t>Sambodo, Ari Katmoko</t>
  </si>
  <si>
    <t>Sullivan, F. B.</t>
  </si>
  <si>
    <t>Walker, S. M.</t>
  </si>
  <si>
    <t>Costa, Fidel</t>
  </si>
  <si>
    <t>Fontijn, Karen</t>
  </si>
  <si>
    <t>Herrin, Jason S.</t>
  </si>
  <si>
    <t>Newhall, Christopher G.</t>
  </si>
  <si>
    <t>Sutawidjaja, Igan</t>
  </si>
  <si>
    <t>Devnita, Rina</t>
  </si>
  <si>
    <t>Sandrawati, Apong</t>
  </si>
  <si>
    <t>Sukiyah, Emi</t>
  </si>
  <si>
    <t>Andayani, Sri</t>
  </si>
  <si>
    <t>Basri, Muhamad Afdal Ahmad</t>
  </si>
  <si>
    <t>Kismiantini</t>
  </si>
  <si>
    <t>Najib, Sumayyah Aimi Mohd</t>
  </si>
  <si>
    <t>Shaharudin, Shazlyn Milleana</t>
  </si>
  <si>
    <t>Zainuddin, Nurul Hila</t>
  </si>
  <si>
    <t>Jansson, Christer</t>
  </si>
  <si>
    <t>Choy, Chunwing</t>
  </si>
  <si>
    <t>Feng, Wen</t>
  </si>
  <si>
    <t>Miao, Junfeng</t>
  </si>
  <si>
    <t>Wong, Waikin</t>
  </si>
  <si>
    <t>Zhu, Li</t>
  </si>
  <si>
    <t>Lusiana, Betha</t>
  </si>
  <si>
    <t>Tanika, Lisa</t>
  </si>
  <si>
    <t>van Noordwijk, Meine</t>
  </si>
  <si>
    <t>Lien, Chun-Chi</t>
  </si>
  <si>
    <t>Lin, I. -I.</t>
  </si>
  <si>
    <t>Pun, Iam-Fei</t>
  </si>
  <si>
    <t>Ahmad, A. Ainuddin</t>
  </si>
  <si>
    <t>Fatin, M. Nurul</t>
  </si>
  <si>
    <t>Shafri, Zulhaidi M. S. Mohd</t>
  </si>
  <si>
    <t>Abdullah, Rozi</t>
  </si>
  <si>
    <t>Abustan, Ismail</t>
  </si>
  <si>
    <t>Mudashiru, Rofiat Bunmi</t>
  </si>
  <si>
    <t>Sabtu, Nuridah</t>
  </si>
  <si>
    <t>Saleh, Azlan</t>
  </si>
  <si>
    <t>Chaudhary, Shagun</t>
  </si>
  <si>
    <t>Chua, Lloyd H. C.</t>
  </si>
  <si>
    <t>Kansal, Arun</t>
  </si>
  <si>
    <t>Merryfield, William J.</t>
  </si>
  <si>
    <t>Zwiers, Francis W.</t>
  </si>
  <si>
    <t>Abbott, Mark Bunker</t>
  </si>
  <si>
    <t>Arnold, Thomas Elliott</t>
  </si>
  <si>
    <t>Devi, Naorem Reshma</t>
  </si>
  <si>
    <t>D'Ayala, Dina</t>
  </si>
  <si>
    <t>Filipova, Valeriya</t>
  </si>
  <si>
    <t>Massam, Ashleigh</t>
  </si>
  <si>
    <t>Smith, Helen</t>
  </si>
  <si>
    <t>Wang, Kai</t>
  </si>
  <si>
    <t>Yan, Yuan</t>
  </si>
  <si>
    <t>Anselmetti, Flavio S.</t>
  </si>
  <si>
    <t>Bijaksana, Satria</t>
  </si>
  <si>
    <t>Cahyarini, Sri Yudawati</t>
  </si>
  <si>
    <t>Fabbri, Stefano C.</t>
  </si>
  <si>
    <t>Russell, James M.</t>
  </si>
  <si>
    <t>Tournier, Nicolas</t>
  </si>
  <si>
    <t>Vogel, Hendrik</t>
  </si>
  <si>
    <t>Wattrus, Nigel</t>
  </si>
  <si>
    <t>Apel, Heiko</t>
  </si>
  <si>
    <t>Merz, Bruno</t>
  </si>
  <si>
    <t>Nguyen Van Khanh Triet</t>
  </si>
  <si>
    <t>Nguyen Viet Dung</t>
  </si>
  <si>
    <t>Duhaut, Thomas</t>
  </si>
  <si>
    <t>Estournel, Claude</t>
  </si>
  <si>
    <t>Herrmann, Marine</t>
  </si>
  <si>
    <t>Long Bui Hong</t>
  </si>
  <si>
    <t>Marsaleix, Patrick</t>
  </si>
  <si>
    <t>Ngoc Trinh Bich</t>
  </si>
  <si>
    <t>Thai To Duy</t>
  </si>
  <si>
    <t>Carlson, Kimberly M.</t>
  </si>
  <si>
    <t>Chen, Hsin-Yi</t>
  </si>
  <si>
    <t>Fan, Yuanchao</t>
  </si>
  <si>
    <t>Knohl, Alexander</t>
  </si>
  <si>
    <t>Lawrence, David M.</t>
  </si>
  <si>
    <t>Meijide, Ana</t>
  </si>
  <si>
    <t>Niu, Furong</t>
  </si>
  <si>
    <t>Roell, Alexander</t>
  </si>
  <si>
    <t>Roupsard, Olivier</t>
  </si>
  <si>
    <t>Senegal</t>
  </si>
  <si>
    <t>Ogino, Shin-Ya</t>
  </si>
  <si>
    <t>Carazzo, Guillaume</t>
  </si>
  <si>
    <t>Kartadinata, Nugraha</t>
  </si>
  <si>
    <t>Komorowski, Jean-Christophe</t>
  </si>
  <si>
    <t>Metrich, Nicole</t>
  </si>
  <si>
    <t>Michel, Agnes</t>
  </si>
  <si>
    <t>Prambada, Oktory</t>
  </si>
  <si>
    <t>Rodysill, Jessica</t>
  </si>
  <si>
    <t>Surono</t>
  </si>
  <si>
    <t>Vidal, Celine M.</t>
  </si>
  <si>
    <t>Firman, Tommy</t>
  </si>
  <si>
    <t>Cai, Wenju</t>
  </si>
  <si>
    <t>Huang, Gang</t>
  </si>
  <si>
    <t>Li, Shujun</t>
  </si>
  <si>
    <t>Ng, Benjamin</t>
  </si>
  <si>
    <t>Wang, Guojian</t>
  </si>
  <si>
    <t>Yang, Kai</t>
  </si>
  <si>
    <t>Hilgen, Frederik</t>
  </si>
  <si>
    <t>Krijgsman, Wout</t>
  </si>
  <si>
    <t>Marshall, Nathan</t>
  </si>
  <si>
    <t>Zeeden, Christian</t>
  </si>
  <si>
    <t>Guan, Zhaoyong</t>
  </si>
  <si>
    <t>Hu, Dingzhu</t>
  </si>
  <si>
    <t>Jin, Dachao</t>
  </si>
  <si>
    <t>Xu, Qi</t>
  </si>
  <si>
    <t>Bolvin, David T.</t>
  </si>
  <si>
    <t>Huffman, George J.</t>
  </si>
  <si>
    <t>Nelkin, Eric J.</t>
  </si>
  <si>
    <t>Tan, Jackson</t>
  </si>
  <si>
    <t>Bai, Xiaolin</t>
  </si>
  <si>
    <t>Li, Mingming</t>
  </si>
  <si>
    <t>Lian, Qiang</t>
  </si>
  <si>
    <t>Liu, Zhiyu</t>
  </si>
  <si>
    <t>Wang, Fan</t>
  </si>
  <si>
    <t>Wang, Jianing</t>
  </si>
  <si>
    <t>Zhang, Fangtao</t>
  </si>
  <si>
    <t>He Jin-hai</t>
  </si>
  <si>
    <t>Huang Jiao-wen</t>
  </si>
  <si>
    <t>Jin Qi-hua</t>
  </si>
  <si>
    <t>Xu Hai-ming</t>
  </si>
  <si>
    <t>Fraedrich, Klaus</t>
  </si>
  <si>
    <t>Sielmann, Frank</t>
  </si>
  <si>
    <t>Zhang, Ling</t>
  </si>
  <si>
    <t>Zhu, Xiuhua</t>
  </si>
  <si>
    <t>Kingson, Oinam</t>
  </si>
  <si>
    <t>Meitei, Ngangom Romario</t>
  </si>
  <si>
    <t>Pandey, N.</t>
  </si>
  <si>
    <t>Sangeeta, Angom</t>
  </si>
  <si>
    <t>Yadav, Bhupendra S.</t>
  </si>
  <si>
    <t>Cerovecki, Ivana</t>
  </si>
  <si>
    <t>Chen, Shuiming</t>
  </si>
  <si>
    <t>Cornuelle, Bruce D.</t>
  </si>
  <si>
    <t>Gopalakrishnan, Ganesh</t>
  </si>
  <si>
    <t>McClean, Julie L.</t>
  </si>
  <si>
    <t>Qiu, Bo</t>
  </si>
  <si>
    <t>Schoenau, Martha C.</t>
  </si>
  <si>
    <t>Eco, Rodrigo C.</t>
  </si>
  <si>
    <t>Herrero, Tatum Miko L.</t>
  </si>
  <si>
    <t>Lagmay, A. Mahar F.</t>
  </si>
  <si>
    <t>Mendoza, Jerico E.</t>
  </si>
  <si>
    <t>Minimo, Likha G.</t>
  </si>
  <si>
    <t>Rodolfo, Kelvin S.</t>
  </si>
  <si>
    <t>Santiago, Joy T.</t>
  </si>
  <si>
    <t>Christakos, George</t>
  </si>
  <si>
    <t>Hempattarasuwan, Nuttiga</t>
  </si>
  <si>
    <t>Wu, Jiaping</t>
  </si>
  <si>
    <t>Chen, Jan-Huey</t>
  </si>
  <si>
    <t>Harris, Lucas</t>
  </si>
  <si>
    <t>Jiang, Xianan</t>
  </si>
  <si>
    <t>Li, Tim</t>
  </si>
  <si>
    <t>Lin, Shian-Jiann</t>
  </si>
  <si>
    <t>Vecchi, Gabriel A.</t>
  </si>
  <si>
    <t>Xiang, Baoqiang</t>
  </si>
  <si>
    <t>Zhang, Shaoqing</t>
  </si>
  <si>
    <t>Zhao, Ming</t>
  </si>
  <si>
    <t>Guo, Yipeng</t>
  </si>
  <si>
    <t>Murakami, Hiroyuki</t>
  </si>
  <si>
    <t>Wang, Yuqing</t>
  </si>
  <si>
    <t>Xie, Shang-Ping</t>
  </si>
  <si>
    <t>Zhan, Ruifen</t>
  </si>
  <si>
    <t>Zhang, Leying</t>
  </si>
  <si>
    <t>Zhao, Jiuwei</t>
  </si>
  <si>
    <t>Amaratunga, Yasasna, V</t>
  </si>
  <si>
    <t>Chathuranika, Imiya M.</t>
  </si>
  <si>
    <t>Gunathilake, Anura S.</t>
  </si>
  <si>
    <t>Gunathilake, Miyuru B.</t>
  </si>
  <si>
    <t>Perera, Anushka</t>
  </si>
  <si>
    <t>Rathnayake, Upaka</t>
  </si>
  <si>
    <t>Jaafar, Wan Shafrina Wan Mohd</t>
  </si>
  <si>
    <t>Mahmud, Mohd Rizaludin</t>
  </si>
  <si>
    <t>Norman, Masayu</t>
  </si>
  <si>
    <t>Reba, Mohd Nadzri Md</t>
  </si>
  <si>
    <t>Yi, Tan Jia</t>
  </si>
  <si>
    <t>Abdulkareem, Jabir Haruna</t>
  </si>
  <si>
    <t>Jamil, Nor Rohaizah</t>
  </si>
  <si>
    <t>Pradhan, Biswajeet</t>
  </si>
  <si>
    <t>Sulaiman, Wan Nor Azmin</t>
  </si>
  <si>
    <t>Hong Quan Nguyen</t>
  </si>
  <si>
    <t>Jiang, Ze</t>
  </si>
  <si>
    <t>Sun, Yabin</t>
  </si>
  <si>
    <t>Tri Van Pham Dang</t>
  </si>
  <si>
    <t>Van Qui Nguyen</t>
  </si>
  <si>
    <t>Singh, A. K.</t>
  </si>
  <si>
    <t>Amalia, Cut Sherly</t>
  </si>
  <si>
    <t>Daly, Patrick</t>
  </si>
  <si>
    <t>Horton, Benjamin</t>
  </si>
  <si>
    <t>Jannah, Raudhatul</t>
  </si>
  <si>
    <t>Mahdi, Saiful</t>
  </si>
  <si>
    <t>McCaughey, Jamie</t>
  </si>
  <si>
    <t>Mundir, Ibnu</t>
  </si>
  <si>
    <t>Guharay, Amitava</t>
  </si>
  <si>
    <t>Brazil</t>
  </si>
  <si>
    <t>Nath, Debashis</t>
  </si>
  <si>
    <t>Huang, Sihua</t>
  </si>
  <si>
    <t>Li, Yuanpu</t>
  </si>
  <si>
    <t>Aribowo, Sonny</t>
  </si>
  <si>
    <t>Authemayou, Christine</t>
  </si>
  <si>
    <t>Brocard, Gilles</t>
  </si>
  <si>
    <t>Delcaillau, Bernard</t>
  </si>
  <si>
    <t>Husson, Laurent</t>
  </si>
  <si>
    <t>Molliex, Stephane</t>
  </si>
  <si>
    <t>Pedoja, Kevin</t>
  </si>
  <si>
    <t>Iqbal, Zafar</t>
  </si>
  <si>
    <t>Ziarh, Ghaith Falah</t>
  </si>
  <si>
    <t>Feng, Xiangbo</t>
  </si>
  <si>
    <t>Liu, Haolang</t>
  </si>
  <si>
    <t>Tao, Aifeng</t>
  </si>
  <si>
    <t>Acierto, Ralph Allen</t>
  </si>
  <si>
    <t>Myo, Hnin Thiri</t>
  </si>
  <si>
    <t>San, Zin Mar Lar Tin</t>
  </si>
  <si>
    <t>Shwe, Kyi Pyar</t>
  </si>
  <si>
    <t>Hoshino, Yasuharu</t>
  </si>
  <si>
    <t>Miyahara, Hiroko</t>
  </si>
  <si>
    <t>Nakatsuka, Takeshi</t>
  </si>
  <si>
    <t>Ohyama, Motonari</t>
  </si>
  <si>
    <t>Sakashita, Wataru</t>
  </si>
  <si>
    <t>Takemura, Keiji</t>
  </si>
  <si>
    <t>Yonenobu, Hitoshi</t>
  </si>
  <si>
    <t>Chen, Zhaohui</t>
  </si>
  <si>
    <t>Duan, Jing</t>
  </si>
  <si>
    <t>Wu, Lixin</t>
  </si>
  <si>
    <t>Chang, Jianxia</t>
  </si>
  <si>
    <t>Yang, Jie</t>
  </si>
  <si>
    <t>Yang, Y. C. Ethan</t>
  </si>
  <si>
    <t>Yao, Jun</t>
  </si>
  <si>
    <t>Zhang, Jiaorui</t>
  </si>
  <si>
    <t>Li, Shenggong</t>
  </si>
  <si>
    <t>Liu, Fengshan</t>
  </si>
  <si>
    <t>Tao, Fulu</t>
  </si>
  <si>
    <t>Wang, Meng</t>
  </si>
  <si>
    <t>Xiao, Dengpan</t>
  </si>
  <si>
    <t>Zhang, Shuai</t>
  </si>
  <si>
    <t>Ahamad, Fatimah</t>
  </si>
  <si>
    <t>Khan, Md Firoz</t>
  </si>
  <si>
    <t>Latif, Mohd Talib</t>
  </si>
  <si>
    <t>Nadzir, Mohd Shahrul Mohd</t>
  </si>
  <si>
    <t>Yatim, Ahmad Norazhar Mohd</t>
  </si>
  <si>
    <t>Chou, Ming-Dah</t>
  </si>
  <si>
    <t>Hsu, Huang-Hsiung</t>
  </si>
  <si>
    <t>Wu, Chi-Hua</t>
  </si>
  <si>
    <t>David, Christoph Gabriel</t>
  </si>
  <si>
    <t>Diez, Javier Revilla</t>
  </si>
  <si>
    <t>Jalloul, Mazen Hoballah</t>
  </si>
  <si>
    <t>Leitold, Roxana</t>
  </si>
  <si>
    <t>Nguyen, Hong Quan</t>
  </si>
  <si>
    <t>Scheiber, Leon</t>
  </si>
  <si>
    <t>Schlurmann, Torsten</t>
  </si>
  <si>
    <t>Visscher, Jan</t>
  </si>
  <si>
    <t>Aydt, Heiko</t>
  </si>
  <si>
    <t>Nevat, Ido</t>
  </si>
  <si>
    <t>Philipp, Conrad H.</t>
  </si>
  <si>
    <t>Castillo, Jane Salvador</t>
  </si>
  <si>
    <t>Malek, Rafal</t>
  </si>
  <si>
    <t>Szamalek, Krzysztof</t>
  </si>
  <si>
    <t>Wolkowicz, Stanislaw</t>
  </si>
  <si>
    <t>Zglinicki, Karol</t>
  </si>
  <si>
    <t>Shimpo, Akihiko</t>
  </si>
  <si>
    <t>Cai Rong-shuo</t>
  </si>
  <si>
    <t>Tan Hong-jian</t>
  </si>
  <si>
    <t>Chesoh, Sarawuth</t>
  </si>
  <si>
    <t>Lim, Apiradee</t>
  </si>
  <si>
    <t>McNeil, Don</t>
  </si>
  <si>
    <t>Kibe, Ayumi</t>
  </si>
  <si>
    <t>Saitoh, Mika</t>
  </si>
  <si>
    <t>Ueda, Hiroaki</t>
  </si>
  <si>
    <t>De Michele, Carlo</t>
  </si>
  <si>
    <t>Gan, Thian Yew</t>
  </si>
  <si>
    <t>Jun, Changhyun</t>
  </si>
  <si>
    <t>Qin, X. S.</t>
  </si>
  <si>
    <t>Tung, Yeou-Koung</t>
  </si>
  <si>
    <t>Alexander, Cici</t>
  </si>
  <si>
    <t>Hill, Ross A.</t>
  </si>
  <si>
    <t>Korstjens, Amanda H.</t>
  </si>
  <si>
    <t>Palazzi, E.</t>
  </si>
  <si>
    <t>Provenzale, A.</t>
  </si>
  <si>
    <t>Turco, M.</t>
  </si>
  <si>
    <t>von Hardenberg, J.</t>
  </si>
  <si>
    <t>Carn, S. A.</t>
  </si>
  <si>
    <t>Krotkov, N. A.</t>
  </si>
  <si>
    <t>Prata, A. J.</t>
  </si>
  <si>
    <t>Yang, K.</t>
  </si>
  <si>
    <t>Han, Guilin</t>
  </si>
  <si>
    <t>Li, Xiaoqiang</t>
  </si>
  <si>
    <t>Liu, Jinke</t>
  </si>
  <si>
    <t>Liu, Man</t>
  </si>
  <si>
    <t>Qu, Rui</t>
  </si>
  <si>
    <t>Zhang, Qian</t>
  </si>
  <si>
    <t>Samat, Fazdliana</t>
  </si>
  <si>
    <t>Jia, XiaoJing</t>
  </si>
  <si>
    <t>Zhang, Chao</t>
  </si>
  <si>
    <t>Chen, Huopo</t>
  </si>
  <si>
    <t>Liu, Yong</t>
  </si>
  <si>
    <t>Qiu, Yubao</t>
  </si>
  <si>
    <t>Wang, Huijun</t>
  </si>
  <si>
    <t>Emam, Ammar Rafiei</t>
  </si>
  <si>
    <t>Kappas, Martin</t>
  </si>
  <si>
    <t>Khac Thoi Nguyen</t>
  </si>
  <si>
    <t>Quoc Vinh Tran</t>
  </si>
  <si>
    <t>Thanh Noi Phan</t>
  </si>
  <si>
    <t>Trong Phuong Tran</t>
  </si>
  <si>
    <t>Custado, M. J.</t>
  </si>
  <si>
    <t>Sekhon, N.</t>
  </si>
  <si>
    <t>Algeo, Thomas J.</t>
  </si>
  <si>
    <t>Chen, Bo</t>
  </si>
  <si>
    <t>Chen, Jitao</t>
  </si>
  <si>
    <t>He, Tianchen</t>
  </si>
  <si>
    <t>Huang, Pu</t>
  </si>
  <si>
    <t>Joachimski, Michael M.</t>
  </si>
  <si>
    <t>Liu, Jiangsi</t>
  </si>
  <si>
    <t>Montanez, Isabel P.</t>
  </si>
  <si>
    <t>Qie, Wenkun</t>
  </si>
  <si>
    <t>Regelous, Marcel</t>
  </si>
  <si>
    <t>von Strandmann, Philip A. E. Pogge</t>
  </si>
  <si>
    <t>Wang, Xiangdong</t>
  </si>
  <si>
    <t>Amagai, Yuusuke</t>
  </si>
  <si>
    <t>Hayasaki, Masamitsu</t>
  </si>
  <si>
    <t>Druffel, E. R. M.</t>
  </si>
  <si>
    <t>Fan, T. Y.</t>
  </si>
  <si>
    <t>Goodkin, N. F.</t>
  </si>
  <si>
    <t>Ramos, R. D.</t>
  </si>
  <si>
    <t>Xi, Xiangying</t>
  </si>
  <si>
    <t>Zou, Youjia</t>
  </si>
  <si>
    <t>Chae, Sung-Ho</t>
  </si>
  <si>
    <t>Fadhillah, Muhammad Fulki</t>
  </si>
  <si>
    <t>Hakim, Wahyu Luqmanul</t>
  </si>
  <si>
    <t>Lee, Chang-Wook</t>
  </si>
  <si>
    <t>Lee, Kwang-Jae</t>
  </si>
  <si>
    <t>Lee, Seung-Jae</t>
  </si>
  <si>
    <t>Lu, Y.</t>
  </si>
  <si>
    <t>Lee, Ming-Ying</t>
  </si>
  <si>
    <t>Lu, Mengqian</t>
  </si>
  <si>
    <t>Pan, Mengxin</t>
  </si>
  <si>
    <t>Xie, Zhiling</t>
  </si>
  <si>
    <t>Du, Liangmin</t>
  </si>
  <si>
    <t>Ren, Yongjian</t>
  </si>
  <si>
    <t>Song, Lianchun</t>
  </si>
  <si>
    <t>Xiao, Ying</t>
  </si>
  <si>
    <t>Angove, Michael</t>
  </si>
  <si>
    <t>Aucan, Jerome</t>
  </si>
  <si>
    <t>New Caledonia</t>
  </si>
  <si>
    <t>Barnes, Christopher R.</t>
  </si>
  <si>
    <t>Barros, Jose</t>
  </si>
  <si>
    <t>Bayliff, Nigel</t>
  </si>
  <si>
    <t>Ireland</t>
  </si>
  <si>
    <t>Becker, Nathan C.</t>
  </si>
  <si>
    <t>Carrilho, Fernando</t>
  </si>
  <si>
    <t>Fouch, Matthew J.</t>
  </si>
  <si>
    <t>Fry, Bill</t>
  </si>
  <si>
    <t>Howe, Bruce M.</t>
  </si>
  <si>
    <t>Jamelot, Anthony</t>
  </si>
  <si>
    <t>Janiszewski, Helen A.</t>
  </si>
  <si>
    <t>Kong, Laura S. L.</t>
  </si>
  <si>
    <t>Lenz, Stephen T.</t>
  </si>
  <si>
    <t>Luther, Douglas S.</t>
  </si>
  <si>
    <t>Marinaro, Giuditta</t>
  </si>
  <si>
    <t>Matias, Luis</t>
  </si>
  <si>
    <t>Rowe, Charlotte A.</t>
  </si>
  <si>
    <t>Sakya, Andi Eka</t>
  </si>
  <si>
    <t>Salaree, Amir</t>
  </si>
  <si>
    <t>Thiele, Torsten</t>
  </si>
  <si>
    <t>Tilmann, Frederik</t>
  </si>
  <si>
    <t>von Hildebrandt-Andrade, Christa</t>
  </si>
  <si>
    <t>Wallace, Laura M.</t>
  </si>
  <si>
    <t>Weinstein, Stuart A.</t>
  </si>
  <si>
    <t>Wilcock, William S. D.</t>
  </si>
  <si>
    <t>Benscoter, Brian</t>
  </si>
  <si>
    <t>Rein, Guillermo</t>
  </si>
  <si>
    <t>Turetsky, Merritt R.</t>
  </si>
  <si>
    <t>van der Werf, Guido R.</t>
  </si>
  <si>
    <t>Watts, Adam</t>
  </si>
  <si>
    <t>Chen, Kefan</t>
  </si>
  <si>
    <t>Liu, Bin</t>
  </si>
  <si>
    <t>Ning, Liang</t>
  </si>
  <si>
    <t>Sun, Weiyi</t>
  </si>
  <si>
    <t>Yan, Mi</t>
  </si>
  <si>
    <t>Effendi, Hefni</t>
  </si>
  <si>
    <t>Liyantono</t>
  </si>
  <si>
    <t>Rustiadi, Ernan</t>
  </si>
  <si>
    <t>Setiawan, Yudi</t>
  </si>
  <si>
    <t>Yoshino, Kunihiko</t>
  </si>
  <si>
    <t>Coxall, Helen K.</t>
  </si>
  <si>
    <t>Jones, Amy P.</t>
  </si>
  <si>
    <t>Jones, Tom Dunkley</t>
  </si>
  <si>
    <t>Lunt, Peter</t>
  </si>
  <si>
    <t>MacMillan, Ian</t>
  </si>
  <si>
    <t>Marliyani, Gayatri I.</t>
  </si>
  <si>
    <t>Nicholas, Christopher J.</t>
  </si>
  <si>
    <t>O'Halloran, Aoife</t>
  </si>
  <si>
    <t>Pearson, Paul N.</t>
  </si>
  <si>
    <t>Piga, Emanuela</t>
  </si>
  <si>
    <t>Rahardjo, Wartono</t>
  </si>
  <si>
    <t>Sanyoto, Prihardjo</t>
  </si>
  <si>
    <t>Ben, Bunnarin</t>
  </si>
  <si>
    <t>Gugliotta, Marcello</t>
  </si>
  <si>
    <t>Oliver, Thomas S. N.</t>
  </si>
  <si>
    <t>Saito, Yoshiki</t>
  </si>
  <si>
    <t>Sieng, Sotham</t>
  </si>
  <si>
    <t>Pan, Laura</t>
  </si>
  <si>
    <t>Randel, William</t>
  </si>
  <si>
    <t>Wang, Xinyue</t>
  </si>
  <si>
    <t>Wu, Yutian</t>
  </si>
  <si>
    <t>Zhang, Pengfei</t>
  </si>
  <si>
    <t>Zou, Liwei</t>
  </si>
  <si>
    <t>David, Shirley J.</t>
  </si>
  <si>
    <t>Duran, Ger Anne M. W.</t>
  </si>
  <si>
    <t>Guo, Yi-Peng</t>
  </si>
  <si>
    <t>Hoang, Lam</t>
  </si>
  <si>
    <t>Luu, Huyen</t>
  </si>
  <si>
    <t>Pura, Alvin G.</t>
  </si>
  <si>
    <t>Yang, Gui-Ying</t>
  </si>
  <si>
    <t>Zhang, Guang J.</t>
  </si>
  <si>
    <t>Zhou, Wenyu</t>
  </si>
  <si>
    <t>Zhou, Zhen-Qiang</t>
  </si>
  <si>
    <t>Kamae, Youichi</t>
  </si>
  <si>
    <t>Shiogama, Hideo</t>
  </si>
  <si>
    <t>Vallam, Pramodh</t>
  </si>
  <si>
    <t>Iqbal, Waheed</t>
  </si>
  <si>
    <t>Rasul, G.</t>
  </si>
  <si>
    <t>Syed, Ahsan Ali Bukhari</t>
  </si>
  <si>
    <t>Syed, F. S.</t>
  </si>
  <si>
    <t>Genge, Matthew J.</t>
  </si>
  <si>
    <t>Chen, Gengxin</t>
  </si>
  <si>
    <t>Cheng, Lijing</t>
  </si>
  <si>
    <t>Guo, Yaru</t>
  </si>
  <si>
    <t>Hu, Shijian</t>
  </si>
  <si>
    <t>Li, Yuanlong</t>
  </si>
  <si>
    <t>Tian, Tian</t>
  </si>
  <si>
    <t>Wang, Jing</t>
  </si>
  <si>
    <t>Chun, J. A.</t>
  </si>
  <si>
    <t>Li, Sanai</t>
  </si>
  <si>
    <t>Wang, Qingguo</t>
  </si>
  <si>
    <t>Comizzoli, Sergio</t>
  </si>
  <si>
    <t>Re, Viviana</t>
  </si>
  <si>
    <t>Sacchi, Elisa</t>
  </si>
  <si>
    <t>Setti, Massimo</t>
  </si>
  <si>
    <t>Thin, Myat Mon</t>
  </si>
  <si>
    <t>Bao Xianwen</t>
  </si>
  <si>
    <t>Chen Shaoyang</t>
  </si>
  <si>
    <t>Guo Junru</t>
  </si>
  <si>
    <t>Li Yan</t>
  </si>
  <si>
    <t>Liu Yulong</t>
  </si>
  <si>
    <t>Song Jun</t>
  </si>
  <si>
    <t>Yang Jinkun</t>
  </si>
  <si>
    <t>Gou, Xueni</t>
  </si>
  <si>
    <t>Lam, Jasmine Siu Lee</t>
  </si>
  <si>
    <t>Liu, Chang</t>
  </si>
  <si>
    <t>Adhityan, Appan</t>
  </si>
  <si>
    <t>Dong, Jianwen</t>
  </si>
  <si>
    <t>Ng, Wun Jern</t>
  </si>
  <si>
    <t>Tan, Soon Keat</t>
  </si>
  <si>
    <t>Wang, Mo</t>
  </si>
  <si>
    <t>Zhang, Dongqing</t>
  </si>
  <si>
    <t>Jeong, Sujong</t>
  </si>
  <si>
    <t>Kim, Baek-Min</t>
  </si>
  <si>
    <t>Kim, Jinwon</t>
  </si>
  <si>
    <t>Park, Chang-Kyun</t>
  </si>
  <si>
    <t>Park, Doo-Sun R.</t>
  </si>
  <si>
    <t>Park, Tae-Won</t>
  </si>
  <si>
    <t>Du, Yan</t>
  </si>
  <si>
    <t>Aquila, Valentina</t>
  </si>
  <si>
    <t>Baldwin, Colleen</t>
  </si>
  <si>
    <t>Hackert, Eric</t>
  </si>
  <si>
    <t>Li, Feng</t>
  </si>
  <si>
    <t>Marshak, Jelena</t>
  </si>
  <si>
    <t>Molod, Andrea</t>
  </si>
  <si>
    <t>Mukherjee, Nikita</t>
  </si>
  <si>
    <t>Pawson, Steven</t>
  </si>
  <si>
    <t>Alhamshry, Asmaa</t>
  </si>
  <si>
    <t>Egypt</t>
  </si>
  <si>
    <t>Fenta, Ayele Almaw</t>
  </si>
  <si>
    <t>Kawai, Takayuki</t>
  </si>
  <si>
    <t>Shimizu, Katsuyuki</t>
  </si>
  <si>
    <t>Yasuda, Hiroshi</t>
  </si>
  <si>
    <t>Andres, Magdalena</t>
  </si>
  <si>
    <t>Centurioni, Luca R.</t>
  </si>
  <si>
    <t>Chang, Ming-Huei</t>
  </si>
  <si>
    <t>Kuo, Tien-Hsia</t>
  </si>
  <si>
    <t>Lai, Jian-Wu</t>
  </si>
  <si>
    <t>Lee, Chung-Yaung</t>
  </si>
  <si>
    <t>Liang, Wen-Der</t>
  </si>
  <si>
    <t>Mensah, Vigan</t>
  </si>
  <si>
    <t>Tsai, Cheng-Ju</t>
  </si>
  <si>
    <t>Tseng, Yu-Heng</t>
  </si>
  <si>
    <t>Wang, Joe</t>
  </si>
  <si>
    <t>Yang, Yiing Jang</t>
  </si>
  <si>
    <t>Alfahmi, Furqon</t>
  </si>
  <si>
    <t>Batelaan, Okke</t>
  </si>
  <si>
    <t>Ferijal, Teuku</t>
  </si>
  <si>
    <t>Shanafield, Margaret</t>
  </si>
  <si>
    <t>de Ruijter, Will P. M.</t>
  </si>
  <si>
    <t>Dijkstra, Henk A.</t>
  </si>
  <si>
    <t>Wieners, Claudia E.</t>
  </si>
  <si>
    <t>Daksiya, Velautham</t>
  </si>
  <si>
    <t>Lo, Edmond Y. M.</t>
  </si>
  <si>
    <t>Mandapaka, Pradeep V.</t>
  </si>
  <si>
    <t>Aribarg, Thannob</t>
  </si>
  <si>
    <t>Minh Tue Vu</t>
  </si>
  <si>
    <t>Supratid, Siriporn</t>
  </si>
  <si>
    <t>Manduang, Jittawat</t>
  </si>
  <si>
    <t>Rueangrit, Sunsern</t>
  </si>
  <si>
    <t>Wetchayont, Parichat</t>
  </si>
  <si>
    <t>Carling, P. A.</t>
  </si>
  <si>
    <t>Duangkrayom, J.</t>
  </si>
  <si>
    <t>Jintasakul, P.</t>
  </si>
  <si>
    <t>Ratanasthien, B.</t>
  </si>
  <si>
    <t>Mandapaka, P. V.</t>
  </si>
  <si>
    <t>Lu, Xinyu</t>
  </si>
  <si>
    <t>Luo, Jing-jia</t>
  </si>
  <si>
    <t>Yamagata, Toshio</t>
  </si>
  <si>
    <t>Yuan, Chaoxia</t>
  </si>
  <si>
    <t>Wang, Xiaocong</t>
  </si>
  <si>
    <t>Yu, Tiantian</t>
  </si>
  <si>
    <t>Grigory, Nikulin</t>
  </si>
  <si>
    <t>Mohd, Mohd Syazwan Faisal</t>
  </si>
  <si>
    <t>Remedio, Armelle Reca C.</t>
  </si>
  <si>
    <t>Sein, Dmitry V.</t>
  </si>
  <si>
    <t>Van Tan, Phan</t>
  </si>
  <si>
    <t>Bell, Samuel S.</t>
  </si>
  <si>
    <t>Chand, Savin S.</t>
  </si>
  <si>
    <t>Tory, Kevin J.</t>
  </si>
  <si>
    <t>Turville, Chris</t>
  </si>
  <si>
    <t>Ye, Harvey</t>
  </si>
  <si>
    <t>Guo Zhun</t>
  </si>
  <si>
    <t>Zhou TianJun</t>
  </si>
  <si>
    <t>Dang, T. A.</t>
  </si>
  <si>
    <t>Hoang, P. H. Y.</t>
  </si>
  <si>
    <t>Nguyen, T. T. T.</t>
  </si>
  <si>
    <t>Huang, Ronghui</t>
  </si>
  <si>
    <t>Huangfu, Jingliang</t>
  </si>
  <si>
    <t>Jian, Maoqiu</t>
  </si>
  <si>
    <t>Hao, Liping</t>
  </si>
  <si>
    <t>He, Jinhai</t>
  </si>
  <si>
    <t>Ren, Qian</t>
  </si>
  <si>
    <t>Zhu, Zhiwei</t>
  </si>
  <si>
    <t>Chen, Feng</t>
  </si>
  <si>
    <t>Gagen, Mary</t>
  </si>
  <si>
    <t>Wang, Huiqin</t>
  </si>
  <si>
    <t>Yu, Shulong</t>
  </si>
  <si>
    <t>Yuan, Yujiang</t>
  </si>
  <si>
    <t>Curic, Mladjen</t>
  </si>
  <si>
    <t>Jakimovski, Boro</t>
  </si>
  <si>
    <t>North Macedonia</t>
  </si>
  <si>
    <t>Sladic, Nedim</t>
  </si>
  <si>
    <t>Spiridonov, Vlado</t>
  </si>
  <si>
    <t>Desmet, Quentin</t>
  </si>
  <si>
    <t>Chen Xiong</t>
  </si>
  <si>
    <t>Guo Wen-hua</t>
  </si>
  <si>
    <t>Li Chong-yin</t>
  </si>
  <si>
    <t>Tan Yan-ke</t>
  </si>
  <si>
    <t>Colbert, Angela J.</t>
  </si>
  <si>
    <t>Kirtman, Ben P.</t>
  </si>
  <si>
    <t>Soden, Brian J.</t>
  </si>
  <si>
    <t>Xin, Fei</t>
  </si>
  <si>
    <t>Amper, R. A. L.</t>
  </si>
  <si>
    <t>Cipriano, J. A. B.</t>
  </si>
  <si>
    <t>Opiso, E. M.</t>
  </si>
  <si>
    <t>Puno, G. R.</t>
  </si>
  <si>
    <t>Haftings, Phillip C.</t>
  </si>
  <si>
    <t>Stewart, Sebastian A.</t>
  </si>
  <si>
    <t>Han, Tingting</t>
  </si>
  <si>
    <t>Hao, Xin</t>
  </si>
  <si>
    <t>He, Linqiang</t>
  </si>
  <si>
    <t>Khouakhi, Abdou</t>
  </si>
  <si>
    <t>Villarini, Gabriele</t>
  </si>
  <si>
    <t>Tran, Thi Xuyen</t>
  </si>
  <si>
    <t>Bhattacharya, Subhasis</t>
  </si>
  <si>
    <t>Biswas, Anupam</t>
  </si>
  <si>
    <t>Haldar, Subrata</t>
  </si>
  <si>
    <t>Mandal, Somnath</t>
  </si>
  <si>
    <t>Mondal, Manas</t>
  </si>
  <si>
    <t>Paul, Suman</t>
  </si>
  <si>
    <t>Jamshadali, V. H.</t>
  </si>
  <si>
    <t>Reji, M. J. K.</t>
  </si>
  <si>
    <t>Varikoden, Hamza</t>
  </si>
  <si>
    <t>Vishnu, R.</t>
  </si>
  <si>
    <t>Djuwansah, M. R.</t>
  </si>
  <si>
    <t>Kusratmoko, Eko</t>
  </si>
  <si>
    <t>Narulita, Ida</t>
  </si>
  <si>
    <t>Syahputra, M. Ridho</t>
  </si>
  <si>
    <t>Camus, P.</t>
  </si>
  <si>
    <t>Herrera, S.</t>
  </si>
  <si>
    <t>Losada, I. J.</t>
  </si>
  <si>
    <t>Sarr, Anta-Clarisse</t>
  </si>
  <si>
    <t>Sepulchre, Pierre</t>
  </si>
  <si>
    <t>Nur'utami, Murni Ngestu</t>
  </si>
  <si>
    <t>Aoki, S.</t>
  </si>
  <si>
    <t>Budiyono, A.</t>
  </si>
  <si>
    <t>Fujiwara, M.</t>
  </si>
  <si>
    <t>Halimurrahman</t>
  </si>
  <si>
    <t>Hasebe, F.</t>
  </si>
  <si>
    <t>Hayashi, M.</t>
  </si>
  <si>
    <t>Honda, H.</t>
  </si>
  <si>
    <t>Ikeda, C.</t>
  </si>
  <si>
    <t>Inai, Y.</t>
  </si>
  <si>
    <t>Ishidoya, S.</t>
  </si>
  <si>
    <t>Komala, N.</t>
  </si>
  <si>
    <t>Morimoto, S.</t>
  </si>
  <si>
    <t>Nakazawa, T.</t>
  </si>
  <si>
    <t>Nishi, N.</t>
  </si>
  <si>
    <t>Putri, F. A.</t>
  </si>
  <si>
    <t>Shibata, T.</t>
  </si>
  <si>
    <t>Shiotani, M.</t>
  </si>
  <si>
    <t>Soedjarwo, M.</t>
  </si>
  <si>
    <t>Sugawara, S.</t>
  </si>
  <si>
    <t>Sugidachi, T.</t>
  </si>
  <si>
    <t>Toyoda, S.</t>
  </si>
  <si>
    <t>Yamazaki, H.</t>
  </si>
  <si>
    <t>Hanasaki, Naota</t>
  </si>
  <si>
    <t>Takata, Kumiko</t>
  </si>
  <si>
    <t>Khalil, Alamgir</t>
  </si>
  <si>
    <t>Kummu, M.</t>
  </si>
  <si>
    <t>Lall, U.</t>
  </si>
  <si>
    <t>Ward, Philip J.</t>
  </si>
  <si>
    <t>Dogar, Muhammad Mubashar Ahmad</t>
  </si>
  <si>
    <t>Feng, Guolin</t>
  </si>
  <si>
    <t>Gong, Zhiqiang</t>
  </si>
  <si>
    <t>Hu, Po</t>
  </si>
  <si>
    <t>Qiao, Shaobo</t>
  </si>
  <si>
    <t>Alias, Nor Eliza</t>
  </si>
  <si>
    <t>Abba, S., I</t>
  </si>
  <si>
    <t>Al-Ansari, Nadhir</t>
  </si>
  <si>
    <t>Malik, Anurag</t>
  </si>
  <si>
    <t>Mohammed, T. A.</t>
  </si>
  <si>
    <t>Sammen, Saad Sh</t>
  </si>
  <si>
    <t>Sidek, L. M.</t>
  </si>
  <si>
    <t>Lovell, Robin J.</t>
  </si>
  <si>
    <t>Acharya, Nachiketa</t>
  </si>
  <si>
    <t>Collins, Dan</t>
  </si>
  <si>
    <t>Cousin, Remi</t>
  </si>
  <si>
    <t>Hall, Kyle</t>
  </si>
  <si>
    <t>Infanti, Johnna</t>
  </si>
  <si>
    <t>LaJoie, Emerson</t>
  </si>
  <si>
    <t>Munoz, Angel G.</t>
  </si>
  <si>
    <t>Robertson, Andrew W.</t>
  </si>
  <si>
    <t>Singh, Bohar</t>
  </si>
  <si>
    <t>Yuan, Jing</t>
  </si>
  <si>
    <t>Marjuki</t>
  </si>
  <si>
    <t>Nurhayati</t>
  </si>
  <si>
    <t>Swarinoto, Y. S.</t>
  </si>
  <si>
    <t>van den Besselaar, Else J. M.</t>
  </si>
  <si>
    <t>Kodaka, Akira</t>
  </si>
  <si>
    <t>Nonaka, Shiro</t>
  </si>
  <si>
    <t>Prathumchai, Kullachart</t>
  </si>
  <si>
    <t>Soumya, M.</t>
  </si>
  <si>
    <t>Tkalich, P.</t>
  </si>
  <si>
    <t>Vethamony, P.</t>
  </si>
  <si>
    <t>Dina, Ruslanjari</t>
  </si>
  <si>
    <t>Nurjani, Emilya</t>
  </si>
  <si>
    <t>Ramadhan, Cahyadi</t>
  </si>
  <si>
    <t>Ali, Ashehad Ashween</t>
  </si>
  <si>
    <t>Faqih, Akhmad</t>
  </si>
  <si>
    <t>June, Tania</t>
  </si>
  <si>
    <t>Ma'rufah, Ummu</t>
  </si>
  <si>
    <t>Stiegler, Christian</t>
  </si>
  <si>
    <t>Frey, C. M.</t>
  </si>
  <si>
    <t>Kallummal, Rameshan</t>
  </si>
  <si>
    <t>Ran, Qishun</t>
  </si>
  <si>
    <t>Wang, Hansheng</t>
  </si>
  <si>
    <t>Yan, Xiao</t>
  </si>
  <si>
    <t>Yao, Yibin</t>
  </si>
  <si>
    <t>Yin, Jiabo</t>
  </si>
  <si>
    <t>Zhang, Bao</t>
  </si>
  <si>
    <t>Duan, Yongliang</t>
  </si>
  <si>
    <t>Liu, Baochao</t>
  </si>
  <si>
    <t>Liu, Hongwei</t>
  </si>
  <si>
    <t>Liu, Lin</t>
  </si>
  <si>
    <t>Yang, Guang</t>
  </si>
  <si>
    <t>Yu, Weidong</t>
  </si>
  <si>
    <t>Seow, Marvin Xiang Ce</t>
  </si>
  <si>
    <t>Tozuka, Tomoki</t>
  </si>
  <si>
    <t>Venkatraman, Prasanna</t>
  </si>
  <si>
    <t>Ding Yihui</t>
  </si>
  <si>
    <t>Guo Yanjun</t>
  </si>
  <si>
    <t>Li Qingxiang</t>
  </si>
  <si>
    <t>Liu Yanju</t>
  </si>
  <si>
    <t>Ren Xuejuan</t>
  </si>
  <si>
    <t>Wang Yaqing</t>
  </si>
  <si>
    <t>Xu Wenhui</t>
  </si>
  <si>
    <t>Yu Rong</t>
  </si>
  <si>
    <t>Zhai Panmao</t>
  </si>
  <si>
    <t>Chen, Yang</t>
  </si>
  <si>
    <t>Han, Geng</t>
  </si>
  <si>
    <t>Liu, Jingwu</t>
  </si>
  <si>
    <t>Long, Jingchao</t>
  </si>
  <si>
    <t>Zhang, Suping</t>
  </si>
  <si>
    <t>Chen, Sheng</t>
  </si>
  <si>
    <t>Huang, Qing-Lan</t>
  </si>
  <si>
    <t>Tam, Chi-Yung</t>
  </si>
  <si>
    <t>Wang, Weiqiang</t>
  </si>
  <si>
    <t>Xu, Kang</t>
  </si>
  <si>
    <t>Zhu, Congwen</t>
  </si>
  <si>
    <t>Moron, Vincent</t>
  </si>
  <si>
    <t>AghaKouchak, Amir</t>
  </si>
  <si>
    <t>Damberg, Lisa</t>
  </si>
  <si>
    <t>Huang, Weizhi</t>
  </si>
  <si>
    <t>Qiao, Yunting</t>
  </si>
  <si>
    <t>Corporal-Lodangco, Irenea L.</t>
  </si>
  <si>
    <t>Lamb, Peter J.</t>
  </si>
  <si>
    <t>Leslie, Lance M.</t>
  </si>
  <si>
    <t>Cheng, Ming-Dean</t>
  </si>
  <si>
    <t>Wu, Ching-Hsuan</t>
  </si>
  <si>
    <t>Bhuiyan, Tariqur Rahman</t>
  </si>
  <si>
    <t>Er, Ah Choy</t>
  </si>
  <si>
    <t>Hu, Yijia</t>
  </si>
  <si>
    <t>Sun, Yuan</t>
  </si>
  <si>
    <t>Wang, Tianju</t>
  </si>
  <si>
    <t>Zhong, Zhong</t>
  </si>
  <si>
    <t>Ebrahimian, Mahboubeh</t>
  </si>
  <si>
    <t>Iran</t>
  </si>
  <si>
    <t>Galavi, Hadi</t>
  </si>
  <si>
    <t>Kamal, Md Rowshon</t>
  </si>
  <si>
    <t>Mirzaei, Majid</t>
  </si>
  <si>
    <t>Bhattacharjya, Rajib Kumar</t>
  </si>
  <si>
    <t>Hadibarata, Tony</t>
  </si>
  <si>
    <t>Hapsari, Ratih Indri</t>
  </si>
  <si>
    <t>Isia, Ismallianto</t>
  </si>
  <si>
    <t>Jusoh, Muhammad Noor Hazwan</t>
  </si>
  <si>
    <t>Shahedan, Noor Fifinatasha</t>
  </si>
  <si>
    <t>Li QiaoPing</t>
  </si>
  <si>
    <t>Liang XiaoYun</t>
  </si>
  <si>
    <t>Liu XiangWen</t>
  </si>
  <si>
    <t>Shan JiKun</t>
  </si>
  <si>
    <t>Wu TongWen</t>
  </si>
  <si>
    <t>Abd Aziz, Samsuzana</t>
  </si>
  <si>
    <t>Rowshon, M. K.</t>
  </si>
  <si>
    <t>Wayayok, Aimrun</t>
  </si>
  <si>
    <t>Abdullah, M.</t>
  </si>
  <si>
    <t>Mandeep, J. S.</t>
  </si>
  <si>
    <t>Omotosho, T. V.</t>
  </si>
  <si>
    <t>Hassan, Zulkarnain</t>
  </si>
  <si>
    <t>Shamsudin, Supiah</t>
  </si>
  <si>
    <t>Cruz-Rico, Jorge</t>
  </si>
  <si>
    <t>Mexico</t>
  </si>
  <si>
    <t>Rivas, David</t>
  </si>
  <si>
    <t>Tejeda-Martinez, Adalberto</t>
  </si>
  <si>
    <t>Chen, Junming</t>
  </si>
  <si>
    <t>Li, Lun</t>
  </si>
  <si>
    <t>Lyu, Junmei</t>
  </si>
  <si>
    <t>Xia, Lan</t>
  </si>
  <si>
    <t>Weisheimer, A.</t>
  </si>
  <si>
    <t>Boschetti, Mirco</t>
  </si>
  <si>
    <t>Busetto, Lorenzo</t>
  </si>
  <si>
    <t>Laborte, Alice</t>
  </si>
  <si>
    <t>Mishra, Bhogendra</t>
  </si>
  <si>
    <t>Nelson, Andrew</t>
  </si>
  <si>
    <t>Levine, Richard C.</t>
  </si>
  <si>
    <t>Martin, Gill M.</t>
  </si>
  <si>
    <t>Rodriguez, Jose M.</t>
  </si>
  <si>
    <t>Vellinga, Michael</t>
  </si>
  <si>
    <t>Liu, Hailong</t>
  </si>
  <si>
    <t>Tang, Jianping</t>
  </si>
  <si>
    <t>Zhou, Tianjun</t>
  </si>
  <si>
    <t>Nguyen Minh Hai</t>
  </si>
  <si>
    <t>Ouillon, Sylvain</t>
  </si>
  <si>
    <t>Vu Duy Vinh</t>
  </si>
  <si>
    <t>Fang, Guohong</t>
  </si>
  <si>
    <t>Qu, Tangdong</t>
  </si>
  <si>
    <t>Teng, Fei</t>
  </si>
  <si>
    <t>Wang, Yonggang</t>
  </si>
  <si>
    <t>Wei, Zexun</t>
  </si>
  <si>
    <t>Zhu, Yaohua</t>
  </si>
  <si>
    <t>Cham Dao Dinh</t>
  </si>
  <si>
    <t>Chi Lang Le Phuc</t>
  </si>
  <si>
    <t>Hoang Son Nguyen</t>
  </si>
  <si>
    <t>Ngoc Bay Tran</t>
  </si>
  <si>
    <t>Xuan Cuong Nguyen</t>
  </si>
  <si>
    <t>Cotton, Laura J.</t>
  </si>
  <si>
    <t>Renema, Willem</t>
  </si>
  <si>
    <t>Dung Thi Thuy Nguyen</t>
  </si>
  <si>
    <t>Hoan Sy Pham</t>
  </si>
  <si>
    <t>Mau Dinh Le</t>
  </si>
  <si>
    <t>Tuan Van Nguyen</t>
  </si>
  <si>
    <t>Vlasova, Galina</t>
  </si>
  <si>
    <t>Kuo, Yi-Chun</t>
  </si>
  <si>
    <t>Arango, Hernan</t>
  </si>
  <si>
    <t>Castruccio, Frederic S.</t>
  </si>
  <si>
    <t>Han, Weiqing</t>
  </si>
  <si>
    <t>Levin, Julia</t>
  </si>
  <si>
    <t>Wilkin, John L.</t>
  </si>
  <si>
    <t>Zavala-Garay, Javier</t>
  </si>
  <si>
    <t>Zhang, Weifeng G.</t>
  </si>
  <si>
    <t>Lee, Seung Kyu</t>
  </si>
  <si>
    <t>Truong An Dang</t>
  </si>
  <si>
    <t>Liu, J.</t>
  </si>
  <si>
    <t>Foster, David A.</t>
  </si>
  <si>
    <t>Liang, Xinquan</t>
  </si>
  <si>
    <t>Liang, Xirong</t>
  </si>
  <si>
    <t>Liu, Ping</t>
  </si>
  <si>
    <t>Tong, Chuanxin</t>
  </si>
  <si>
    <t>Wang, Ce</t>
  </si>
  <si>
    <t>Cuong, Nguyen Quoc</t>
  </si>
  <si>
    <t>Iqbal, Shahid</t>
  </si>
  <si>
    <t>Pha, Phan Dong</t>
  </si>
  <si>
    <t>Tuan, Dang Minh</t>
  </si>
  <si>
    <t>Van Ha, Vu</t>
  </si>
  <si>
    <t>Van Tha, Hoang</t>
  </si>
  <si>
    <t>Anghileri, Daniela</t>
  </si>
  <si>
    <t>Burlando, Paolo</t>
  </si>
  <si>
    <t>Marshall, Lucy</t>
  </si>
  <si>
    <t>Moradkhani, Hamid</t>
  </si>
  <si>
    <t>Pathiraja, Sahani</t>
  </si>
  <si>
    <t>Sharma, Ashish</t>
  </si>
  <si>
    <t>Dahrin, Darharta</t>
  </si>
  <si>
    <t>Fajar, Silvia Jannatul</t>
  </si>
  <si>
    <t>Hafidz, Abd</t>
  </si>
  <si>
    <t>Iskandar, Irwan</t>
  </si>
  <si>
    <t>Suryanata, Putu Billy</t>
  </si>
  <si>
    <t>Wahidah, Wahidah</t>
  </si>
  <si>
    <t>Xiong, Kaiguo</t>
  </si>
  <si>
    <t>Zhao, Junhu</t>
  </si>
  <si>
    <t>Zhou, Jie</t>
  </si>
  <si>
    <t>Lee, Chin-Yu</t>
  </si>
  <si>
    <t>Prawitasari, Miky</t>
  </si>
  <si>
    <t>Setyawan, Chandra</t>
  </si>
  <si>
    <t>Caylor, Kelly K.</t>
  </si>
  <si>
    <t>Good, Stephen P.</t>
  </si>
  <si>
    <t>Guan, Kaiyu</t>
  </si>
  <si>
    <t>Allan, R. J.</t>
  </si>
  <si>
    <t>Auchmann, R.</t>
  </si>
  <si>
    <t>Auer, I.</t>
  </si>
  <si>
    <t>Austria</t>
  </si>
  <si>
    <t>Barriendos, M.</t>
  </si>
  <si>
    <t>Bergstrom, H.</t>
  </si>
  <si>
    <t>Bhend, J.</t>
  </si>
  <si>
    <t>Brazdil, R.</t>
  </si>
  <si>
    <t>Czech Republic</t>
  </si>
  <si>
    <t>Broennimann, S.</t>
  </si>
  <si>
    <t>Brugnara, Y.</t>
  </si>
  <si>
    <t>Compo, G. P.</t>
  </si>
  <si>
    <t>Cornes, R. C.</t>
  </si>
  <si>
    <t>Dominguez-Castro, F.</t>
  </si>
  <si>
    <t>Ecuador</t>
  </si>
  <si>
    <t>Filipiak, J.</t>
  </si>
  <si>
    <t>Holopainen, J.</t>
  </si>
  <si>
    <t>Jourdain, S.</t>
  </si>
  <si>
    <t>Kunz, M.</t>
  </si>
  <si>
    <t>Luterbacher, J.</t>
  </si>
  <si>
    <t>Maugeri, M.</t>
  </si>
  <si>
    <t>Mercalli, L.</t>
  </si>
  <si>
    <t>Moberg, A.</t>
  </si>
  <si>
    <t>Mock, C. J.</t>
  </si>
  <si>
    <t>Pichard, G.</t>
  </si>
  <si>
    <t>Reznickova, L.</t>
  </si>
  <si>
    <t>Slonosky, V.</t>
  </si>
  <si>
    <t>Ustrnul, Z.</t>
  </si>
  <si>
    <t>van Engelen, A. F. V.</t>
  </si>
  <si>
    <t>Wypych, A.</t>
  </si>
  <si>
    <t>Yin, X.</t>
  </si>
  <si>
    <t>Ditthabumrung, Sirapee</t>
  </si>
  <si>
    <t>Mashiyi, Sipho</t>
  </si>
  <si>
    <t>Ruangpan, Laddaporn</t>
  </si>
  <si>
    <t>Torres, Arlex Sanchez</t>
  </si>
  <si>
    <t>Coomes, David</t>
  </si>
  <si>
    <t>Du, Zhenrong</t>
  </si>
  <si>
    <t>Yang, Jianyu</t>
  </si>
  <si>
    <t>Abdullah, Abdullah</t>
  </si>
  <si>
    <t>Hankinson, Emma</t>
  </si>
  <si>
    <t>Harrison, Nathan</t>
  </si>
  <si>
    <t>Nowak, Matthew G.</t>
  </si>
  <si>
    <t>Usher, Graham</t>
  </si>
  <si>
    <t>Wich, Serge A.</t>
  </si>
  <si>
    <t>Barbola, Paulo</t>
  </si>
  <si>
    <t>Carrao, Hugo</t>
  </si>
  <si>
    <t>Dosio, Alessandro</t>
  </si>
  <si>
    <t>Dunbar, Martha B.</t>
  </si>
  <si>
    <t>Graversen, Rune G.</t>
  </si>
  <si>
    <t>Montagna, Paolo</t>
  </si>
  <si>
    <t>Russo, Simone</t>
  </si>
  <si>
    <t>Sillmann, Jana</t>
  </si>
  <si>
    <t>Singleton, Andrew</t>
  </si>
  <si>
    <t>Vogt, Juergen V.</t>
  </si>
  <si>
    <t>de Fraiture, Charlotte</t>
  </si>
  <si>
    <t>Prabnakorn, Saowanit</t>
  </si>
  <si>
    <t>Suryadi, F. X.</t>
  </si>
  <si>
    <t>Alfarizi, Imam Abdul Gani</t>
  </si>
  <si>
    <t>Astuti, Ike Sari</t>
  </si>
  <si>
    <t>Deffinika, Ifan</t>
  </si>
  <si>
    <t>Gusti, Randhiki</t>
  </si>
  <si>
    <t>Herlambang, Gilang Aulia</t>
  </si>
  <si>
    <t>Herwanto, Mochammad Tri</t>
  </si>
  <si>
    <t>Purwanto, Purwanto</t>
  </si>
  <si>
    <t>Sucahyo, Hetty Rahmawati</t>
  </si>
  <si>
    <t>Wiwoho, Bagus Setiabudi</t>
  </si>
  <si>
    <t>Bergal-Kuvikas, Olga</t>
  </si>
  <si>
    <t>De Maisonneuve, Caroline Bouvet</t>
  </si>
  <si>
    <t>Chaney, Nathaniel</t>
  </si>
  <si>
    <t>Siemann, Amanda L.</t>
  </si>
  <si>
    <t>Wood, Eric F.</t>
  </si>
  <si>
    <t>Buchori, Imam</t>
  </si>
  <si>
    <t>Liu, Yan</t>
  </si>
  <si>
    <t>Pangi, Pangi</t>
  </si>
  <si>
    <t>Pramitasari, Angrenggani</t>
  </si>
  <si>
    <t>Sejati, Anang Wahyu</t>
  </si>
  <si>
    <t>Zaki, Abdurrahman</t>
  </si>
  <si>
    <t>Roberts, Malcolm John</t>
  </si>
  <si>
    <t>Kang, Suchul</t>
  </si>
  <si>
    <t>Birhan, Megbar W.</t>
  </si>
  <si>
    <t>Ethiopia</t>
  </si>
  <si>
    <t>Tariku, Shimelis</t>
  </si>
  <si>
    <t>Chen, Song</t>
  </si>
  <si>
    <t>Dong, Buwen</t>
  </si>
  <si>
    <t>Li, Chaofan</t>
  </si>
  <si>
    <t>Lu, Riyu</t>
  </si>
  <si>
    <t>Nguyen, Phuong-Loan</t>
  </si>
  <si>
    <t>Zhang, Lei</t>
  </si>
  <si>
    <t>Bonadonna, Costanza</t>
  </si>
  <si>
    <t>Degruyter, Wim</t>
  </si>
  <si>
    <t>Rossi, Eduardo</t>
  </si>
  <si>
    <t>Ko, Jonghan</t>
  </si>
  <si>
    <t>Xue, Wei</t>
  </si>
  <si>
    <t>Shi, Ruizi</t>
  </si>
  <si>
    <t>Wang, Deng</t>
  </si>
  <si>
    <t>Buentgen, Ulf</t>
  </si>
  <si>
    <t>Crivellaro, Alan</t>
  </si>
  <si>
    <t>Esper, Jan</t>
  </si>
  <si>
    <t>Kirdyanov, Alexander</t>
  </si>
  <si>
    <t>Piermattei, Alma</t>
  </si>
  <si>
    <t>Reinig, Frederick</t>
  </si>
  <si>
    <t>Smith, Sylvie Hodgson</t>
  </si>
  <si>
    <t>Tegel, Willy</t>
  </si>
  <si>
    <t>Trnka, Mirek</t>
  </si>
  <si>
    <t>Wagner, Sebastian</t>
  </si>
  <si>
    <t>Li Chongyin</t>
  </si>
  <si>
    <t>Yang Song</t>
  </si>
  <si>
    <t>Yuan Yuan</t>
  </si>
  <si>
    <t>Ridderinkhof, Wim</t>
  </si>
  <si>
    <t>von der Heydt, Anna S.</t>
  </si>
  <si>
    <t>Fan, Ke</t>
  </si>
  <si>
    <t>Xu, Zhiqing</t>
  </si>
  <si>
    <t>Bera, Subir</t>
  </si>
  <si>
    <t>Bhatia, Harshita</t>
  </si>
  <si>
    <t>Hazra, Manoshi</t>
  </si>
  <si>
    <t>Hazra, Taposhi</t>
  </si>
  <si>
    <t>Khan, Mahasin Ali</t>
  </si>
  <si>
    <t>Mehrotra, R. C.</t>
  </si>
  <si>
    <t>Roy, Kaustav</t>
  </si>
  <si>
    <t>Spicer, Robert A.</t>
  </si>
  <si>
    <t>Spicer, Teresa E. V.</t>
  </si>
  <si>
    <t>Srivastava, Gaurav</t>
  </si>
  <si>
    <t>Allured, Dave</t>
  </si>
  <si>
    <t>Blade, Ileana</t>
  </si>
  <si>
    <t>Dole, Randall M.</t>
  </si>
  <si>
    <t>Eischeid, Jon K.</t>
  </si>
  <si>
    <t>Funk, Chris</t>
  </si>
  <si>
    <t>Hoerling, Martin P.</t>
  </si>
  <si>
    <t>Liebmann, Brant</t>
  </si>
  <si>
    <t>Pegion, Philip</t>
  </si>
  <si>
    <t>Quan, Xiaowei</t>
  </si>
  <si>
    <t>He, Junmei</t>
  </si>
  <si>
    <t>Hong, Liang</t>
  </si>
  <si>
    <t>Shao, Changkun</t>
  </si>
  <si>
    <t>Tang, Wenjun</t>
  </si>
  <si>
    <t>Au-Yeung, Yee Man</t>
  </si>
  <si>
    <t>Lau, Ngar-Cheung</t>
  </si>
  <si>
    <t>Lui, Yuk Sing</t>
  </si>
  <si>
    <t>Chotamonsak, Chakrit</t>
  </si>
  <si>
    <t>Hu, Peng</t>
  </si>
  <si>
    <t>Ma, Tianjiao</t>
  </si>
  <si>
    <t>Piao, Jinling</t>
  </si>
  <si>
    <t>Wang, Qiulin</t>
  </si>
  <si>
    <t>Hejazizadeh, Zahra</t>
  </si>
  <si>
    <t>Lupo, Anthony R.</t>
  </si>
  <si>
    <t>Saligheh, Mohammad</t>
  </si>
  <si>
    <t>Toulabi Nejad, Meysam</t>
  </si>
  <si>
    <t>Rahmawati, Novi</t>
  </si>
  <si>
    <t>Awalludin, Rabby</t>
  </si>
  <si>
    <t>Grussenmeyer, Pierre</t>
  </si>
  <si>
    <t>Murtiyoso, Arnadi</t>
  </si>
  <si>
    <t>Suwardhi, Deni</t>
  </si>
  <si>
    <t>Ambrizzi, Tercio</t>
  </si>
  <si>
    <t>Shimizu, Marilia Harumi</t>
  </si>
  <si>
    <t>Chakraborty, Shayak</t>
  </si>
  <si>
    <t>Mukherjee, Somenath</t>
  </si>
  <si>
    <t>Sadhukhan, Bikash</t>
  </si>
  <si>
    <t>Samanta, Raj Kumar</t>
  </si>
  <si>
    <t>Chang, Chih-Pei</t>
  </si>
  <si>
    <t>Yang, Song</t>
  </si>
  <si>
    <t>Li, Yan</t>
  </si>
  <si>
    <t>Lu, Yao</t>
  </si>
  <si>
    <t>Ma, Baisheng</t>
  </si>
  <si>
    <t>Fifariz, Reynaldy</t>
  </si>
  <si>
    <t>Janson, Xavier</t>
  </si>
  <si>
    <t>Kerans, Charles</t>
  </si>
  <si>
    <t>Sapiie, Benyamin</t>
  </si>
  <si>
    <t>Edwards, Stephen</t>
  </si>
  <si>
    <t>Garrison, Christopher</t>
  </si>
  <si>
    <t>Kilburn, Christopher</t>
  </si>
  <si>
    <t>Smart, David</t>
  </si>
  <si>
    <t>Tian, Baoqiang</t>
  </si>
  <si>
    <t>Dickinson, Robert E.</t>
  </si>
  <si>
    <t>Pu, Bing</t>
  </si>
  <si>
    <t>Ge, Jingwen</t>
  </si>
  <si>
    <t>Jia, Xiaojing</t>
  </si>
  <si>
    <t>Lin, Hai</t>
  </si>
  <si>
    <t>Liu, Haijiang</t>
  </si>
  <si>
    <t>Meng, Wenjian</t>
  </si>
  <si>
    <t>Zhang, Kewei</t>
  </si>
  <si>
    <t>Barnston, Anthony G.</t>
  </si>
  <si>
    <t>Bourget, Julien</t>
  </si>
  <si>
    <t>Keep, Myra</t>
  </si>
  <si>
    <t>Saqab, Muhammad Mudasar</t>
  </si>
  <si>
    <t>Trotter, Julie</t>
  </si>
  <si>
    <t>Li, Gen</t>
  </si>
  <si>
    <t>Avtar, Ram</t>
  </si>
  <si>
    <t>Kurasaki, Masaaki</t>
  </si>
  <si>
    <t>Minh, Huynh Vuong Thu</t>
  </si>
  <si>
    <t>Misra, Prakhar</t>
  </si>
  <si>
    <t>Mohan, Geetha</t>
  </si>
  <si>
    <t>Bolton, A.</t>
  </si>
  <si>
    <t>Griffin, S.</t>
  </si>
  <si>
    <t>Hughen, K. A.</t>
  </si>
  <si>
    <t>Karnauskas, K. B.</t>
  </si>
  <si>
    <t>Ong, M. R.</t>
  </si>
  <si>
    <t>Phan, K. H.</t>
  </si>
  <si>
    <t>Vo, S. T.</t>
  </si>
  <si>
    <t>Cullmann, Johannes</t>
  </si>
  <si>
    <t>Kunstmann, Harald</t>
  </si>
  <si>
    <t>Nguyen, Phuong N. B.</t>
  </si>
  <si>
    <t>Bich Thuy Nguyen</t>
  </si>
  <si>
    <t>Billen, Gilles</t>
  </si>
  <si>
    <t>Cuong Tu Ho</t>
  </si>
  <si>
    <t>Etcheber, Henri</t>
  </si>
  <si>
    <t>Garnier, Josette</t>
  </si>
  <si>
    <t>Lu, XiXi</t>
  </si>
  <si>
    <t>Nhu Da Le</t>
  </si>
  <si>
    <t>Quoc Long Pham</t>
  </si>
  <si>
    <t>Rochelle-Newall, Emma</t>
  </si>
  <si>
    <t>Thi Bich Ngoc Nguyen</t>
  </si>
  <si>
    <t>Thi Mai Huong Nguyen</t>
  </si>
  <si>
    <t>Thi Phuong Quynh Le</t>
  </si>
  <si>
    <t>Thi Thuy Duong</t>
  </si>
  <si>
    <t>Viet Nga Dao</t>
  </si>
  <si>
    <t>Dawson, Richard J.</t>
  </si>
  <si>
    <t>Heidrich, Oliver</t>
  </si>
  <si>
    <t>Kropp, Juergen P.</t>
  </si>
  <si>
    <t>Lenk, Stephan</t>
  </si>
  <si>
    <t>Rybski, Diego</t>
  </si>
  <si>
    <t>Cui, Huijuan</t>
  </si>
  <si>
    <t>Xu, Ximeng</t>
  </si>
  <si>
    <t>Gallardo, Mercedes</t>
  </si>
  <si>
    <t>Argentina</t>
  </si>
  <si>
    <t>Heredia, Susana</t>
  </si>
  <si>
    <t>Jose Salas, Maria</t>
  </si>
  <si>
    <t>Mestre, Ana</t>
  </si>
  <si>
    <t>Liang, Bin</t>
  </si>
  <si>
    <t>Liu, Linan</t>
  </si>
  <si>
    <t>Song, Zhaoliang</t>
  </si>
  <si>
    <t>Yu, Changxun</t>
  </si>
  <si>
    <t>Zhao, Ye</t>
  </si>
  <si>
    <t>Zheng, Xiaodi</t>
  </si>
  <si>
    <t>Lu, Weiwei</t>
  </si>
  <si>
    <t>Wang, Taihua</t>
  </si>
  <si>
    <t>Yang, Dawen</t>
  </si>
  <si>
    <t>Yang, Shuyu</t>
  </si>
  <si>
    <t>Zhao, Baoxu</t>
  </si>
  <si>
    <t>Chen, Aifang</t>
  </si>
  <si>
    <t>Mu, Mengfei</t>
  </si>
  <si>
    <t>Tang, Yin</t>
  </si>
  <si>
    <t>Wright, Nigel</t>
  </si>
  <si>
    <t>Chen, Yue-Gau</t>
  </si>
  <si>
    <t>Duan, Wuhui</t>
  </si>
  <si>
    <t>Kong, Xinggong</t>
  </si>
  <si>
    <t>Lee, Shih-Yu</t>
  </si>
  <si>
    <t>Lin, Ke</t>
  </si>
  <si>
    <t>Shen, Chuan-Chou</t>
  </si>
  <si>
    <t>Tan, Liangcheng</t>
  </si>
  <si>
    <t>Wang, Xianfeng</t>
  </si>
  <si>
    <t>Mishra, Anshuman</t>
  </si>
  <si>
    <t>Viswanathan, Prasanna Mohan</t>
  </si>
  <si>
    <t>William, Fiona Bassy</t>
  </si>
  <si>
    <t>Aktas, Yasemin D.</t>
  </si>
  <si>
    <t>Carruthers, David</t>
  </si>
  <si>
    <t>Hunt, Julian</t>
  </si>
  <si>
    <t>Malki-Epshtein, Liora</t>
  </si>
  <si>
    <t>Stocker, Jenny</t>
  </si>
  <si>
    <t>Chua, Kuan Chin</t>
  </si>
  <si>
    <t>Puah, Yan Jun</t>
  </si>
  <si>
    <t>Emmanuel, Maria</t>
  </si>
  <si>
    <t>Muhsin, M.</t>
  </si>
  <si>
    <t>Murthy, B. V. Krishna</t>
  </si>
  <si>
    <t>Parameswaran, K.</t>
  </si>
  <si>
    <t>Ratnam, M. Venkat</t>
  </si>
  <si>
    <t>Sunilkumar, S. V.</t>
  </si>
  <si>
    <t>Kassim, Azman</t>
  </si>
  <si>
    <t>Khuzaimah, Zailani</t>
  </si>
  <si>
    <t>Mansor, Shattri</t>
  </si>
  <si>
    <t>Saadatkhah, Nader</t>
  </si>
  <si>
    <t>Saadatkhah, Reza</t>
  </si>
  <si>
    <t>Tehrani, Mohammadreza Hadad</t>
  </si>
  <si>
    <t>Seyam, Mohammed</t>
  </si>
  <si>
    <t>Klotzbach, Philip J.</t>
  </si>
  <si>
    <t>Raga, Graciela B.</t>
  </si>
  <si>
    <t>Yoshida, Ryuji</t>
  </si>
  <si>
    <t>Zhao, Haikun</t>
  </si>
  <si>
    <t>Zhao, Kai</t>
  </si>
  <si>
    <t>Kirkwood, S.</t>
  </si>
  <si>
    <t>Rechou, A.</t>
  </si>
  <si>
    <t>Babu, Saginela Ravindra</t>
  </si>
  <si>
    <t>Han, Cui</t>
  </si>
  <si>
    <t>Huang, Yihan</t>
  </si>
  <si>
    <t>Liu, Mengyang</t>
  </si>
  <si>
    <t>Yang, Guanying</t>
  </si>
  <si>
    <t>Yin, Yixing</t>
  </si>
  <si>
    <t>Iizumi, Toshichika</t>
  </si>
  <si>
    <t>Kim, Wonsik</t>
  </si>
  <si>
    <t>Nishimori, Motoki</t>
  </si>
  <si>
    <t>Alves, O.</t>
  </si>
  <si>
    <t>Hendon, H. H.</t>
  </si>
  <si>
    <t>Hudson, D.</t>
  </si>
  <si>
    <t>Marshall, A. G.</t>
  </si>
  <si>
    <t>Pook, M. J.</t>
  </si>
  <si>
    <t>Wheeler, M. C.</t>
  </si>
  <si>
    <t>Rajagopalan, Balaji</t>
  </si>
  <si>
    <t>Yanto</t>
  </si>
  <si>
    <t>Zagona, Edith</t>
  </si>
  <si>
    <t>Hazeleger, W.</t>
  </si>
  <si>
    <t>Selten, F. M.</t>
  </si>
  <si>
    <t>Siswanto, Siswanto</t>
  </si>
  <si>
    <t>van den Hurk, Bart</t>
  </si>
  <si>
    <t>Bontemps, Sophie</t>
  </si>
  <si>
    <t>Ciais, Philippe</t>
  </si>
  <si>
    <t>Defourny, Pierre</t>
  </si>
  <si>
    <t>Li, Wei</t>
  </si>
  <si>
    <t>MacBean, Natasha</t>
  </si>
  <si>
    <t>Peng, Shushi</t>
  </si>
  <si>
    <t>Duan, Anmin</t>
  </si>
  <si>
    <t>Wu, Guoxiong</t>
  </si>
  <si>
    <t>Zhao, Yu</t>
  </si>
  <si>
    <t>Jilderda, Rudmer</t>
  </si>
  <si>
    <t>Li, Shouwei</t>
  </si>
  <si>
    <t>Liu, Wei</t>
  </si>
  <si>
    <t>Chu, Min</t>
  </si>
  <si>
    <t>Garfinkel, Chaim I.</t>
  </si>
  <si>
    <t>Israel</t>
  </si>
  <si>
    <t>Lu, Yixiong</t>
  </si>
  <si>
    <t>Rao, Jian</t>
  </si>
  <si>
    <t>Ren, Rongcai</t>
  </si>
  <si>
    <t>Wu, Tongwen</t>
  </si>
  <si>
    <t>Betancort, Juan-Francisco</t>
  </si>
  <si>
    <t>Lomoschitz, Alejandro</t>
  </si>
  <si>
    <t>Meco, Joaquin</t>
  </si>
  <si>
    <t>Qian, Daili</t>
  </si>
  <si>
    <t>Tang, Weiya</t>
  </si>
  <si>
    <t>Aleksandrova, Galina</t>
  </si>
  <si>
    <t>Herman, Alexei B.</t>
  </si>
  <si>
    <t>Yang, Jian</t>
  </si>
  <si>
    <t>Fu, Congsheng</t>
  </si>
  <si>
    <t>Wu, Haohao</t>
  </si>
  <si>
    <t>Wu, Huawu</t>
  </si>
  <si>
    <t>Zhang, Lingling</t>
  </si>
  <si>
    <t>Fredriksson, Gabriella</t>
  </si>
  <si>
    <t>Bedka, Kristopher M.</t>
  </si>
  <si>
    <t>Deshler, Terry</t>
  </si>
  <si>
    <t>Fairlie, T. Duncan</t>
  </si>
  <si>
    <t>Foster, Katie</t>
  </si>
  <si>
    <t>Knepp, Travis</t>
  </si>
  <si>
    <t>Natarajan, Murali</t>
  </si>
  <si>
    <t>Thomason, Larry</t>
  </si>
  <si>
    <t>Trepte, Charles</t>
  </si>
  <si>
    <t>Vernier, Jean-Paul</t>
  </si>
  <si>
    <t>Wienhold, Frank G.</t>
  </si>
  <si>
    <t>Elsbury, Dillon</t>
  </si>
  <si>
    <t>Magnusdottir, Gudrun</t>
  </si>
  <si>
    <t>Peings, Yannick</t>
  </si>
  <si>
    <t>Lei, Huimin</t>
  </si>
  <si>
    <t>Ma, Teng</t>
  </si>
  <si>
    <t>Yang, Yuting</t>
  </si>
  <si>
    <t>Hamdan, Jol</t>
  </si>
  <si>
    <t>Jafarzadeh-Haghighi, Amir Hossein</t>
  </si>
  <si>
    <t>Shamshuddin, Jusop</t>
  </si>
  <si>
    <t>Zainuddin, Norhazlin</t>
  </si>
  <si>
    <t>Davis, Mary E.</t>
  </si>
  <si>
    <t>Mosley-Thompson, Ellen</t>
  </si>
  <si>
    <t>Porter, Stacy E.</t>
  </si>
  <si>
    <t>Shuman, Christopher A.</t>
  </si>
  <si>
    <t>Thompson, Lonnie G.</t>
  </si>
  <si>
    <t>Tucker, Compton J.</t>
  </si>
  <si>
    <t>Valdivia Corrales, Gustavo</t>
  </si>
  <si>
    <t>Peru</t>
  </si>
  <si>
    <t>Iizuka, Tsuyoshi</t>
  </si>
  <si>
    <t>Kakizaki, Yoshihiro</t>
  </si>
  <si>
    <t>Kano, Akihiro</t>
  </si>
  <si>
    <t>Syah, Muhlash Hada Firman</t>
  </si>
  <si>
    <t>Ding, Shuoyi</t>
  </si>
  <si>
    <t>Graf, Hans-F.</t>
  </si>
  <si>
    <t>Alves, Lincoln Muniz</t>
  </si>
  <si>
    <t>Costa, Duarte Filipe</t>
  </si>
  <si>
    <t>de Albuquerque Cavalcanti, Iracema Fonseca</t>
  </si>
  <si>
    <t>Marengo, Jose A.</t>
  </si>
  <si>
    <t>Ding, Lin</t>
  </si>
  <si>
    <t>Liu, Xiao-Yan</t>
  </si>
  <si>
    <t>Shukla, Anumeha</t>
  </si>
  <si>
    <t>Xu, Qiang</t>
  </si>
  <si>
    <t>Gray, Laura C.</t>
  </si>
  <si>
    <t>Stillwell, Ashlynn S.</t>
  </si>
  <si>
    <t>Zhao, Lei</t>
  </si>
  <si>
    <t>Hitoshi, Nakamura</t>
  </si>
  <si>
    <t>Irsyad, Hutama A. W.</t>
  </si>
  <si>
    <t>Du, Zheyuan</t>
  </si>
  <si>
    <t>Ge, Linlin</t>
  </si>
  <si>
    <t>Horgan, Finbarr G.</t>
  </si>
  <si>
    <t>Chile</t>
  </si>
  <si>
    <t>Lian, Xugang</t>
  </si>
  <si>
    <t>Ng, Alex Hay-Man</t>
  </si>
  <si>
    <t>Zhang, Qi</t>
  </si>
  <si>
    <t>Zhu, Qinggaozi</t>
  </si>
  <si>
    <t>Fu, Jiangang</t>
  </si>
  <si>
    <t>Jiang, Ying</t>
  </si>
  <si>
    <t>Pei, Jianxiang</t>
  </si>
  <si>
    <t>Wen, Shunv</t>
  </si>
  <si>
    <t>Xie, Yuhong</t>
  </si>
  <si>
    <t>Zhou, Yun</t>
  </si>
  <si>
    <t>Zhao, Chen</t>
  </si>
  <si>
    <t>Zhu, Ling</t>
  </si>
  <si>
    <t>Das Gupta, Ashim</t>
  </si>
  <si>
    <t>Dhungana, Santosh</t>
  </si>
  <si>
    <t>Kc, Saurav</t>
  </si>
  <si>
    <t>Thi Phuoc Lai Nguyen</t>
  </si>
  <si>
    <t>Tuan Pham Van</t>
  </si>
  <si>
    <t>Bony, Sandrine</t>
  </si>
  <si>
    <t>Cassou, Christophe</t>
  </si>
  <si>
    <t>Codron, Francis</t>
  </si>
  <si>
    <t>Ruprich-Robert, Yohan</t>
  </si>
  <si>
    <t>Vial, Jessica</t>
  </si>
  <si>
    <t>Hamzah, Firdaus Mohamad</t>
  </si>
  <si>
    <t>Hasan, Hasrul Hazman</t>
  </si>
  <si>
    <t>Muhammad, Nur Shazwani</t>
  </si>
  <si>
    <t>Razali, Siti Fatin Mohd</t>
  </si>
  <si>
    <t>Endut, Zakaria</t>
  </si>
  <si>
    <t>Makoundi, Charles</t>
  </si>
  <si>
    <t>Zaw, Khin</t>
  </si>
  <si>
    <t>Jamil, Muhammad</t>
  </si>
  <si>
    <t>Rahman, Abdul Hadi Bin Abd</t>
  </si>
  <si>
    <t>Ramasamy, Nagarajan</t>
  </si>
  <si>
    <t>Ramkumar, Muthuvairavasamy</t>
  </si>
  <si>
    <t>Siddiqui, Numair A.</t>
  </si>
  <si>
    <t>Usman, Muhammad</t>
  </si>
  <si>
    <t>Amin, Mohd Zaki M.</t>
  </si>
  <si>
    <t>Ishak, Asnor M.</t>
  </si>
  <si>
    <t>Islam, Tanvir</t>
  </si>
  <si>
    <t>Al-Kahtany, Khaled</t>
  </si>
  <si>
    <t>Baioumy, Hassan</t>
  </si>
  <si>
    <t>Maisie, Maame</t>
  </si>
  <si>
    <t>Salim, Ahmed Mohamed Ahmed</t>
  </si>
  <si>
    <t>Badron, Khairayu Binti</t>
  </si>
  <si>
    <t>Rahim, Nadirah Binti Abdul</t>
  </si>
  <si>
    <t>Shah, Nur Hazierah Binti Mohd</t>
  </si>
  <si>
    <t>Camenisch, Chantal</t>
  </si>
  <si>
    <t>Crampsie, Arlene</t>
  </si>
  <si>
    <t>Gao, Chaochao</t>
  </si>
  <si>
    <t>Garnier, Emmanuel</t>
  </si>
  <si>
    <t>Helama, Samuli</t>
  </si>
  <si>
    <t>Huhtamaa, Heli</t>
  </si>
  <si>
    <t>Kleemann, Katrin</t>
  </si>
  <si>
    <t>Ludlow, Francis</t>
  </si>
  <si>
    <t>McConnell, Joseph</t>
  </si>
  <si>
    <t>Sigl, Michael</t>
  </si>
  <si>
    <t>Dilek, Yildirim</t>
  </si>
  <si>
    <t>Huang, Chi-Yue</t>
  </si>
  <si>
    <t>Lis, Zi-An</t>
  </si>
  <si>
    <t>Tian, Zhi-Xian</t>
  </si>
  <si>
    <t>Yan, Yi</t>
  </si>
  <si>
    <t>Yao, Deng</t>
  </si>
  <si>
    <t>Hansen, K. G.</t>
  </si>
  <si>
    <t>Le, C. N.</t>
  </si>
  <si>
    <t>Stahle, D. K.</t>
  </si>
  <si>
    <t>Truong, L. H.</t>
  </si>
  <si>
    <t>Dai, Aiguo</t>
  </si>
  <si>
    <t>Dong, Bo</t>
  </si>
  <si>
    <t>Grise, Kevin M.</t>
  </si>
  <si>
    <t>Schmidt, Daniel F.</t>
  </si>
  <si>
    <t>Ang, Wu Chye</t>
  </si>
  <si>
    <t>Chia, Aik Song</t>
  </si>
  <si>
    <t>Gupta, Avijit</t>
  </si>
  <si>
    <t>Arosi, Hamed A.</t>
  </si>
  <si>
    <t>Wilson, Moyra E. J.</t>
  </si>
  <si>
    <t>Julian, Miga M.</t>
  </si>
  <si>
    <t>Poerbandono</t>
  </si>
  <si>
    <t>Ghosh, Ruby</t>
  </si>
  <si>
    <t>Grote, Paul J.</t>
  </si>
  <si>
    <t>Guo, Shuang-xing</t>
  </si>
  <si>
    <t>Jacques, Frederic</t>
  </si>
  <si>
    <t>Su, Tao</t>
  </si>
  <si>
    <t>Cao, Peng</t>
  </si>
  <si>
    <t>Kandasamy, Selvaraj</t>
  </si>
  <si>
    <t>Lou, Zhanghua</t>
  </si>
  <si>
    <t>Mohamed, Che Abd Rahim</t>
  </si>
  <si>
    <t>Wang, Kunshan</t>
  </si>
  <si>
    <t>Wu, Kaikai</t>
  </si>
  <si>
    <t>Zhang, Hui</t>
  </si>
  <si>
    <t>Gao, Hongkai</t>
  </si>
  <si>
    <t>Maekan, Ekkarin</t>
  </si>
  <si>
    <t>Saengsawang, Sirikanya</t>
  </si>
  <si>
    <t>Savenije, Hubert H. G.</t>
  </si>
  <si>
    <t>Sriwongsitanon, Nutchanart</t>
  </si>
  <si>
    <t>Thianpopirug, Sansarith</t>
  </si>
  <si>
    <t>Bryan, Frank O.</t>
  </si>
  <si>
    <t>Delman, Andrew S.</t>
  </si>
  <si>
    <t>Sprintall, Janet</t>
  </si>
  <si>
    <t>Talley, Lynne D.</t>
  </si>
  <si>
    <t>Houghton, Richard A.</t>
  </si>
  <si>
    <t>Lamarche, Celine</t>
  </si>
  <si>
    <t># of SEA inst</t>
  </si>
  <si>
    <t># of unique author + country</t>
  </si>
  <si>
    <t>year</t>
  </si>
  <si>
    <t>times_cited</t>
  </si>
  <si>
    <t>journal</t>
  </si>
  <si>
    <t>publisher country</t>
  </si>
  <si>
    <t>publisher region</t>
  </si>
  <si>
    <t>ATMOSPHERIC RESEARCH</t>
  </si>
  <si>
    <t>Northern America</t>
  </si>
  <si>
    <t>ADVANCES IN METEOROLOGY</t>
  </si>
  <si>
    <t>Northern Europe</t>
  </si>
  <si>
    <t>INTERNATIONAL JOURNAL OF CLIMATOLOGY</t>
  </si>
  <si>
    <t>CLIMATE DYNAMICS</t>
  </si>
  <si>
    <t>GISCIENCE &amp; REMOTE SENSING</t>
  </si>
  <si>
    <t>INTERNATIONAL JOURNAL OF REMOTE SENSING</t>
  </si>
  <si>
    <t>JOURNAL OF GEOPHYSICAL RESEARCH-SOLID EARTH</t>
  </si>
  <si>
    <t>NATURAL HAZARDS</t>
  </si>
  <si>
    <t>JOURNAL OF HYDROLOGY</t>
  </si>
  <si>
    <t>NETHERLANDS</t>
  </si>
  <si>
    <t>Western Europe</t>
  </si>
  <si>
    <t>GEOLOGY</t>
  </si>
  <si>
    <t>WEATHER AND CLIMATE EXTREMES</t>
  </si>
  <si>
    <t>JOURNAL OF CLIMATE</t>
  </si>
  <si>
    <t>CONTINENTAL SHELF RESEARCH</t>
  </si>
  <si>
    <t>INTERNATIONAL JOURNAL OF DISASTER RISK SCIENCE</t>
  </si>
  <si>
    <t>GERMANY</t>
  </si>
  <si>
    <t>JOURNAL OF HYDROMETEOROLOGY</t>
  </si>
  <si>
    <t>QUARTERLY JOURNAL OF THE ROYAL METEOROLOGICAL SOCIETY</t>
  </si>
  <si>
    <t>CHINA GEOLOGY</t>
  </si>
  <si>
    <t>CHINA</t>
  </si>
  <si>
    <t>Eastern Asia</t>
  </si>
  <si>
    <t>ARABIAN JOURNAL OF GEOSCIENCES</t>
  </si>
  <si>
    <t>METEOROLOGICAL APPLICATIONS</t>
  </si>
  <si>
    <t>GLOBAL AND PLANETARY CHANGE</t>
  </si>
  <si>
    <t>ORE GEOLOGY REVIEWS</t>
  </si>
  <si>
    <t>HYDROGEOLOGY JOURNAL</t>
  </si>
  <si>
    <t>HIMALAYAN GEOLOGY</t>
  </si>
  <si>
    <t>INDIA</t>
  </si>
  <si>
    <t>Southern Asia</t>
  </si>
  <si>
    <t>THEORETICAL AND APPLIED CLIMATOLOGY</t>
  </si>
  <si>
    <t>AUSTRIA</t>
  </si>
  <si>
    <t>CLIMATE</t>
  </si>
  <si>
    <t>SWITZERLAND</t>
  </si>
  <si>
    <t>CARBONATES AND EVAPORITES</t>
  </si>
  <si>
    <t>METEOROLOGY AND ATMOSPHERIC PHYSICS</t>
  </si>
  <si>
    <t>NATURAL HAZARDS AND EARTH SYSTEM SCIENCES</t>
  </si>
  <si>
    <t>JOURNAL OF THE METEOROLOGICAL SOCIETY OF JAPAN</t>
  </si>
  <si>
    <t>JAPAN</t>
  </si>
  <si>
    <t>PROGRESS IN EARTH AND PLANETARY SCIENCE</t>
  </si>
  <si>
    <t>EARTH PLANETS AND SPACE</t>
  </si>
  <si>
    <t>CLIMATE OF THE PAST</t>
  </si>
  <si>
    <t>SPATIAL INFORMATION RESEARCH</t>
  </si>
  <si>
    <t>SINGAPORE</t>
  </si>
  <si>
    <t>Southeast Asia</t>
  </si>
  <si>
    <t>INTERNATIONAL JOURNAL OF GEOPHYSICS</t>
  </si>
  <si>
    <t>FRONTIERS IN EARTH SCIENCE</t>
  </si>
  <si>
    <t>GEOMATICS NATURAL HAZARDS &amp; RISK</t>
  </si>
  <si>
    <t>JOURNAL OF APPLIED METEOROLOGY AND CLIMATOLOGY</t>
  </si>
  <si>
    <t>SOLA</t>
  </si>
  <si>
    <t>MARINE GEOLOGY</t>
  </si>
  <si>
    <t>VIETNAM JOURNAL OF EARTH SCIENCES</t>
  </si>
  <si>
    <t>VIETNAM</t>
  </si>
  <si>
    <t>EARTH SCIENCE INFORMATICS</t>
  </si>
  <si>
    <t>QUATERNARY</t>
  </si>
  <si>
    <t>WEATHER AND FORECASTING</t>
  </si>
  <si>
    <t>QUATERNARY INTERNATIONAL</t>
  </si>
  <si>
    <t>TERRESTRIAL ATMOSPHERIC AND OCEANIC SCIENCES</t>
  </si>
  <si>
    <t>INTERNATIONAL JOURNAL OF APPLIED EARTH OBSERVATION AND GEOINFORMATION</t>
  </si>
  <si>
    <t>SCIENCE CHINA-EARTH SCIENCES</t>
  </si>
  <si>
    <t>GEOPHYSICAL RESEARCH LETTERS</t>
  </si>
  <si>
    <t>GEOCHEMISTRY GEOPHYSICS GEOSYSTEMS</t>
  </si>
  <si>
    <t>INTERNATIONAL JOURNAL OF DISASTER RISK REDUCTION</t>
  </si>
  <si>
    <t>HYDROLOGY AND EARTH SYSTEM SCIENCES</t>
  </si>
  <si>
    <t>JOURNAL OF GEOPHYSICAL RESEARCH-ATMOSPHERES</t>
  </si>
  <si>
    <t>ASIA-PACIFIC JOURNAL OF ATMOSPHERIC SCIENCES</t>
  </si>
  <si>
    <t>KOREA</t>
  </si>
  <si>
    <t>ISPRS INTERNATIONAL JOURNAL OF GEO-INFORMATION</t>
  </si>
  <si>
    <t>ADVANCES IN ATMOSPHERIC SCIENCES</t>
  </si>
  <si>
    <t>ATMOSPHERIC SCIENCE LETTERS</t>
  </si>
  <si>
    <t>NPJ CLIMATE AND ATMOSPHERIC SCIENCE</t>
  </si>
  <si>
    <t>JOURNAL OF SPATIAL SCIENCE</t>
  </si>
  <si>
    <t>NATURE GEOSCIENCE</t>
  </si>
  <si>
    <t>QUATERNARY GEOCHRONOLOGY</t>
  </si>
  <si>
    <t>OPEN GEOSCIENCES</t>
  </si>
  <si>
    <t>POLAND</t>
  </si>
  <si>
    <t>Eastern Europe</t>
  </si>
  <si>
    <t>ECONOMIC AND ENVIRONMENTAL GEOLOGY</t>
  </si>
  <si>
    <t>JOURNAL OF DISASTER RESEARCH</t>
  </si>
  <si>
    <t>IEEE JOURNAL OF SELECTED TOPICS IN APPLIED EARTH OBSERVATIONS AND REMOTE SENSING</t>
  </si>
  <si>
    <t>JOURNAL OF THE GEOLOGICAL SOCIETY</t>
  </si>
  <si>
    <t>GEOSCIENCE FRONTIERS</t>
  </si>
  <si>
    <t>GONDWANA RESEARCH</t>
  </si>
  <si>
    <t>BULLETIN OF THE AMERICAN METEOROLOGICAL SOCIETY</t>
  </si>
  <si>
    <t>MONTHLY WEATHER REVIEW</t>
  </si>
  <si>
    <t>GEOSCIENCE LETTERS</t>
  </si>
  <si>
    <t>OCEAN DYNAMICS</t>
  </si>
  <si>
    <t>JOURNAL OF CLIMATE CHANGE</t>
  </si>
  <si>
    <t>OCEAN SCIENCE</t>
  </si>
  <si>
    <t>JOURNAL OF QUATERNARY SCIENCE</t>
  </si>
  <si>
    <t>JOURNAL OF ATMOSPHERIC AND SOLAR-TERRESTRIAL PHYSICS</t>
  </si>
  <si>
    <t>GEOSCIENCES</t>
  </si>
  <si>
    <t>BASIN RESEARCH</t>
  </si>
  <si>
    <t>GEOLOGICAL JOURNAL</t>
  </si>
  <si>
    <t>JOURNAL OF GEOPHYSICAL RESEARCH-OCEANS</t>
  </si>
  <si>
    <t>ADVANCES IN SPACE RESEARCH</t>
  </si>
  <si>
    <t>MINERALS</t>
  </si>
  <si>
    <t>INTERNATIONAL JOURNAL OF DIGITAL EARTH</t>
  </si>
  <si>
    <t>EARTH SURFACE PROCESSES AND LANDFORMS</t>
  </si>
  <si>
    <t>EARTH AND SPACE SCIENCE</t>
  </si>
  <si>
    <t>ACTA GEOPHYSICA</t>
  </si>
  <si>
    <t>RUSSIAN JOURNAL OF EARTH SCIENCES</t>
  </si>
  <si>
    <t>RUSSIA</t>
  </si>
  <si>
    <t>CHEMICAL GEOLOGY</t>
  </si>
  <si>
    <t>QUATERNARY RESEARCH</t>
  </si>
  <si>
    <t>JOURNAL OF METEOROLOGICAL RESEARCH</t>
  </si>
  <si>
    <t>ACTA MONTANISTICA SLOVACA</t>
  </si>
  <si>
    <t>SLOVAKIA</t>
  </si>
  <si>
    <t>OCEAN &amp; COASTAL MANAGEMENT</t>
  </si>
  <si>
    <t>EARTH-SCIENCE REVIEWS</t>
  </si>
  <si>
    <t>INTERNATIONAL GEOLOGY REVIEW</t>
  </si>
  <si>
    <t>ACS EARTH AND SPACE CHEMISTRY</t>
  </si>
  <si>
    <t>OCEANOGRAPHY</t>
  </si>
  <si>
    <t>QUATERNARY SCIENCE REVIEWS</t>
  </si>
  <si>
    <t>TAIWAN</t>
  </si>
  <si>
    <t>ATMOSPHERIC MEASUREMENT TECHNIQUES</t>
  </si>
  <si>
    <t>ISPRS JOURNAL OF PHOTOGRAMMETRY AND REMOTE SENSING</t>
  </si>
  <si>
    <t>BULLETIN OF VOLCANOLOGY</t>
  </si>
  <si>
    <t>INDONESIAN JOURNAL OF GEOSCIENCE</t>
  </si>
  <si>
    <t>INDONESIA</t>
  </si>
  <si>
    <t>MAUSAM</t>
  </si>
  <si>
    <t>EARTH SCIENCES RESEARCH JOURNAL</t>
  </si>
  <si>
    <t>COLOMBIA</t>
  </si>
  <si>
    <t>South America</t>
  </si>
  <si>
    <t>JOURNAL OF ASIAN EARTH SCIENCES-X</t>
  </si>
  <si>
    <t>JOURNAL OF ADVANCES IN MODELING EARTH SYSTEMS</t>
  </si>
  <si>
    <t>EARTH AND PLANETARY SCIENCE LETTERS</t>
  </si>
  <si>
    <t>JOURNAL OF TROPICAL METEOROLOGY</t>
  </si>
  <si>
    <t>PHYSICS AND CHEMISTRY OF THE EARTH</t>
  </si>
  <si>
    <t>FRONTIERS OF EARTH SCIENCE</t>
  </si>
  <si>
    <t>International Journal of Applied Earth Observation and Geoinformation</t>
  </si>
  <si>
    <t>GEOCHIMICA ET COSMOCHIMICA ACTA</t>
  </si>
  <si>
    <t>ALL EARTH</t>
  </si>
  <si>
    <t>IEEE TRANSACTIONS ON GEOSCIENCE AND REMOTE SENSING</t>
  </si>
  <si>
    <t>MARINE TECHNOLOGY SOCIETY JOURNAL</t>
  </si>
  <si>
    <t>ATMOSPHERIC AND OCEANIC SCIENCE LETTERS</t>
  </si>
  <si>
    <t>APPLIED GEOCHEMISTRY</t>
  </si>
  <si>
    <t>JOURNAL OF OCEAN UNIVERSITY OF CHINA</t>
  </si>
  <si>
    <t>BIG EARTH DATA</t>
  </si>
  <si>
    <t>BOREAS</t>
  </si>
  <si>
    <t>JOURNAL OF ATMOSPHERIC AND OCEANIC TECHNOLOGY</t>
  </si>
  <si>
    <t>TROPICAL CYCLONE RESEARCH AND REVIEW</t>
  </si>
  <si>
    <t>OCEAN MODELLING</t>
  </si>
  <si>
    <t>CHINESE JOURNAL OF GEOPHYSICS-CHINESE EDITION</t>
  </si>
  <si>
    <t>GEOSCIENTIFIC MODEL DEVELOPMENT</t>
  </si>
  <si>
    <t>JOURNAL OF ASIAN EARTH SCIENCES</t>
  </si>
  <si>
    <t>AAPG BULLETIN</t>
  </si>
  <si>
    <t>RUDARSKO-GEOLOSKO-NAFTNI ZBORNIK</t>
  </si>
  <si>
    <t>CROATIA</t>
  </si>
  <si>
    <t>Southern Europe</t>
  </si>
  <si>
    <t>JOURNAL OF SEDIMENTARY RESEARCH</t>
  </si>
  <si>
    <t>TECTONOPHYSICS</t>
  </si>
  <si>
    <t>ANDEAN GEOLOGY</t>
  </si>
  <si>
    <t>CHILE</t>
  </si>
  <si>
    <t>JOURNAL OF GEOPHYSICAL RESEARCH-EARTH SURFACE</t>
  </si>
  <si>
    <t>ANNALES GEOPHYSICAE</t>
  </si>
  <si>
    <t>JOURNAL OF VOLCANOLOGY AND GEOTHERMAL RESEARCH</t>
  </si>
  <si>
    <t>REVISTA MEXICANA DE CIENCIAS GEOLOGICAS</t>
  </si>
  <si>
    <t>MEXICO</t>
  </si>
  <si>
    <t>Central America</t>
  </si>
  <si>
    <t>ISLAND ARC</t>
  </si>
  <si>
    <t>MARINE AND PETROLEUM GEOLOGY</t>
  </si>
  <si>
    <t>GEOMORPHOLOGY</t>
  </si>
  <si>
    <t>SEDIMENTARY GEOLOGY</t>
  </si>
  <si>
    <t>EARTH SYSTEM SCIENCE DATA</t>
  </si>
  <si>
    <t>first author country</t>
  </si>
  <si>
    <t>title</t>
  </si>
  <si>
    <t>Evaluation of CMIP6 GCMs performance to simulate precipitation over Southeast Asia</t>
  </si>
  <si>
    <t>Long-Term Rainfall Variability and Trends for Climate Risk Management in the Summer Monsoon Region of Southeast Asia</t>
  </si>
  <si>
    <t>The variability of the Southeast Asian summer monsoon</t>
  </si>
  <si>
    <t>Erratic Asian summer monsoon 2020: COVID-19 lockdown initiatives possible cause for these episodes?</t>
  </si>
  <si>
    <t>Monitoring ecological and environmental stress patterns over the past two decades in the Mekong River basin</t>
  </si>
  <si>
    <t>Comparing global land-cover products - implications for geoscience applications: an investigation for the trans-boundary Mekong Basin</t>
  </si>
  <si>
    <t>Cenozoic deformation and exhumation of the Kampot Fold Belt and implications for south Indochina tectonics</t>
  </si>
  <si>
    <t>Assessing flood disaster impacts in agriculture under climate change in the river basins of Southeast Asia</t>
  </si>
  <si>
    <t>Changes in Extreme Precipitation in the Mekong Basin</t>
  </si>
  <si>
    <t>Impacts of climate change and reservoir operation on streamflow and flood characteristics in the Lancang-Mekong River Basin</t>
  </si>
  <si>
    <t>Living fossils in the Indo-Pacific warm pool: A refuge for thermophilic dinoflagellates during glaciations</t>
  </si>
  <si>
    <t>Verification of forecasts for extreme rainfall, tropical cyclones, flood and storm surge over Myanmar and the Philippines</t>
  </si>
  <si>
    <t>Rice yield estimation using synthetic aperture radar (SAR) and the ORYZA crop growth model: development and application of the system in South and South-east Asian countries</t>
  </si>
  <si>
    <t>Spatio-temporal changes in daily extreme precipitation for the Lancang-Mekong River Basin</t>
  </si>
  <si>
    <t>Characterization of future drought conditions in the Lower Mekong River Basin</t>
  </si>
  <si>
    <t>Using the fuzzy evidential reasoning approach to assess and forecast the water conflict risk in transboundary Rivers: A case study of the Mekong river basin</t>
  </si>
  <si>
    <t>Towards a global oil palm sample database: design and implications</t>
  </si>
  <si>
    <t>On the Presence of Tropical Vortices over the Southeast Asian Sea-Maritime Continent Region</t>
  </si>
  <si>
    <t>The bottom water exchange between the Singapore Strait and the West Johor Strait</t>
  </si>
  <si>
    <t>A Systematic Study of Disaster Risk in Brunei Darussalam and Options for Vulnerability-Based Disaster Risk Reduction</t>
  </si>
  <si>
    <t>Hydroclimate Variability and Change over the Mekong River Basin: Modeling and Predictability and Policy Implications</t>
  </si>
  <si>
    <t>Urban intensification of convective rainfall over the Singapore - Johor Bahru region</t>
  </si>
  <si>
    <t>Development and Formation Mechanism of the Southeast Asian Winter Heavy Rainfall Events around the South China Sea. Part I: Formation and Propagation of Cold Surge Vortex</t>
  </si>
  <si>
    <t>The characteristics, formation and exploration progress of the potash deposits on the Khorat Plateau, Thailand and Laos, Southeast Asia</t>
  </si>
  <si>
    <t>Interannual variability of summer monsoon rainfall over Myanmar</t>
  </si>
  <si>
    <t>Analysing the relationship between ocean indices and rainfall in the Chao Phraya River Basin</t>
  </si>
  <si>
    <t>Structures and Mechanisms of 20-60-Day Intraseasonal Oscillation of the Observed Rainfall in Vietnam</t>
  </si>
  <si>
    <t>The climate of Myanmar: evidence for effects of the Pacific Decadal Oscillation</t>
  </si>
  <si>
    <t>Analysis of flood damage and influencing factors in urban catchments: case studies in Manila, Philippines, and Jakarta, Indonesia</t>
  </si>
  <si>
    <t>The Northeast Winter Monsoon over the Indian Subcontinent and Southeast Asia: Evolution, Interannual Variability, and Model Simulations</t>
  </si>
  <si>
    <t>Extreme Wind Variability and Wind Map Development in Western Java, Indonesia</t>
  </si>
  <si>
    <t>Decreasing southwest monsoon rainfall over Myanmar in the prevailing global warming era</t>
  </si>
  <si>
    <t>Projections of annual rainfall and surface temperature from CMIP5 models over the BIMSTEC countries</t>
  </si>
  <si>
    <t>The tectonic and metallogenic framework of Myanmar: A Tethyan mineral system</t>
  </si>
  <si>
    <t>Evaluating aquifer stress and resilience with GRACE information at different spatial scales in Cambodia</t>
  </si>
  <si>
    <t>Depositional environments of the Surma Group of Tamenglong area, North-western Manipur, Indo-Myanmar Ranges: Mineralogical and palynological constraints</t>
  </si>
  <si>
    <t>Prediction of climate change in Brunei Darussalam using statistical downscaling model</t>
  </si>
  <si>
    <t>Spatiotemporal analysis of hydro-meteorological drought in the Johor River Basin, Malaysia</t>
  </si>
  <si>
    <t>Measuring the Economic Impact of Climate Change on Crop Production in the Dry Zone of Myanmar: A Ricardian Approach</t>
  </si>
  <si>
    <t>Bromine content and Br/Cl molar ratio of halite in a core from Laos: implications for origin and environmental changes</t>
  </si>
  <si>
    <t>Changes in precipitation extremes over the Kelantan River Basin, Malaysia</t>
  </si>
  <si>
    <t>Recent variability of sub-seasonal monsoon precipitation and its potential drivers in Myanmar using in-situ observation during 1981-2020</t>
  </si>
  <si>
    <t>Observed spatiotemporal changes in air temperature, dew point temperature and relative humidity over Myanmar during 2001-2019</t>
  </si>
  <si>
    <t>Interannual variation of the Philippines affecting tropical cyclone intensity and its possible causes</t>
  </si>
  <si>
    <t>Investigation of an extreme rainfall event during 8-12 December 2018 over central Vietnam - Part 1: Analysis and cloud-resolving simulation</t>
  </si>
  <si>
    <t>Statistical modeling for land surface temperature in Borneo island from 2000 to 2019</t>
  </si>
  <si>
    <t>Multi-scale climate processes and rainfall variability in Sumatra and Malay Peninsula associated with ENSO in boreal fall and winter</t>
  </si>
  <si>
    <t>Do Farmers Perceive the Trends of Local Climate Variability Accurately? An Analysis of Farmers' Perceptions and Meteorological Data in Myanmar</t>
  </si>
  <si>
    <t>Rainfall and Tropical Cyclone Activity over Vietnam Simulated and Projected by the Non-Hydrostatic Regional Climate Model - NHRCM</t>
  </si>
  <si>
    <t>Characterization of southwest monsoon onset over Myanmar</t>
  </si>
  <si>
    <t>Climatology Definition of the Myanmar Southwest Monsoon (MSwM): Change Point Index (CPI)</t>
  </si>
  <si>
    <t>Potential impact of sea surface temperature on rainfall over the western Philippines</t>
  </si>
  <si>
    <t>Interannual Variability of Air Temperature over Myanmar: The Influence of ENSO and IOD</t>
  </si>
  <si>
    <t>Space-time variability of drought over Vietnam</t>
  </si>
  <si>
    <t>Validation of High-Resolution Gridded Rainfall Datasets for Climate Applications in the Philippines</t>
  </si>
  <si>
    <t>Comparison of tropospheric scintillation prediction models of the Indonesian climate</t>
  </si>
  <si>
    <t>Building a long-time series for weather and extreme weather in the Straits Settlements: a multi-disciplinary approach to the archives of societies</t>
  </si>
  <si>
    <t>Observed trends and impacts of tropical cyclones in the Philippines</t>
  </si>
  <si>
    <t>Mapping meteorological drought hazard in the Philippines using SPI and SPEI</t>
  </si>
  <si>
    <t>Decadal increase of the summer precipitation in Thailand after the mid-1990s</t>
  </si>
  <si>
    <t>Influence of the Pacific and Indian Ocean climate drivers on the rainfall in Vietnam</t>
  </si>
  <si>
    <t>Characteristics of Compound Climate Extremes and Impacts in Singapore, 1985-2020</t>
  </si>
  <si>
    <t>A Multimethod Approach towards Assessing Urban Flood Patterns and Its Associated Vulnerabilities in Singapore</t>
  </si>
  <si>
    <t>Climate Change Impact on the Trigger of Natural Disasters over South-Eastern Himalayas Foothill Region of Myanmar: Extreme Rainfall Analysis</t>
  </si>
  <si>
    <t>Contribution of Tropical Cyclones to Rainfall in the Philippines</t>
  </si>
  <si>
    <t>Ensemble climate projections of mean and extreme rainfall over Vietnam</t>
  </si>
  <si>
    <t>Characteristics of tropical cyclones generated in South China Sea and their landfalls over China and Vietnam</t>
  </si>
  <si>
    <t>Time-lagged correlations associated with interannual variations of pre-monsoon and post-monsoon precipitation in Myanmar and the Indochina Peninsula</t>
  </si>
  <si>
    <t>First Fossil Fokienia (Cupressaceae) in South China and Its Palaeogeographic and Palaeoecological Implications</t>
  </si>
  <si>
    <t>Evaluation of satellite precipitation products over Central Vietnam</t>
  </si>
  <si>
    <t>Detection and characterization of oil palm plantations through MODIS EVI time series</t>
  </si>
  <si>
    <t>Future projections of Malaysia daily precipitation characteristics using bias correction technique</t>
  </si>
  <si>
    <t>A new framework for integrated climate finance and inclusive responses to sustainable development in Malaysia</t>
  </si>
  <si>
    <t>A 225-year pine (Pinus latteri) tree-ring record of pre-monsoon relative humidity variation in Nan province of northern Thailand and the linkage with large-scale ocean-atmospheric circulations</t>
  </si>
  <si>
    <t>Bay of Bengal: coupling of pre-monsoon tropical cyclones with the monsoon onset in Myanmar</t>
  </si>
  <si>
    <t>Comparative Evaluation of the Performances of TRMM-3B42 and Climate Prediction Centre Morphing Technique (CMORPH) Precipitation Estimates over Thailand</t>
  </si>
  <si>
    <t>Quantitative assessment of the impacts of climate and human activities on streamflow of the Lancang-Mekong river over the recent decades</t>
  </si>
  <si>
    <t>Long-term trends and variability of total and extreme precipitation in Thailand</t>
  </si>
  <si>
    <t>A climatological analysis of the monsoon break following the summer monsoon onset over Luzon Island, Philippines</t>
  </si>
  <si>
    <t>Regional trends in early-monsoon rainfall over Vietnam and CCSM4 attribution</t>
  </si>
  <si>
    <t>Regional drought risk assessment in the Central Highlands and the South of Vietnam</t>
  </si>
  <si>
    <t>Observed Rainfall Trends over Singapore and the Maritime Continent from the Perspective of Regional-Scale Weather Regimes</t>
  </si>
  <si>
    <t>Soil moisture variations in remotely sensed and reanalysis datasets during weak monsoon conditions over central India and central Myanmar</t>
  </si>
  <si>
    <t>Changes of extreme precipitation in the Philippines, projected from the CMIP6 multi-model ensemble</t>
  </si>
  <si>
    <t>Extreme Rainfall Projections for Malaysia at the End of 21st Century Using the High Resolution Non-Hydrostatic Regional Climate Model (NHRCM)</t>
  </si>
  <si>
    <t>Sedimentary record of late Holocene event beds in a mid-ocean atoll lagoon, Maldives, Indian Ocean: Potential for deposition by tsunamis</t>
  </si>
  <si>
    <t>A New View of Long-Term Geomagnetic Field Secular Variation</t>
  </si>
  <si>
    <t>Potential influence of sea surface temperature representation in climate model simulations over CORDEX-SEA domain</t>
  </si>
  <si>
    <t>Rainfall extremes in Northern Vietnam: a comprehensive analysis of patterns and trends</t>
  </si>
  <si>
    <t>Projected evolution of drought characteristics in Vietnam based on CORDEX-SEA downscaled CMIP5 data</t>
  </si>
  <si>
    <t>Changes in extreme rainfall in the Philippines (1911-2010) linked to global mean temperature and ENSO</t>
  </si>
  <si>
    <t>Spatiotemporal variability assessment and accuracy evaluation of Standardized Precipitation Index and Standardized Precipitation Evapotranspiration Index in Malaysia</t>
  </si>
  <si>
    <t>Clear as mud: Clinoform progradation and expanded records of the Paleocene-Eocene Thermal Maximum</t>
  </si>
  <si>
    <t>Application of Quantile Mapping Bias Correction for Mid-Future Precipitation Projections over Vietnam</t>
  </si>
  <si>
    <t>The Role of El Nino in Driving Drought Conditions over the Last 2000 Years in Thailand</t>
  </si>
  <si>
    <t>Forecast Customization System (FOCUS): A Multimodel Ensemble-Based Seasonal Climate Forecasting Tool for the Homogeneous Climate Zones of Myanmar</t>
  </si>
  <si>
    <t>Urban-induced modifications to the diurnal cycle of rainfall over a tropical city</t>
  </si>
  <si>
    <t>Downscaling over Vietnam using the stretched-grid CCAM: verification of the mean and interannual variability of rainfall</t>
  </si>
  <si>
    <t>Evaluation of the NCEP Climate Forecast System and Its Downscaling for Seasonal Rainfall Prediction over Vietnam</t>
  </si>
  <si>
    <t>An annually laminated stalagmite record of the changes in Thailand monsoon rainfall over the past 387 years and its relationship to IOD and ENSO</t>
  </si>
  <si>
    <t>Variations of surface temperature and rainfall in Vietnam from 1971 to 2010</t>
  </si>
  <si>
    <t>High-resolution regional climate model projections of future tropical cyclone activity in the Philippines</t>
  </si>
  <si>
    <t>Performance of SEACLID/CORDEX-SEA multi-model experiments in simulating temperature and rainfall in Vietnam</t>
  </si>
  <si>
    <t>Long-term trends and extremes in observed daily precipitation and near surface air temperature in the Philippines for the period 1951-2010</t>
  </si>
  <si>
    <t>Changes in temperature extremes and their relationship withENSOin Malaysia from 1985 to 2018</t>
  </si>
  <si>
    <t>Spatial and temporal rainfall patterns in Central Dry Zone, Myanmar - A hydrological cross-scale analysis</t>
  </si>
  <si>
    <t>Dynamical-statistical long-term prediction for tropical cyclone landfalls in East Asia</t>
  </si>
  <si>
    <t>Dynamic changes of vegetation coverage in China-Myanmar economic corridor over the past 20 years</t>
  </si>
  <si>
    <t>River management system development in Asia based on Data Integration and Analysis System (DIAS) under GEOSS</t>
  </si>
  <si>
    <t>Relationship between Sea Surface Temperature and Rainfall in the Philippines during the Asian Summer Monsoon</t>
  </si>
  <si>
    <t>Assessment of Livelihood Vulnerability to Drought: A Case Study in Dak Nong Province, Vietnam</t>
  </si>
  <si>
    <t>Poleward migration of tropical cyclones in the western North Pacific and its regional impacts on rainfall in Asia</t>
  </si>
  <si>
    <t>Identifying the rapid intensification of tropical cyclones using the Himawari-8 satellite and their impacts in the Philippines</t>
  </si>
  <si>
    <t>Long-Lead Prediction of the 2015 Fire and Haze Episode in Indonesia</t>
  </si>
  <si>
    <t>Methane Emission Factors from Vietnamese Rice Production: Pooling Data of 36 Field Sites for Meta-Analysis</t>
  </si>
  <si>
    <t>Tropical cyclone characteristics associated with extreme precipitation in the northern Philippines</t>
  </si>
  <si>
    <t>Dynamics of Pedogenic Carbonate Growth in the Tropical Domain of Myanmar</t>
  </si>
  <si>
    <t>Trends and variabilities of precipitation and temperature extremes over Southeast Asia during 1981-2017</t>
  </si>
  <si>
    <t>ProbFire: a probabilistic fire early warning system for Indonesia</t>
  </si>
  <si>
    <t>Time of emergence of climate signals over Vietnam detected from the CORDEX-SEA experiments</t>
  </si>
  <si>
    <t>Quantitative assessment of flood risk with evaluation of the effectiveness of dam operation for flood control: A case of the Bago River Basin of Myanmar</t>
  </si>
  <si>
    <t>Development of a new ENSO index to assess the effects of ENSO on temperature over southern Vietnam</t>
  </si>
  <si>
    <t>Relationship between sea surface temperature and the maximum intensity of tropical cyclones affecting Vietnam's coastline</t>
  </si>
  <si>
    <t>Tropical cyclone influence on the long-term variability of Philippine summer monsoon onset</t>
  </si>
  <si>
    <t>Relations between Interannual Variability of Regional-Scale Indonesian Precipitation and Large-Scale Climate Modes during 1960-2007</t>
  </si>
  <si>
    <t>Characteristics of precipitation extremes in Malaysia associated with El Nino and La Nina events</t>
  </si>
  <si>
    <t>118-year climate and extreme weather events of Metropolitan Manila in the Philippines</t>
  </si>
  <si>
    <t>Ecosystem assessment in the Tonle Sap Lake region of Cambodia using RADARSAT-2 Wide Fine-mode SAR data</t>
  </si>
  <si>
    <t>Long-term trends and variability of rainfall extremes in the Philippines</t>
  </si>
  <si>
    <t>Drought impact on vegetation productivity in the Lower Mekong Basin</t>
  </si>
  <si>
    <t>Technical note: Evaluation and bias correction of an observation-based global runoff dataset using streamflow observations from small tropical catchments in the Philippines</t>
  </si>
  <si>
    <t>Assessment of Seasonal Winter Temperature Forecast Errors in the RegCM Model over Northern Vietnam</t>
  </si>
  <si>
    <t>Impact of urbanization patterns on the local climate of a tropical city, Singapore: An ensemble study</t>
  </si>
  <si>
    <t>Spatially Distinct Response of Rice Yield to Autonomous Adaptation Under the CMIP5 Multi-Model Projections</t>
  </si>
  <si>
    <t>A macroscopic analysis of the demographic impacts of flood inundation in Thailand (2005-2019)</t>
  </si>
  <si>
    <t>Changes in reference evapotranspiration and its driving factors in peninsular Malaysia</t>
  </si>
  <si>
    <t>Analysis of variability and trends of precipitation extremes in Singapore during 1980-2013</t>
  </si>
  <si>
    <t>Rainfall Variability Index (RVI) analysis of dry spells in Malaysia</t>
  </si>
  <si>
    <t>Future extreme precipitation changes in the South Asian Summer Monsoon Dominance Region</t>
  </si>
  <si>
    <t>Independent ENSO and IOD impacts on rainfall extremes over Indonesia</t>
  </si>
  <si>
    <t>Identifying hydrologic reference stations to understand changes in water resources across Vietnam - a data-driven approach</t>
  </si>
  <si>
    <t>ENSO- and Rainfall-Sensitive Vegetation Regions in Indonesia as Identified from Multi-Sensor Remote Sensing Data</t>
  </si>
  <si>
    <t>Rapid Extreme Tropical Precipitation and Flood Inundation Mapping Framework (RETRACE): Initial Testing for the 2021-2022 Malaysia Flood</t>
  </si>
  <si>
    <t>Monsoonal precipitation over Peninsular Malaysia in the CMIP6 HighResMIP experiments: the role of model resolution</t>
  </si>
  <si>
    <t>Growing Threat of Rapidly-Intensifying Tropical Cyclones in East Asia</t>
  </si>
  <si>
    <t>Analysis of maximum precipitation in Thailand using non-stationary extreme value models</t>
  </si>
  <si>
    <t>Influence of Multiyear Variability on the Observed Regime Shifts in Philippine Climatology</t>
  </si>
  <si>
    <t>Madden-Julian Oscillation-induced extreme rainfalls constrained by global warming mitigation</t>
  </si>
  <si>
    <t>Monitoring vegetation drought using MODIS remote sensing indices for natural forest and plantation areas</t>
  </si>
  <si>
    <t>Observation of spatial patterns on the rainfall response to ENSO and IOD over Indonesia using TRMM Multisatellite Precipitation Analysis (TMPA)</t>
  </si>
  <si>
    <t>Investigating the mechanisms of diurnal rainfall variability over Peninsular Malaysia using the non-hydrostatic regional climate model</t>
  </si>
  <si>
    <t>Conservation slows down emission increase from a tropical peatland in Indonesia</t>
  </si>
  <si>
    <t>High-resolution ∼55 ka paleomagnetic record of Bien Ho maar lake sediment from Vietnam in relation to detailed 14C and 137Cs geochronologies</t>
  </si>
  <si>
    <t>Differential analysis of landscape patterns of land cover products in tropical marine climate zones - A case study in Malaysia</t>
  </si>
  <si>
    <t>Assessing the Sensitivity of the Non-Hydrostatic Regional Climate Model to Boundary Conditions and Convective Schemes over the Philippines</t>
  </si>
  <si>
    <t>Projected changes in rainfall and temperature over the Philippines from multiple dynamical downscaling models</t>
  </si>
  <si>
    <t>Daily precipitation concentration in Central Coast Vietnam</t>
  </si>
  <si>
    <t>Assessing the changes of precipitation extremes in Peninsular Malaysia</t>
  </si>
  <si>
    <t>Variability of sea surface chlorophyll_a concentration in the South Vietnam coastal waters related to enso phenomenon</t>
  </si>
  <si>
    <t>Projected future changes in mean precipitation over Thailand based on multi-model regional climate simulations of CORDEX Southeast Asia</t>
  </si>
  <si>
    <t>Evaluation of dynamically downscaled ensemble climate simulations for Vietnam</t>
  </si>
  <si>
    <t>Adequacy of Satellite-derived Precipitation Estimate for Hydrological Modeling in Vietnam Basins</t>
  </si>
  <si>
    <t>Opportunity for GNSS Reflectometry in Sensing the Regional Climate and Soil Moisture Instabilities in Myanmar</t>
  </si>
  <si>
    <t>Past and Projected Changes in Western North Pacific Tropical Cyclone Exposure</t>
  </si>
  <si>
    <t>Rising temperatures over the Greater Mekong Subregion in CMIP6: Present-day biases and constraint future projections</t>
  </si>
  <si>
    <t>High-resolution simulations for Vietnam - methodology and evaluation of current climate</t>
  </si>
  <si>
    <t>ENSO Effect on East Asian Tropical Cyclone Landfall via Changes in Tracks and Genesis in a Statistical Model</t>
  </si>
  <si>
    <t>Evaluation of TMPA 3B43 and NCEP-CFSR precipitation products in drought monitoring over Singapore</t>
  </si>
  <si>
    <t>Observed changes in extreme temperature and precipitation over Indonesia</t>
  </si>
  <si>
    <t>Evaluation of precipitation extremes over the Asian domain: observation and modelling studies</t>
  </si>
  <si>
    <t>Mapping climate change-caused health risk for integrated city resilience modeling</t>
  </si>
  <si>
    <t>Understanding small-scale Fishers? perceptions on climate shocks and their impacts on local fisheries livelihoods: Insights from the Central Coast, Vietnam</t>
  </si>
  <si>
    <t>Selection of CMIP5 multi-model ensemble for the projection of spatial and temporal variability of rainfall in peninsular Malaysia</t>
  </si>
  <si>
    <t>Urbanization-induced changes in extreme climate indices in Thailand during 1970-2019</t>
  </si>
  <si>
    <t>A rapid method for flood susceptibility mapping in two districts of Phatthalung Province (Thailand): present and projected conditions for 2050</t>
  </si>
  <si>
    <t>Climatic Shift of the Tropical Cyclone Activity Affecting Vietnam's Coastal Region</t>
  </si>
  <si>
    <t>Assessing the Impact of Typhoons on Rice Production in the Philippines</t>
  </si>
  <si>
    <t>Climate change risks for severe storms in developing countries in the context of poverty and inequality in Cambodia</t>
  </si>
  <si>
    <t>Evaluation of Economic Damage Caused by Drought in Central Region Vietnam: A Case Study of Phu Yen Province</t>
  </si>
  <si>
    <t>Building Quality-Oriented Societies in Asia Through Effective Water-Related Disaster Risk Reduction and Climate Change Adaptation</t>
  </si>
  <si>
    <t>Evaluation of Spatial Interpolation Techniques for Operational Climate Monitoring in the Philippines</t>
  </si>
  <si>
    <t>Assessing land elevation in the Ayeyarwady Delta (Myanmar) and its relevance for studying sea level rise and delta flooding</t>
  </si>
  <si>
    <t>Evaluating the impacts of drought on rice productivity over Cambodia in the Lower Mekong Basin</t>
  </si>
  <si>
    <t>El Nino-Southern Oscillation-time scale covariation of sea surface salinity and freshwater flux in the western tropical and northern subtropical Pacific</t>
  </si>
  <si>
    <t>Sensitivity of tropical cyclones to convective parameterization schemes in RegCM4</t>
  </si>
  <si>
    <t>Negotiating Institutional Pathways for Sustaining Climate Change Resilience and Risk Governance in Indonesia</t>
  </si>
  <si>
    <t>Integrated mapping of water-related disasters using the analytical hierarchy process under land use change and climate change issues in Laos</t>
  </si>
  <si>
    <t>Influences of tropical monsoon climatology on the delivery and dispersal of organic carbon over the Upper Gulf of Thailand</t>
  </si>
  <si>
    <t>Relative performance of CMIP5 and CMIP6 models in simulating rainfall in Peninsular Malaysia</t>
  </si>
  <si>
    <t>Formation and maintenance mechanisms of the Pacific-Japan pattern as an intraseasonal variability mode</t>
  </si>
  <si>
    <t>Spatio-temporal variation of wet and dry spell characteristics of tropical precipitation in Singapore and its association with ENSO</t>
  </si>
  <si>
    <t>Uncertainties of gridded precipitation observations in characterizing spatio-temporal drought and wetness over Vietnam</t>
  </si>
  <si>
    <t>Evaluation of Multiweek Tropical Cyclone Forecasts in the Philippines</t>
  </si>
  <si>
    <t>Reducing Climate Change Induced Flood at the Cost of Hydropower in the Lancang-Mekong River Basin</t>
  </si>
  <si>
    <t>Statistically Downscaled Projected Changes in Seasonal Mean Temperature and Rainfall in Cagayan Valley, Philippines</t>
  </si>
  <si>
    <t>Historical trend of hourly extreme rainfall in Peninsular Malaysia</t>
  </si>
  <si>
    <t>Seasonal Prediction of Surface Air Temperature across Vietnam Using the Regional Climate Model Version 4.2 (RegCM4.2)</t>
  </si>
  <si>
    <t>Reframing Climate Change Resilience: An Intersectional Perspective of Ethnicity and Gender from Vietnam</t>
  </si>
  <si>
    <t>Evaluation of Long-Term Trends of Rainfall in Perak, Malaysia</t>
  </si>
  <si>
    <t>Statistics of the Performance of Gridded Precipitation Datasets in Indonesia</t>
  </si>
  <si>
    <t>Rainfall model investigation and scenario analyses of the effect of government reforestation policy on seasonal rainfalls: A case study from Northern Thailand</t>
  </si>
  <si>
    <t>Disaster risk reduction education in Indonesia: challenges and recommendations for scaling up</t>
  </si>
  <si>
    <t>Projected near-term changes in monsoon precipitation over Peninsular Malaysia in the HighResMIP multi-model ensembles</t>
  </si>
  <si>
    <t>Color-Based Segmentation of Sky/Cloud Images From Ground-Based Cameras</t>
  </si>
  <si>
    <t>Trend analysis and change point detection of annual and seasonal temperature series in Peninsular Malaysia</t>
  </si>
  <si>
    <t>Geochemistry and Nd isotopic composition of the Permian Ko Sire Formation, Phuket Island, Thailand: implications for palaeoclimate and palaeogeographical configuration of the Sibumasu Terrane</t>
  </si>
  <si>
    <t>Indicator-based approach for flood vulnerability assessment in ancient heritage city of Hoi An, Central Region of Vietnam</t>
  </si>
  <si>
    <t>Tracking the origins of moisture over Vietnam: The role of moisture sources and atmospheric drivers on seasonal hydroclimatic conditions</t>
  </si>
  <si>
    <t>Effects of Cardamom Mountains on the formation of the winter warm pool in the gulf of Thailand</t>
  </si>
  <si>
    <t>Evaluating the farmers' adoption behavior of water conservation in mountainous region Vietnam: extrinsic and intrinsic determinants</t>
  </si>
  <si>
    <t>Key factors affecting the flood vulnerability and adaptation of the shrimp farming sector in Thailand</t>
  </si>
  <si>
    <t>Robustness of gridded precipitation products for vietnam basins using the comprehensive assessment framework of rainfall</t>
  </si>
  <si>
    <t>A proto-monsoonal climate in the late Eocene of Southeast Asia: Evidence from a sedimentary record in central Myanmar</t>
  </si>
  <si>
    <t>Landfalling tropical cyclone characteristics and their multi-timescale variability connected to monsoon and easterly formation environments over the western North Pacific</t>
  </si>
  <si>
    <t>The effect of urbanization on temperature indices in the Philippines</t>
  </si>
  <si>
    <t>Satellite observations and modeling to understand the Lower Mekong River Basin streamflow variability</t>
  </si>
  <si>
    <t>Flood inundation simulations based on GSMaP satellite rainfall data in Jakarta, Indonesia</t>
  </si>
  <si>
    <t>Effects of Urban Development on Regional Climate Change and Flood Inundation in Jakarta, Indonesia</t>
  </si>
  <si>
    <t>Erosion and sedimentation in SE Tibet and Myanmar during the evolution of the Burmese continental margin from the Late Cretaceous to Early Neogene</t>
  </si>
  <si>
    <t>Knowledge management strategy for managing disaster and the COVID-19 pandemic in Indonesia: SWOT analysis based on the analytic network process</t>
  </si>
  <si>
    <t>CLIMATE CHANGE AND EL NINO INCREASE LIKELIHOOD OF INDONESIAN HEAT AND DROUGHT</t>
  </si>
  <si>
    <t>Interdecadal changes in the genesis activity of the first tropical cyclones over the western North Pacific from 1979 to 2016</t>
  </si>
  <si>
    <t>Climate change over Indonesia and its impact on nutmeg production: An analysis under high-resolution CORDEX-CORE regional simulation framework</t>
  </si>
  <si>
    <t>The Effect of Climate Variability on Cultivated Crops' Yield and Farm Income in Chiang Mai Province, Thailand</t>
  </si>
  <si>
    <t>Evaluation of ENSO in CMIP5 and CMIP6 models and its significance in the rainfall in Northeast Thailand</t>
  </si>
  <si>
    <t>Monitoring drought vulnerability using multispectral indices observed from sequential remote sensing (Case Study: Tuy Phong, Binh Thuan, Vietnam)</t>
  </si>
  <si>
    <t>The Properties of Mesoscale Convective Systems in Indonesia Detected Using the Grab 'Em Tag 'Em Graph 'E (GTG) Algorithm</t>
  </si>
  <si>
    <t>The 2011 Great Flood in Thailand: Climate Diagnostics and Implications from Climate Change</t>
  </si>
  <si>
    <t>Predictability of Persistent Thailand Rainfall during the Mature Monsoon Season in 2011 Using Statistical Downscaling of CGCM Seasonal Prediction</t>
  </si>
  <si>
    <t>Projections of tropical cyclones affecting Vietnam under climate change: downscaled HadGEM2-ES using PRECIS 2.1</t>
  </si>
  <si>
    <t>Physical-empirical models for prediction of seasonal rainfall extremes of Peninsular Malaysia</t>
  </si>
  <si>
    <t>Radiocarbon variability recorded in coral skeletons from the northwest of Luzon Island, Philippines</t>
  </si>
  <si>
    <t>How Robust is the Asian Precipitation-ENSO Relationship during the Industrial Warming Period (1901-2017)?</t>
  </si>
  <si>
    <t>Projected rainfall and temperature changes over Malaysia at the end of the 21st century based on PRECIS modelling system</t>
  </si>
  <si>
    <t>The development of evolutionary computing model for simulating reference evapotranspiration over Peninsular Malaysia</t>
  </si>
  <si>
    <t>Annual Maximum Precipitation in Indonesia and Its Association to Climate Teleconnection Patterns: An Extreme Value Analysis</t>
  </si>
  <si>
    <t>Development of flood damage assessment method for residential areas considering various house types for Bago Region of Myanmar</t>
  </si>
  <si>
    <t>Extensional Tectonics and Basement Uplift of the Fansipan and Tule Mountain Ranges in Northern Vietnam</t>
  </si>
  <si>
    <t>The Devonian-Carboniferous boundary in Vietnam: Sustained ocean anoxia with a volcanic trigger for the Hangenberg Crisis?</t>
  </si>
  <si>
    <t>Impacts of Tropical North Atlantic SST on Western North Pacific Landfalling Tropical Cyclones</t>
  </si>
  <si>
    <t>Innovative and polygonal trend analyses applications for rainfall data in Vietnam</t>
  </si>
  <si>
    <t>Assessment of rainfall bias correction techniques for improved hydrological simulation</t>
  </si>
  <si>
    <t>Interdecadal variation of TC frequency in Japan</t>
  </si>
  <si>
    <t>Willingness to Pay for Urban Heat Island Mitigation: A Case Study of Singapore</t>
  </si>
  <si>
    <t>Statistical-dynamical downscaling of precipitation for Vietnam: methodology and evaluation for the recent climate</t>
  </si>
  <si>
    <t>Rapid intensification of Super Typhoon Haiyan: the important role of a warm-core ocean eddy</t>
  </si>
  <si>
    <t>The influence of El Nino-Southern Oscillation on boreal winter rainfall over Peninsular Malaysia</t>
  </si>
  <si>
    <t>Early detection of drought impact on rice paddies in Indonesia by means of Nio 3.4 index</t>
  </si>
  <si>
    <t>Delineating village-level drought risk in Marinduque Island, Philippines</t>
  </si>
  <si>
    <t>Relationship between the Boreal Summer Intraseasonal Oscillation and the Pacific-Japan Pattern and Its Interannual Modulations</t>
  </si>
  <si>
    <t>ENSO modulation of seasonal rainfall and extremes in Indonesia</t>
  </si>
  <si>
    <t>Present-day regional climate simulation over Malaysia and western Maritime Continent region using PRECIS forced with ERA40 reanalysis</t>
  </si>
  <si>
    <t>Prediction of the Impact of Climate Change and Land Use Change on Flood Discharge in the Song Khwae District, Nan Province, Thailand</t>
  </si>
  <si>
    <t>Local people's perceptions of climate change and related hazards in mountainous areas of northern Thailand</t>
  </si>
  <si>
    <t>Fisher's Decisions to Adopt Adaptation Strategies and Expectations for Their Children to Pursue the Same Profession in Chumphon Province, Thailand</t>
  </si>
  <si>
    <t>Physical modulation to the biological productivity in the summer Vietnam upwelling system</t>
  </si>
  <si>
    <t>Abrupt change in Vietnam coastal upwelling as a response to global warming</t>
  </si>
  <si>
    <t>Assessing drought conditions through temporal pattern, spatial characteristic and operational accuracy indicated by SPI and SPEI: case analysis for Peninsular Malaysia</t>
  </si>
  <si>
    <t>Parameterization of the middle and upper tropospheric water vapor from ATOVS observations over a tropical climate region</t>
  </si>
  <si>
    <t>Distinctive characteristics of upwelling along the Peninsular Malaysia's east coast during 2009/10 and 2015/16 El Ninos</t>
  </si>
  <si>
    <t>Drought analysis and water resource availability using standardised precipitation evapotranspiration index</t>
  </si>
  <si>
    <t>Recent expansion of oil palm plantation in the most eastern part of Indonesia: feature extraction with polarimetric SAR</t>
  </si>
  <si>
    <t>Linking Disaster Risk Reduction and Climate Change Adaptation through Collaborative Governance: Experience from Urban Flooding in Jakarta</t>
  </si>
  <si>
    <t>Pathways to Disaster Risk Reduction Education integration in schools: Insights from SPAB evaluation in Indonesia</t>
  </si>
  <si>
    <t>Controls on erosion patterns and sediment transport in a monsoonal, tectonically quiescent drainage, Song Gianh, central Vietnam</t>
  </si>
  <si>
    <t>Quantifying human impacts on hydrological drought using a combined modelling approach in a tropical river basin in central Vietnam</t>
  </si>
  <si>
    <t>The Hoanh Bo Trough-a landward keyhole to the syn-rift Late Eocene-Early Oligocene terrestrial succession of the northern Song Hong Basin (onshore north-east Vietnam)</t>
  </si>
  <si>
    <t>A high-resolution climate experiment over part of Vietnam and the Lower Mekong Basin: performance evaluation and projection for rainfall</t>
  </si>
  <si>
    <t>Mean state and interannual variability of the Indian summer monsoon simulation by NCEP CFSv2</t>
  </si>
  <si>
    <t>ENSO flavors in a tree-ring δ18O record of Tectona grandis from Indonesia</t>
  </si>
  <si>
    <t>Multiple Episodes of Fluid Infiltration Along a Single Metasomatic Channel in Metacarbonates (Mogok Metamorphic Belt, Myanmar) and Implications for CO2 Release in Orogenic Belts</t>
  </si>
  <si>
    <t>Are satellite products good proxies for gauge precipitation over Singapore?</t>
  </si>
  <si>
    <t>The influence of ENSO on an oceanic eddy pair in the South China Sea</t>
  </si>
  <si>
    <t>Reconstruction of Rainfall Records at 24 Observation Stations in Sumatera, Colonial Indonesia, from 1879 to 1900</t>
  </si>
  <si>
    <t>Evaluation of Coupled Model Intercomparison Project Phase 6 model-simulated extreme precipitation over Indonesia</t>
  </si>
  <si>
    <t>Evaluation of extreme precipitation over Southeast Asia in the Coupled Model Intercomparison Project Phase 5 regional climate model results and HighResMIP global climate models</t>
  </si>
  <si>
    <t>A crop rotation model for Marinduque, Philippines</t>
  </si>
  <si>
    <t>SouthEast Asia HydrO-meteorological droughT (SEA-HOT) framework: A case study in the Kelantan River Basin, Malaysia</t>
  </si>
  <si>
    <t>Spatial distribution of secular trends in rainfall indices of Peninsular Malaysia in the presence of long-term persistence</t>
  </si>
  <si>
    <t>Structural geology mapping using PALSAR data in the Bau gold mining district, Sarawak, Malaysia</t>
  </si>
  <si>
    <t>Trends analysis of rainfall and rainfall extremes in Sarawak, Malaysia using modified Mann-Kendall test</t>
  </si>
  <si>
    <t>Impact of Paleosalinity, Paleoredox, Paleoproductivity/Preservation on the Organic Matter Enrichment in Black Shales from Triassic Turbidites of Semanggol Basin, Peninsular Malaysia</t>
  </si>
  <si>
    <t>Evaluation of five gridded rainfall datasets in simulating streamflow in the upper Dong Nai river basin, Vietnam</t>
  </si>
  <si>
    <t>Spatial and temporal characteristics of near-surface air temperature across local climate zones in a tropical city</t>
  </si>
  <si>
    <t>Regional climate simulations over Vietnam using the WRF model</t>
  </si>
  <si>
    <t>Deriving short-duration rainfall IDF curves from a regional climate model</t>
  </si>
  <si>
    <t>Inter-decadal changes in the East Asian summer monsoon and associations with sea surface temperature anomaly in the South Indian Ocean</t>
  </si>
  <si>
    <t>Impacts of planetary boundary layer parameterization in RegCM4.7 on the intensity and structure of simulated tropical cyclones over the Philippines</t>
  </si>
  <si>
    <t>City-Wise Assessment of Suitable CMIP6 GCM in Simulating Different Urban Meteorological Variables over Major Cities in Indonesia</t>
  </si>
  <si>
    <t>The Mesozoic-Cenozoic tectonic settings, paleogeography and evaporitic sedimentation of Tethyan blocks within China: Implications for potash formation</t>
  </si>
  <si>
    <t>Weakening of the Kuroshio Intrusion Into the South China Sea Under the Global Warming Hiatus</t>
  </si>
  <si>
    <t>Prehistorical frequency of high-energy marine inundation events driven by typhoons in the Bay of Bangkok (Thailand), interpreted from coastal carbonate boulders</t>
  </si>
  <si>
    <t>Variability of Jakarta Rain-Rate Characteristics Associated with the Madden-Julian Oscillation and Topography</t>
  </si>
  <si>
    <t>Holistic approach to flood risk assessment in areas with cultural heritage: a practical application in Ayutthaya, Thailand</t>
  </si>
  <si>
    <t>Trends in extreme rainfall and temperature indices in the western Thailand</t>
  </si>
  <si>
    <t>Mathematical model analyses on the effects of global temperature and forest cover on seasonal rainfalls: A Northern Thailand case study</t>
  </si>
  <si>
    <t>Projected changes in the near-future mean climate and extreme climate events in northeast Thailand</t>
  </si>
  <si>
    <t>Bottom-up approach for flood-risk management in developing countries: a case study in the Gianh River watershed of Vietnam</t>
  </si>
  <si>
    <t>Coupling dynamical and statistical downscaling for high-resolution rainfall forecasting: case study of the Red River Delta, Vietnam</t>
  </si>
  <si>
    <t>Eruptive tempo of Emeishan large igneous province, southwestern China and northern Vietnam: Relations to biotic crises and paleoclimate changes around the Guadalupian-Lopingian boundary</t>
  </si>
  <si>
    <t>Potential Impacts of Climate Change on Reservoir Water Quality in An Giang Province, Vietnam</t>
  </si>
  <si>
    <t>Validating CHIRPS ability to estimate rainfall amount and detect rainfall occurrences in the Philippines</t>
  </si>
  <si>
    <t>Decrease of Rossby Wave Breaking Frequency over the Middle North Pacific in Boreal Summer under Global Warming in Large-Ensemble Climate Simulations</t>
  </si>
  <si>
    <t>How Does the East Asian Summer Monsoon Behave in the Decaying Phase of El Nino during Different PDO Phases?</t>
  </si>
  <si>
    <t>Statistical Downscaling in the Tropics Can Be Sensitive to Reanalysis Choice: A Case Study for Precipitation in the Philippines</t>
  </si>
  <si>
    <t>Preliminary Evaluation of GPM-IMERG Rainfall Estimates Over Three Distinct Climate Zones With APHRODITE</t>
  </si>
  <si>
    <t>Modulation of Pacific Sea Surface Temperatures on the Late-Season Tropical Cyclone Tracks Over the Western North Pacific and its Implication for Seasonal Forecasting</t>
  </si>
  <si>
    <t>Interdecadal Variation of the Wintertime Precipitation in Southeast Asia and Its Possible Causes</t>
  </si>
  <si>
    <t>Uncertainty quantification in intensity-duration-frequency curves under climate change: Implications for flood-prone tropical cities</t>
  </si>
  <si>
    <t>Process-based analysis of the impacts of sea surface temperature on climate in CORDEX-SEA simulations</t>
  </si>
  <si>
    <t>Vernacular House Architecture and Climate Change Adaptation: Lessons from the Indigenous Peoples of Cagayan, Philippines</t>
  </si>
  <si>
    <t>Seasonal Forecasts of Precipitation during the First Rainy Season in South China Based on NUIST-CFS1.0</t>
  </si>
  <si>
    <t>Significant Influences of Global Mean Temperature and ENSO on Extreme Rainfall in Southeast Asia</t>
  </si>
  <si>
    <t>Determination of rainfall data for direct runoff prediction in monsoon region: a case study in the Upper Yom basin, Thailand</t>
  </si>
  <si>
    <t>Seismo ionospheric anomalies related to the Mw 7.5, Kepulauan Alor, Indonesia earthquake</t>
  </si>
  <si>
    <t>Identification of Paddy Varieties from Landsat 8 Satellite Image Data Using Spectral Unmixing Method in Indramayu Regency, Indonesia</t>
  </si>
  <si>
    <t>Prediction of the Variability of Changes in the Intensity and Frequency of Climate Change Reinforced Multi-Day Extreme Precipitation in the North-Central Vietnam Using General Circulation Models and Generalized Extreme Value Distribution Method</t>
  </si>
  <si>
    <t>Watershed management strategies for flood mitigation: A case study of Jakarta's flooding</t>
  </si>
  <si>
    <t>Investigating drought over the Central Highland, Vietnam, using regional climate models</t>
  </si>
  <si>
    <t>The analysis of using satellite soil moisture observations for flood detection, evaluating over the Thailand's Great Flood of 2011</t>
  </si>
  <si>
    <t>Application of remote sensing technique for shoreline change detection in Ninh Binh and Nam Dinh provinces (Vietnam) during the period 1988 to 2018 based on water indices</t>
  </si>
  <si>
    <t>Climate Change and Reservoir Impacts on 21st-Century Streamflow and Fluvial Sediment Loads in the Irrawaddy River, Myanmar</t>
  </si>
  <si>
    <t>Exposure Elements in Disaster Databases and Availability for Local Scale Application: Case Study of Kuala Lumpur, Malaysia</t>
  </si>
  <si>
    <t>Daytime Top-of-the-Atmosphere Cirrus Cloud Radiative Forcing Properties at Singapore</t>
  </si>
  <si>
    <t>Carbon isotope stratigraphy in an Oligocene deep syn-rift lake, Gulf of Tonkin, Vietnam: Implications for in-lake isotope fractionation and correlation to the global?13C trend</t>
  </si>
  <si>
    <t>Assessment of the impacts of climate change and brackish irrigation water on rice productivity and evaluation of adaptation measures in Ca Mau province, Vietnam</t>
  </si>
  <si>
    <t>Paleomagnetic observations from lake sediments on Samosir Island, Toba caldera, Indonesia, and its late Pleistocene resurgence</t>
  </si>
  <si>
    <t>Possible relation of the western North Pacific monsoon to the tropical cyclone activity over western North Pacific</t>
  </si>
  <si>
    <t>Statistical analysis of trends in monthly precipitation at the Limbang River Basin, Sarawak (NW Borneo), Malaysia</t>
  </si>
  <si>
    <t>Towards the development of a regional version of MOD17 for the determination of gross and net primary productivity of oil palm trees</t>
  </si>
  <si>
    <t>Determinants of Farmers' Decisions on Risk Coping Strategies in Rural West Java</t>
  </si>
  <si>
    <t>Why Is the East Asian Summer Monsoon Extremely Strong in 2018?-Collaborative Effects of SST and Snow Cover Anomalies</t>
  </si>
  <si>
    <t>Regional tropical cyclone impact functions for globally consistent risk assessments</t>
  </si>
  <si>
    <t>The composition of time-series images and using the technique SMOTE ENN for balancing datasets in land use/cover mapping</t>
  </si>
  <si>
    <t>Peatland Fire Weather Conditions in Sumatra, Indonesia</t>
  </si>
  <si>
    <t>Coastal adaptation laws and the social justice of policies to address sea level rise: An Indonesian insight</t>
  </si>
  <si>
    <t>Predicting soil erosion potential under CMIP6 climate change scenarios in the Chini Lake Basin, Malaysia</t>
  </si>
  <si>
    <t>Post-disaster housing reconstruction as a significant opportunity to building disaster resilience: a case in Vietnam</t>
  </si>
  <si>
    <t>Simultaneous comparison and assessment of eight remotely sensed maps of Philippine forests</t>
  </si>
  <si>
    <t>The Philippine springtime (February-April) sub-seasonal rainfall extremes and extended-range forecast skill assessment using the S2S database</t>
  </si>
  <si>
    <t>Impact of climate change on flood inundation in a tropical river basin in Indonesia</t>
  </si>
  <si>
    <t>A Multi-Method Approach to Flood Mapping: Reconstructing Inundation Changes in the Cambodian Upper Mekong Delta</t>
  </si>
  <si>
    <t>Assessing hydrological impacts of climate change using bias-corrected downscaled precipitation in Mae Klong basin of Thailand</t>
  </si>
  <si>
    <t>Evolution of eastern Asia river systems reconstructed by the mineralogy and detrital-zircon geochronology of modern Red River and coastal Vietnam river sand</t>
  </si>
  <si>
    <t>Finding the Devastating Economic Disaster's Root Causes of the 2011 Flood in Thailand: Why Did Supply Chains Make the Disaster Worse?</t>
  </si>
  <si>
    <t>Regional extreme precipitation index: Evaluations and projections from the multi-model ensemble CMIP5 over Thailand</t>
  </si>
  <si>
    <t>Architecture and evolution of deep-water cyclic deposits in the Qiongdongnan Basin, South China Sea: Relationship with the Pleistocene climate events</t>
  </si>
  <si>
    <t>On the use of an innovative trend analysis methodology for temporal trend identification in extreme rainfall indices over the Central Highlands, Vietnam</t>
  </si>
  <si>
    <t>Identifying temporal trend patterns of temperature means and extremes over the Central Highlands, Vietnam</t>
  </si>
  <si>
    <t>Projected changes in tropical cyclones over Vietnam and the South China Sea using a 25 km regional climate model perturbed physics ensemble</t>
  </si>
  <si>
    <t>Evaluation of regional climate model simulated rainfall over Indonesia and its application for downscaling future climate projections</t>
  </si>
  <si>
    <t>High influx of carbon in walls of agglutinated foraminifers during the Permian-Triassic transition in global oceans</t>
  </si>
  <si>
    <t>Interannual variability of the Indonesian Throughflow transport: A revisit based on 30 year expendable bathythermograph data</t>
  </si>
  <si>
    <t>Projections of urban climate in the 2050s in a fast-growing city in Southeast Asia: The greater Ho Chi Minh City metropolitan area, Vietnam</t>
  </si>
  <si>
    <t>Modeling high-resolution precipitation by coupling a regional climate model with a machine learning model: an application to Sai Gon-Dong Nai Rivers Basin in Vietnam</t>
  </si>
  <si>
    <t>Assessment of Flood Economic Losses Under Climate Change: A Case Study in the Ngan Sau River Basin, Ha Tinh Province and Vietnam</t>
  </si>
  <si>
    <t>Assessing the impacts of climate-induced resettlement on livelihood vulnerability: A case study in Jakarta Special Province, Indonesia</t>
  </si>
  <si>
    <t>Effects of disaster risk reduction on socio-economic development and poverty reduction</t>
  </si>
  <si>
    <t>Impact of Peat Fire on the Soil and Export of Dissolved Organic Carbon in Tropical Peat Soil, Central Kalimantan, Indonesia</t>
  </si>
  <si>
    <t>A New Look at Circulation in the Western North Pacific INTRODUCTION TO THE SPECIAL ISSUE</t>
  </si>
  <si>
    <t>Regional precipitation trend analysis at the Langat River Basin, Selangor, Malaysia</t>
  </si>
  <si>
    <t>Application of MORUSES single-layer urban canopy model in a tropical city: Results from Singapore</t>
  </si>
  <si>
    <t>Validation of the IRI-2012 model with GPS-based ground observation over a low-latitude Singapore station</t>
  </si>
  <si>
    <t>Interaction between heat wave and urban heat island: A case study in a tropical coastal city, Singapore</t>
  </si>
  <si>
    <t>Postseismic coastal development in Aceh, Indonesia - Field observations and numerical modeling</t>
  </si>
  <si>
    <t>Surface circulation in the Gulf of Thailand from remotely sensed observations: seasonal and interannual timescales</t>
  </si>
  <si>
    <t>Cirrus Cloud Top-of-the-Atmosphere Net Daytime Forcing in the Alaskan Subarctic from Ground-Based MPLNET Monitoring</t>
  </si>
  <si>
    <t>Contribution rates of climate variables to the change in reference evapotranspiration in northern Thailand from 1991 to 2019</t>
  </si>
  <si>
    <t>An Approach to Flood Hazard Mapping for the Chao Phraya River Basin Using Rainfall-Runoff-Inundation Model</t>
  </si>
  <si>
    <t>Transformative resilience: Transformation, resilience and capacity of coastal communities in facing disasters in two Indonesian villages</t>
  </si>
  <si>
    <t>Sensitivity of simulating Typhoon Haiyan (2013) using WRF: the role of cumulus convection, surface flux parameterizations, spectral nudging, and initial and boundary conditions</t>
  </si>
  <si>
    <t>Environmental dynamics and carbon accumulation rate of a tropical peatland in Central Sumatra, Indonesia</t>
  </si>
  <si>
    <t>Understanding the Role of Sea Surface Temperature and Urbanization on Severe Thunderstorms Dynamics: A Case Study in Surabaya, Indonesia</t>
  </si>
  <si>
    <t>Climate change impacts under CMIP5 RCP scenarios on water resources of the Kelantan River Basin, Malaysia</t>
  </si>
  <si>
    <t>Multivariate fire risk models using copula regression in Kalimantan, Indonesia</t>
  </si>
  <si>
    <t>Spatiotemporal variability analysis of standardized precipitation indexed droughts using wavelet transform</t>
  </si>
  <si>
    <t>Characteristics of precipitable water over Peninsular Malaysia from satellite and in situ data</t>
  </si>
  <si>
    <t>Climate response to the Samalas volcanic eruption in 1257 revealed by proxy records</t>
  </si>
  <si>
    <t>Economic benefits of ENSO information in crop management decisions: case study of rice farming in West Java, Indonesia</t>
  </si>
  <si>
    <t>Rain fade duration prediction models for A high elevation angle based on measured data in tropical climate</t>
  </si>
  <si>
    <t>Automatic volcanic ash detection from MODIS observations using a back-propagation neural network</t>
  </si>
  <si>
    <t>Projected future changes in drought characteristics over Southeast Asia</t>
  </si>
  <si>
    <t>Tracing provenance and sediment fluxes in the Irrawaddy River basin (Myanmar)</t>
  </si>
  <si>
    <t>Individual and Combined Impacts of Tropical Indo-Pacific SST Anomalies on Interannual Variation of the Indochina Peninsular Precipitation</t>
  </si>
  <si>
    <t>Soil salinity assessment by using near-infrared channel and Vegetation Soil Salinity Index derived from Landsat 8 OLI data: a case study in the Tra Vinh Province, Mekong Delta, Vietnam</t>
  </si>
  <si>
    <t>Influence of Sea Surface Temperature on Simulated Future Change in Extreme Rainfall in the Asia-Pacific</t>
  </si>
  <si>
    <t>Effects of ENSO and Climate Change on Reference Evapotranspiration in Southern Vietnam</t>
  </si>
  <si>
    <t>Improving AVSWAT Stream Flow Simulation by Incorporating Groundwater Recharge Prediction in the Upstream Lesti Watershed, East Java, Indonesia</t>
  </si>
  <si>
    <t>A Comparative Verification of Raw and Bias-Corrected ECMWF Seasonal Ensemble Precipitation Reforecasts in Java (Indonesia)</t>
  </si>
  <si>
    <t>Mapping of rice growth phases and bare land using Landsat-8 OLI with machine learning</t>
  </si>
  <si>
    <t>Assessment of climate change impact on drought disaster in Sampean Baru watershed, East Java, Indonesia based on IPCC-AR5</t>
  </si>
  <si>
    <t>Automated method for measuring the extent of selective logging damage with airborne LiDAR data</t>
  </si>
  <si>
    <t>A 5000-year record of multiple highly explosive mafic eruptions from Gunung Agung (Bali, Indonesia): implications for eruption frequency and volcanic hazards</t>
  </si>
  <si>
    <t>The Investigation of Ultic Horizon on Andisols Derived from the Eruption of Mount Tilu (Pleistocene, Basaltic) in West Java, Indonesia</t>
  </si>
  <si>
    <t>Regionalization of Rainfall Regimes Using Hybrid RF-Bs Couple with Multivariate Approaches</t>
  </si>
  <si>
    <t>Multi-year energy balance and carbon dioxide fluxes over a residential neighbourhood in a tropical city</t>
  </si>
  <si>
    <t>A forecasting approach of tropical cyclone genesis based on thresholds of multi-physical parameters and its verification using ECMWF model data</t>
  </si>
  <si>
    <t>Flood risk reduction and flow buffering as ecosystem services - Part 2: Land use and rainfall intensity effects in Southeast Asia</t>
  </si>
  <si>
    <t>Interdecadal changes in summer TC activity in East China Sea</t>
  </si>
  <si>
    <t>Category-6 supertyphoon Haiyan in global warming hiatus: Contribution from subsurface ocean warming</t>
  </si>
  <si>
    <t>Trend characteristics of rainy days and evaporation at a tropical rainforest region in East Malaysia, Borneo</t>
  </si>
  <si>
    <t>Oil palm dry season analysis based on moderate-resolution imaging spectroradiometer (MODIS) satellite indices</t>
  </si>
  <si>
    <t>A comparison of three multi-criteria decision-making models in mapping flood hazard areas of Northeast Penang, Malaysia</t>
  </si>
  <si>
    <t>Modeling washoff in temperate and tropical urban catchments</t>
  </si>
  <si>
    <t>Skill evaluation of the CanCM4 and its MOS for seasonal rainfall forecast in Malaysia during the early and late winter monsoon periods</t>
  </si>
  <si>
    <t>Hydrocarbon source rock potential and paleoecological studies of the Surma sediments of Manipur region, India: Insights from palynology and organic geochemistry</t>
  </si>
  <si>
    <t>Flood vulnerability and risk assessment of urban traditional buildings in a heritage district of Kuala Lumpur, Malaysia</t>
  </si>
  <si>
    <t>Climate-controlled sensitivity of lake sediments to record earthquake-related mass wasting in tropical Lake Towuti during the past 40 kyr</t>
  </si>
  <si>
    <t>Towards risk-based flood management in highly productive paddy rice cultivation - concept development and application to the Mekong Delta</t>
  </si>
  <si>
    <t>The role of wind, mesoscale dynamics, and coastal circulation in the interannual variability of the South Vietnam Upwelling, South China Sea - answers from a high-resolution ocean model</t>
  </si>
  <si>
    <t>Reconciling Canopy Interception Parameterization and Rainfall Forcing Frequency in the Community Land Model for Simulating Evapotranspiration of Rainforests and Oil Palm Plantations in Indonesia</t>
  </si>
  <si>
    <t>Tropical Coastal Dehydrator in Global Atmospheric Water Circulation</t>
  </si>
  <si>
    <t>Role of social protection in coping strategies for floods in poor households: A case study on the impact of Program Keluarga Harapan on labor households in Indonesia</t>
  </si>
  <si>
    <t>Dynamics of the major plinian eruption of Samalas in 1257 AD (Lombok, Indonesia)</t>
  </si>
  <si>
    <t>The role of spatial planning in reducing exposure towards impacts of global sea level rise case study: Northern coast of Java, Indonesia</t>
  </si>
  <si>
    <t>Oceanic Processes in Ocean Temperature Products Key to a Realistic Presentation of Positive Indian Ocean Dipole Nonlinearity</t>
  </si>
  <si>
    <t>Milankovitch cycles in an equatorial delta from the Miocene of Borneo</t>
  </si>
  <si>
    <t>Regional Characteristics of Interannual Variability of Summer Rainfall in the Maritime Continent and Their Related Anomalous Circulation Patterns</t>
  </si>
  <si>
    <t>Approach for Analysis of Land-Cover Changes and Their Impact on Flooding Regime</t>
  </si>
  <si>
    <t>Diurnal Cycle of IMERG V06 Precipitation</t>
  </si>
  <si>
    <t>Weak Thermocline Mixing in the North Pacific Low-Latitude Western Boundary Current System</t>
  </si>
  <si>
    <t>RELATIONSHIP BETWEEN THE SEASONAL TRANSITION OF EAST ASIAN MONSOON CIRCULATION AND ASIAN-PACIFIC THERMAL FIELD AND POSSIBLE MECHANISMS</t>
  </si>
  <si>
    <t>Interannual variability of winter precipitation in Southeast China</t>
  </si>
  <si>
    <t>Geochemistry of the siliciclastic sediments in the Barak basin, Indo-Burma Range, India: Insights into provenance, paleoclimate, and depositional history</t>
  </si>
  <si>
    <t>The Pacific North Equatorial Current New Insights from the Origins of the Kuroshio and Mindanao Currents (OKMC) Project</t>
  </si>
  <si>
    <t>The December 2012 Mayo River debris flow triggered by Super Typhoon Bopha in Mindanao, Philippines: lessons learned and questions raised</t>
  </si>
  <si>
    <t>Changes of Wiang Nong Lom and Nong Luang Wetlands in Chiang Saen Valley (Chiang Rai Province, Thailand) During the Period 1988-2017</t>
  </si>
  <si>
    <t>Beyond Weather Time-Scale Prediction for Hurricane Sandy and Super Typhoon Haiyan in a Global Climate Model</t>
  </si>
  <si>
    <t>Atmospheric modes fiddling the simulated ENSO impact on tropical cyclone genesis over the Northwest Pacific</t>
  </si>
  <si>
    <t>Evaluation of Future Climate and Potential Impact on Streamflow in the Upper Nan River Basin of Northern Thailand</t>
  </si>
  <si>
    <t>Forecasting the near future of rainfall in humid tropics using the high-resolution satellite precipitation data</t>
  </si>
  <si>
    <t>Relationship between design floods and land use land cover (LULC) changes in a tropical complex catchment</t>
  </si>
  <si>
    <t>A framework for projecting future intensity-duration-frequency (IDF) curves based on CORDEX Southeast Asia multi-model simulations: An application for two cities in Southern Vietnam</t>
  </si>
  <si>
    <t>Future changes in rice yields over the Mekong River Delta due to climate change-Alarming or alerting?</t>
  </si>
  <si>
    <t>Palynology and Mineral Composition of the Upper Disang flyschoid sediments from the Southern Manipur, Northeast India: Age, Paleoenvironment and Provenance Reconstruction</t>
  </si>
  <si>
    <t>Social capital and community integration in post-disaster relocation settlements after the 2004 Indian Ocean Tsunami in Indonesia</t>
  </si>
  <si>
    <t>Climatology of stratospheric gravity waves and their interaction with zonal mean wind over the tropics using GPS RO and ground-based measurements in the two phases of QBO</t>
  </si>
  <si>
    <t>The Influence of the Stratospheric Quasi-Biennial Oscillation on the Tropical Easterly Jet Over the Maritime Continent</t>
  </si>
  <si>
    <t>Unraveling the roles of asymmetric uplift, normal faulting and groundwater flow to drainage rearrangement in an emerging karstic landscape</t>
  </si>
  <si>
    <t>Evaluation of CMIP6 GCM rainfall in mainland Southeast Asia</t>
  </si>
  <si>
    <t>Intraseasonal Variability of Sea Level in the Western North Pacific</t>
  </si>
  <si>
    <t>Projecting the Impact of Climate Change on Temperature, Precipitation, and Discharge in the Bago River Basin</t>
  </si>
  <si>
    <t>Hydroclimate reconstruction in central Japan over the past four centuries from tree-ring cellulose δ18O</t>
  </si>
  <si>
    <t>Projected changes of the low-latitude north-western Pacific wind-driven circulation under global warming</t>
  </si>
  <si>
    <t>Impact of dam development and climate change on hydroecological conditions and natural hazard risk in the Mekong River Basin</t>
  </si>
  <si>
    <t>Energy partitioning and environmental influence factors in different vegetation types in the GEWEX Asian Monsoon Experiment</t>
  </si>
  <si>
    <t>Observed Trends in Extreme Temperature over the Klang Valley, Malaysia</t>
  </si>
  <si>
    <t>Effect of the Arakan Mountains in the northwestern Indochina Peninsula on the late May Asian monsoon transition</t>
  </si>
  <si>
    <t>Low-regret climate change adaptation in coastal megacities-evaluating large-scale flood protection and small-scale rainwater detentionmeasures for Ho Chi Minh City, Vietnam</t>
  </si>
  <si>
    <t>The Urban Heat Footprint (UHF)-a new unified climatic and statistical framework for urban warming</t>
  </si>
  <si>
    <t>Environmental Education of Students Pursuing Higher Education: Probing on Climate Change Awareness</t>
  </si>
  <si>
    <t>Mining Waste as a Potential Additional Source of HREE and U for the European Green Deal: A Case Study of Bangka Island (Indonesia)</t>
  </si>
  <si>
    <t>Influence of Positive IOD Events on the Northeastward Extension of the Tibetan High and East Asian Climate Condition in Boreal Summer to Early Autumn</t>
  </si>
  <si>
    <t>A POSSIBLE IMPACT OF EL NINO MODOKI ON SEA SURFACE TEMPERATURE OF CHINA'S OFFSHORE AND ITS ADJACENT REGIONS</t>
  </si>
  <si>
    <t>Systematic Measurement of Temperature Change in Sumatra Island: 2000-2019 MODIS Data Study</t>
  </si>
  <si>
    <t>Simulation of Present Climate over Southeast Asia Using the Non-Hydrostatic Regional Climate Model</t>
  </si>
  <si>
    <t>Present-day zonal wind influences projected Indian Ocean Dipole skewness</t>
  </si>
  <si>
    <t>Snowfall variations in Japan and its linkage with tropical forcing</t>
  </si>
  <si>
    <t>Bivariate frequency analysis of rainfall intensity and duration for urban stormwater infrastructure design</t>
  </si>
  <si>
    <t>Structural attributes of individual trees for identifying homogeneous patches in a tropical rainforest</t>
  </si>
  <si>
    <t>Observed climate change hotspots</t>
  </si>
  <si>
    <t>Extending the long-term record of volcanic SO2 emissions with the Ozone Mapping and Profiler Suite nadir mapper</t>
  </si>
  <si>
    <t>Potassium and its isotope behaviour during chemical weathering in a tropical catchment affected by evaporite dissolution</t>
  </si>
  <si>
    <t>Site diversity performance in Ka band using a 7.3-m antenna diameter at tropical climate: a comparison of prediction models</t>
  </si>
  <si>
    <t>The Seasonal Evolution of the Tibetan Plateau Snow Cover Related Moisture During Spring-to-Summer</t>
  </si>
  <si>
    <t>The Impact of the NAO on the Delayed Break-Up Date of Lake Ice over the Southern Tibetan Plateau</t>
  </si>
  <si>
    <t>Evaluation of MODIS land surface temperature products for daily air surface temperature estimation in northwest Vietnam</t>
  </si>
  <si>
    <t>Forecasting tropical ENSO-induced drought conditions using sea surface height in the Western Pacific</t>
  </si>
  <si>
    <t>Was climatic cooling during the earliest Carboniferous driven by expansion of seed plants?</t>
  </si>
  <si>
    <t>South-coast cyclone in Japan during El Nio-caused warm winters</t>
  </si>
  <si>
    <t>Changes in summer TC activity related to thermal differences between land and the sea</t>
  </si>
  <si>
    <t>Quasi-Biweekly Oscillation over the Western North Pacific in Boreal Winter and Its Influence on the Central North American Air Temperature</t>
  </si>
  <si>
    <t>Interannual Coral Δ14C Records of Surface Water Exchange Across the Luzon Strait</t>
  </si>
  <si>
    <t>Observational and modelling evidence of a zonal circulation over the North Pacific</t>
  </si>
  <si>
    <t>Land Subsidence and Groundwater Storage Assessment Using ICOPS, GRACE, and Susceptibility Mapping in Pekalongan, Indonesia</t>
  </si>
  <si>
    <t>A coupled K-nearest neighbour and Bayesian neural network model for daily rainfall downscaling</t>
  </si>
  <si>
    <t>A new Asian/North American teleconnection linking clustered extreme precipitation from Indian to Canada</t>
  </si>
  <si>
    <t>Underestimated interannual variability of East Asian summer rainfall under climate change</t>
  </si>
  <si>
    <t>The Effect of Urban Expansion in Metro Manila on the Southwest Monsoon Rainfall</t>
  </si>
  <si>
    <t>SMART Cables Observing the Oceans and Earth</t>
  </si>
  <si>
    <t>Global vulnerability of peatlands to fire and carbon loss</t>
  </si>
  <si>
    <t>Global and Polar Region Temperature Change Induced by Single Mega Volcanic Eruption Based on Community Earth System Model Simulation</t>
  </si>
  <si>
    <t>Assessing the Seasonal Dynamics of the Java's Paddy Field Using MODIS Satellite Images</t>
  </si>
  <si>
    <t>The Eocene-Oligocene transition in Nanggulan, Java: lithostratigraphy, biostratigraphy and foraminiferal stable isotopes</t>
  </si>
  <si>
    <t>Sedimentology of Late Holocene fluvial levee and point-bar deposits from the Cambodian tract of the Mekong River</t>
  </si>
  <si>
    <t>Influence of the Arctic Oscillation on the TC activity around Taiwan</t>
  </si>
  <si>
    <t>Transient Behavior of the Asian Summer Monsoon Anticyclone Associated With Eastward Eddy Shedding</t>
  </si>
  <si>
    <t>Does regional air-sea coupling improve the simulation of the summer monsoon over the western North Pacific in the WRF4 model?</t>
  </si>
  <si>
    <t>A New Approach to Skillful Seasonal Prediction of Southeast Asia Tropical Cyclone Occurrence</t>
  </si>
  <si>
    <t>Evaluating AMIP Skill in Simulating Interannual Variability over the Indo-Western Pacific</t>
  </si>
  <si>
    <t>Summertime land-sea thermal contrast and atmospheric circulation over East Asia in a warming climate-Part I: Past changes and future projections</t>
  </si>
  <si>
    <t>Projecting future precipitation and temperature at sites with diverse climate through multiple statistical downscaling schemes</t>
  </si>
  <si>
    <t>Uncertainties in the regional climate models simulations of South-Asian summer monsoon and climate change</t>
  </si>
  <si>
    <t>Electrostatic levitation of volcanic ash into the ionosphere and its abrupt effect on climate</t>
  </si>
  <si>
    <t>An Updated Estimate of the Indonesian Throughflow Geostrophic Transport: Interannual Variability and Salinity Effect</t>
  </si>
  <si>
    <t>Impact assessment of climate change on rice productivity in the Indochinese Peninsula using a regional-scale crop model</t>
  </si>
  <si>
    <t>Present status and future criticalities evidenced by an integrated assessment of water resources quality at catchment scale: The case of Inle Lake (Southern Shan state, Myanmar)</t>
  </si>
  <si>
    <t>The change features of the west boundary bifurcation line of the North Equatorial Current in the Pacific</t>
  </si>
  <si>
    <t>Cyclone risk mapping for critical coastal infrastructure: Cases of East Asian seaports</t>
  </si>
  <si>
    <t>Assessing cost-effectiveness of bioretention on stormwater in response to climate change and urbanization for future scenarios</t>
  </si>
  <si>
    <t>A Dipole Mode of Spring Precipitation between Southern China and Southeast Asia Associated with the Eastern and Central Pacific Types of ENSO</t>
  </si>
  <si>
    <t>Roles of tropical SST anomalies in modulating the western north Pacific anomalous cyclone during strong La Nia decaying years</t>
  </si>
  <si>
    <t>Impacts of the Eruption of Mount Pinatubo on Surface Temperatures and Precipitation Forecasts With the NASA GEOS Subseasonal-to-Seasonal System</t>
  </si>
  <si>
    <t>Prediction of summer rainfall over the source region of the Blue Nile by using teleconnections based on sea surface temperatures</t>
  </si>
  <si>
    <t>Mean Structure and Fluctuations of the Kuroshio East of Taiwan from In Situ and Remote Observations</t>
  </si>
  <si>
    <t>Multi-site rainfall simulation at tropical regions: a comparison of three types of generators</t>
  </si>
  <si>
    <t>Determination of rainy season onset and cessation based on a flexible driest period</t>
  </si>
  <si>
    <t>The interaction between the Western Indian Ocean and ENSO in CESM</t>
  </si>
  <si>
    <t>A Comparative Frequency Analysis of Maximum Daily Rainfall for a SE Asian Region under Current and Future Climate Conditions</t>
  </si>
  <si>
    <t>Statistical downscaling rainfall using artificial neural network: significantly wetter Bangkok?</t>
  </si>
  <si>
    <t>Improvements in rainfall estimation over Bangkok, Thailand by merging satellite, radar, and gauge rainfall datasets with the geostatistical method</t>
  </si>
  <si>
    <t>Sedimentary facies and paleoenvironment of a Pleistocene fossil site in Nakhon Ratchasima province, northeastern Thailand</t>
  </si>
  <si>
    <t>A combined weather generator and K-nearest-neighbour approach for assessing climate change impact on regional rainfall extremes</t>
  </si>
  <si>
    <t>Distributional changes in rainfall and river flow in Sarawak, Malaysia</t>
  </si>
  <si>
    <t>Delayed Impacts of ENSO on the Frequency of Summer Extreme Hot Days in the Asian Monsoon Region. Part II: Implication for Seasonal Prediction</t>
  </si>
  <si>
    <t>Persistence and breakdown of the western North Pacific anomalous anticyclone during the EP and CP El Nino decaying spring</t>
  </si>
  <si>
    <t>Projected future changes in rainfall in Southeast Asia based on CORDEX-SEA multi-model simulations</t>
  </si>
  <si>
    <t>Western North Pacific Tropical Cyclone Tracks in CMIP5 Models: Statistical Assessment Using a Model-Independent Detection and Tracking Scheme</t>
  </si>
  <si>
    <t>An improved diagnostic stratocumulus scheme based on estimated inversion strength and its performance in GAMIL2</t>
  </si>
  <si>
    <t>Climate variability induced drought across the coastal fringes of the Mekong Delta, Vietnam</t>
  </si>
  <si>
    <t>Impact of the cross-tropopause wind shear on tropical cyclone genesis over the Western North Pacific in May</t>
  </si>
  <si>
    <t>Recent increase in extreme intensity of tropical cyclones making landfall in South China</t>
  </si>
  <si>
    <t>The enhanced relationship between Southern China winter rainfall and warm pool ocean heat content</t>
  </si>
  <si>
    <t>A tree-ring width based drought reconstruction for southeastern China: links to Pacific Ocean climate variability</t>
  </si>
  <si>
    <t>The capability of NOTHAS in the prediction of extreme weather events across different climatic areas</t>
  </si>
  <si>
    <t>Climatological characterization of tropical cyclones detected in the regional climate simulations over the CORDEX-SEA domain</t>
  </si>
  <si>
    <t>Prediction of summer extreme precipitation over the middle and lower reaches of the Yangtze River basin</t>
  </si>
  <si>
    <t>A novel method for ranking CMIP6 global climate models over the southeast Asian region</t>
  </si>
  <si>
    <t>THE CONTRASTS BETWEEN STRONG AND WEAK MJO ACTIVITY OVER THE EQUATORIAL WESTERN PACIFIC IN WINTER</t>
  </si>
  <si>
    <t>The Impact of Natural and Anthropogenic Climate Change on Western North Pacific Tropical Cyclone Tracks</t>
  </si>
  <si>
    <t>An Objective Method for Defining Meiyu Onset in Lower Reaches of the Yangtze River Basin</t>
  </si>
  <si>
    <t>Mapping and analysis of flood scenarios using numerical models and GIS techniques</t>
  </si>
  <si>
    <t>Overview of MPLNET, Version 3, Cloud Detection</t>
  </si>
  <si>
    <t>The asymmetric impacts of ENSO modoki on boreal winter climate over the Pacific and its rim</t>
  </si>
  <si>
    <t>Contribution of Tropical Cyclones to Rainfall at the Global Scale</t>
  </si>
  <si>
    <t>Typhoon and agricultural production portfolio Empirical evidence for a developing economy</t>
  </si>
  <si>
    <t>Spatio-temporal behaviours of tropical cyclones over the bay of Bengal Basin in last five decades</t>
  </si>
  <si>
    <t>Spatial variability of south Asian summer monsoon extreme rainfall events and their association with global climate indices</t>
  </si>
  <si>
    <t>Knowledge Creation for Community Resilience (KCCR): A Conceptual Model</t>
  </si>
  <si>
    <t>Spatio-temporal rainfall variability of equatorial small island: case study Bintan Island, Indonesia</t>
  </si>
  <si>
    <t>Statistical downscaling of seasonal wave forecasts</t>
  </si>
  <si>
    <t>Impact of the Sunda Shelf on the Climate of the Maritime Continent</t>
  </si>
  <si>
    <t>Interannual Variability of the Indonesian Rainfall and Air-Sea Interaction over the Indo-Pacific Associated with Interdecadal Pacific Oscillation Phases in the Dry Season</t>
  </si>
  <si>
    <t>COORDINATED UPPER-TROPOSPHERE-TO-STRATOSPHERE BALLOON EXPERIMENT IN BIAK</t>
  </si>
  <si>
    <t>Investigating Runoff Sensitivity in the Land-Surface Model MATSIRO to Reduce Low Runoff Bias</t>
  </si>
  <si>
    <t>Drought characterization in the Mae Klong River Basin, Thailand, using Standardized Precipitation Index</t>
  </si>
  <si>
    <t>Flood frequencies and durations and their response to El Nino Southern Oscillation: Global analysis</t>
  </si>
  <si>
    <t>Limitations of BCC_CSM's ability to predict summer precipitation over East Asia and the Northwestern Pacific</t>
  </si>
  <si>
    <t>Long-term homogeneity and trend analysis of seasonality and extreme rainfall under the influence of climate change in Johor River basin, Malaysia</t>
  </si>
  <si>
    <t>Assessment of climate change impact on probable maximum floods in a tropical catchment</t>
  </si>
  <si>
    <t>Identifying Alternative Wetting and Drying (AWD) Adoption in the Vietnamese Mekong River Delta: A Change Detection Approach</t>
  </si>
  <si>
    <t>A Multimodel Real-Time System for Global Probabilistic Subseasonal Forecasts of Precipitation and Temperature</t>
  </si>
  <si>
    <t>Observed Trends and Variability in Climate Indices Relevant for Crop Yields in Southeast Asia</t>
  </si>
  <si>
    <t>Risk Narratives for Enhancing Regional Resilience: Constructing Evidence-Based Flood Disaster Response Scenarios</t>
  </si>
  <si>
    <t>Inter-annual sea level variability in the southern South China Sea</t>
  </si>
  <si>
    <t>Spatial and temporal based deforestation proclivity analysis on flood events with applying watershed scale (case study: Lasolo watershed in Southeast Sulawesi, Central Sulawesi, and South Sulawesi, Indonesia)</t>
  </si>
  <si>
    <t>Implication of land use change to biogeophysical and biogeochemical processes in Jambi, Indonesia: Analysed using CLM5</t>
  </si>
  <si>
    <t>Land-surface temperature dynamics in the Upper Mekong Basin derived from MODIS time series</t>
  </si>
  <si>
    <t>Projected engulfment of tropical Indian Ocean by anthropogenical warmpool</t>
  </si>
  <si>
    <t>Jointly using the GLDAS 2.2 model and GRACE to study the severe Yangtze flooding of 2020</t>
  </si>
  <si>
    <t>The Onset of the Indonesian-Australian Summer Monsoon Triggered by the First-Branch Eastward-Propagating Madden-Julian Oscillation</t>
  </si>
  <si>
    <t>Flood mitigation due to extreme rainfall events in the inner Bangkok, Thailand</t>
  </si>
  <si>
    <t>Atmospheric impacts of local sea surface temperatures versus remote drivers during strong South China Sea winter cold tongue events</t>
  </si>
  <si>
    <t>The Strong El Nino of 2015/16 and Its Dominant Impacts on Global and China's Climate</t>
  </si>
  <si>
    <t>Impact of the Pacific-Japan teleconnection pattern on July sea fog over the northwestern Pacific: Interannual variations and global warming effect</t>
  </si>
  <si>
    <t>Roles of tropical SST patterns during two types of ENSO in modulating wintertime rainfall over southern China</t>
  </si>
  <si>
    <t>Relationships between subseasonal-to-seasonal predictability and spatial scales in tropical rainfall</t>
  </si>
  <si>
    <t>Global trends and patterns of drought from space</t>
  </si>
  <si>
    <t>Surface temperature-related variations in the East Asian summer monsoon during three warming stages</t>
  </si>
  <si>
    <t>Impacts of ENSO on Philippine Tropical Cyclone Activity</t>
  </si>
  <si>
    <t>Assessment of future changes in Southeast Asian precipitation using the NASA Earth Exchange Global Daily Downscaled Projections data set</t>
  </si>
  <si>
    <t>Tropical cyclone climatology and variability in Taiwan and Philippine Region during 1979-2018</t>
  </si>
  <si>
    <t>The socioeconomic impact of climate-related hazards: flash flood impact assessment in Kuala Lumpur, Malaysia</t>
  </si>
  <si>
    <t>Characteristics and mechanisms study of abnormal meridional movement of the Western Pacific Subtropical High in July 2020</t>
  </si>
  <si>
    <t>Attribution of annual maximum sea levels to tropical cyclones at the global scale</t>
  </si>
  <si>
    <t>Assessing the contribution of different uncertainty sources in streamflow projections</t>
  </si>
  <si>
    <t>Assessing social vulnerability to flood hazards: A case study of Sarawak's divisions</t>
  </si>
  <si>
    <t>Simulation of the Asian-Pacific Oscillation using the BCC_CSM1. 1(m) model</t>
  </si>
  <si>
    <t>Generation of a stochastic precipitation model for the tropical climate</t>
  </si>
  <si>
    <t>Cloud cover, cloud liquid water and cloud attenuation at Ka and V bands over equatorial climate</t>
  </si>
  <si>
    <t>Application of SDSM and LARS-WG for simulating and downscaling of rainfall and temperature</t>
  </si>
  <si>
    <t>Variability of surface air temperature in Tampico, northeastern Mexico</t>
  </si>
  <si>
    <t>Extended-Range Precursors for Summer Consecutive Extreme Rainfall in the Yangtze River Valley Related to Intraseasonal Variations of the Pacific-Japan Teleconnection</t>
  </si>
  <si>
    <t>Can bias correction and statistical downscaling methods improve the skill of seasonal precipitation forecasts?</t>
  </si>
  <si>
    <t>RICA: A rice crop calendar for Asia based on MODIS multi year data</t>
  </si>
  <si>
    <t>Understanding the development of systematic errors in the Asian summer monsoon</t>
  </si>
  <si>
    <t>Introduction to the Regional Coupled Model WRF4-LICOM: Performance and Model Intercomparison over the Western North Pacific</t>
  </si>
  <si>
    <t>Sea surface temperature trend analysis by Mann-Kendall test and sen's slope estimator: a study of the Hai Phong coastal area (Vietnam) for the period 1995-2020</t>
  </si>
  <si>
    <t>Seasonal variability of the meridional overturning circulation in the South China Sea and its connection with inter-ocean transport based on SODA2.2.4</t>
  </si>
  <si>
    <t>Cooling island effect of urban lakes in hot waves under foehn and climate change</t>
  </si>
  <si>
    <t>Stable isotope stratigraphy and larger benthic foraminiferal extinctions in the Melinau Limestone, Sarawak</t>
  </si>
  <si>
    <t>Distribution features of the weather conditions in Nha Trang Bay (The South China Sea)</t>
  </si>
  <si>
    <t>Impact of ENSO on the South China Sea during ENSO decaying winter-spring modeled by a regional coupled model (a new mesoscale perspective)</t>
  </si>
  <si>
    <t>Interannual variability of the surface summertime eastward jet in the South China Sea</t>
  </si>
  <si>
    <t>Predicting future water demand for Long Xuyen Quadrangle under the impact of climate variability</t>
  </si>
  <si>
    <t>Constructing short-duration IDF curves using coupled dynamical-statistical approach to assess climate change impacts</t>
  </si>
  <si>
    <t>Detrital zircon ages: A key to unraveling provenance variations in the eastern Yinggehai-Song Hong Basin, South China Sea</t>
  </si>
  <si>
    <t>Geochemistry and mineralogy of the Truc Thon Clay, Hai Duong Province, North Vietnam: implication for paleoclimatic and provenance analysis</t>
  </si>
  <si>
    <t>Time-varying parameter models for catchments with land use change: the importance of model structure</t>
  </si>
  <si>
    <t>Geochemistry and rock magnetic analysis on surface sediment in Lampenisu River: a quest for Mg source to Lake Towuti, Indonesia</t>
  </si>
  <si>
    <t>Relationship between Tropical Indian Ocean SSTA in Spring and Precipitation of Northeast China in Late Summer</t>
  </si>
  <si>
    <t>Investigating spatial contribution of land use types and land slope classes on soil erosion distribution under tropical environment</t>
  </si>
  <si>
    <t>Global Patterns of the Contributions of Storm Frequency, Intensity, and Seasonality to Interannual Variability of Precipitation</t>
  </si>
  <si>
    <t>A collection of sub-daily pressure and temperature observations for the early instrumental period with a focus on the year without a summer 1816</t>
  </si>
  <si>
    <t>Designing and evaluating robust nature-based solutions for hydro-meteorological risk reduction</t>
  </si>
  <si>
    <t>Mapping Annual Global Forest Gain From 1983 to 2021 With Landsat Imagery</t>
  </si>
  <si>
    <t>Locating emergent trees in a tropical rainforest using data from an Unmanned Aerial Vehicle (UAV)</t>
  </si>
  <si>
    <t>Magnitude of extreme heat waves in present climate and their projection in a warming world</t>
  </si>
  <si>
    <t>Assessment of drought hazard, exposure, vulnerability, and risk for rice cultivation in the Mun River Basin in Thailand</t>
  </si>
  <si>
    <t>Assessing long-term rainfall trends and changes in a tropical watershed Brantas, Indonesia: an approach for quantifying the agreement among satellite-based rainfall data, ground rainfall data, and small-scale farmers questionnaires</t>
  </si>
  <si>
    <t>Projected mean and extreme precipitation based on bias-corrected simulation outputs of CORDEX Southeast Asia</t>
  </si>
  <si>
    <t>Timing, magnitude and geochemistry of major Southeast Asian volcanic eruptions: identifying tephrochronologic markers</t>
  </si>
  <si>
    <t>Sensitivity and Uncertainty of a Long-Term, High-Resolution, Global, Terrestrial Sensible Heat Flux Data Set</t>
  </si>
  <si>
    <t>Statistical analysis of rainfall variations in the Bangkok urban area, Thailand</t>
  </si>
  <si>
    <t>Adaptation strategies and community participation in government-led mitigation projects: A comparison between urban and suburban communities in Pekalongan, Indonesia</t>
  </si>
  <si>
    <t>Evaluation of onset, cessation and seasonal precipitation of the Southeast Asia rainy season in CMIP5 regional climate models and HighResMIP global climate models</t>
  </si>
  <si>
    <t>FACIES ARCHITECTURE AND TIME STRATIGRAPHIC RELATIONSHIPS OF A CONFINED TRUNKTRIBUTARY VALLEY FILL AND UNCONFINED FLUVIAL SYSTEM IN THE BACKWATER OF THE TURONIAN FERRON-NOTOM DELTA, UTAH, USA</t>
  </si>
  <si>
    <t>Future climate change enhances rainfall seasonality in a regional model of western Maritime Continent</t>
  </si>
  <si>
    <t>Multisite rainfall downscaling and disaggregation in a tropical urban area</t>
  </si>
  <si>
    <t>Investigating the impact of space weather on agriculture products over Chokie mountain basin in Ethiopia</t>
  </si>
  <si>
    <t>On the applicability of urban canopy parametrization in building grey zone</t>
  </si>
  <si>
    <t>Interdecadal changes on the seasonal prediction of the western North Pacific summer climate around the late 1970s and early 1990s</t>
  </si>
  <si>
    <t>Combined impacts of the El Nino-Southern Oscillation and Pacific Decadal Oscillation on global droughts assessed using the standardized precipitation evapotranspiration index</t>
  </si>
  <si>
    <t>Decadal SST Variability in the Southeast Indian Ocean and Its Impact on Regional Climate</t>
  </si>
  <si>
    <t>A new strategy for the estimation of plume height from clast dispersal in various atmospheric and eruptive conditions</t>
  </si>
  <si>
    <t>Radiation estimation and crop growth trajectory reconstruction by novel algorithms improve MOD16 evapotranspiration predictability for global multi-site paddy rice ecosystems</t>
  </si>
  <si>
    <t>Enhanced joint effects of ENSO and IOD on Southeast China winter precipitation after 1980s</t>
  </si>
  <si>
    <t>Inter-decadal variations in El Nino-Southern Oscillation impacts on the autumn precipitation in the eastern China</t>
  </si>
  <si>
    <t>Global tree-ring response and inferred climate variation following the mid-thirteenth century Samalas eruption</t>
  </si>
  <si>
    <t>Decadal Anomalies of Winter Precipitation over Southern China in Association with El Nino and La Nina</t>
  </si>
  <si>
    <t>Coherent Tropical Indo-Pacific Interannual Climate Variability</t>
  </si>
  <si>
    <t>Inter-model spreading of changes in East Asian winter monsoon circulation under 1.5 and 2.0°C global warming targets</t>
  </si>
  <si>
    <t>Late Cretaceous-Paleogene Indian monsoon climate vis-à-vis movement of the Indian plate, and the birth of the South Asian Monsoon</t>
  </si>
  <si>
    <t>Understanding Recent Eastern Horn of Africa Rainfall Variability and Change</t>
  </si>
  <si>
    <t>Global evaluation of simulated surface shortwave radiation in CMIP6 models</t>
  </si>
  <si>
    <t>Role of cumulus parameterization on the seasonal and diurnal precipitation over Southeast Asia in RegCM4</t>
  </si>
  <si>
    <t>Mechanism of the summer rainfall variation in Transitional Climate Zone in East Asia from the perspective of moisture supply during 1979-2010 based on the Lagrangian method</t>
  </si>
  <si>
    <t>Spatio-temporal distribution of atmospheric blocking events in the Northern and Southern Hemispheres</t>
  </si>
  <si>
    <t>Space-time variogram for daily rainfall estimates using rain gauges and satellite data in mountainous tropical Island of Bali, Indonesia (Preliminary Study)</t>
  </si>
  <si>
    <t>Multi-Scale and Multi-Sensor 3D Documentation of Heritage Complexes in Urban Areas</t>
  </si>
  <si>
    <t>Extreme precipitation events and their relationship with ENSO and MJO phases over northern South America</t>
  </si>
  <si>
    <t>Climatic and seismic data-driven deep learning model for earthquake magnitude prediction</t>
  </si>
  <si>
    <t>Seasonal Prediction of Boreal Winter Rainfall over the Western Maritime Continent during ENSO</t>
  </si>
  <si>
    <t>Changing relationship between La Nina and tropical cyclone landfalling activity in South China (La Nina and TC landfalling activity in South China)</t>
  </si>
  <si>
    <t>Influence of the strongest central Pacific El Nino-Southern Oscillation events on the precipitation in eastern China</t>
  </si>
  <si>
    <t>CARBONATE-SHELF EVOLUTION DURING THE OLIGOCENE TO EARLY MIOCENE: INSIGHTS FROM SHELF ARCHITECTURE, LITHOFACIES, AND DEPOSITIONAL MODELS OF THE KUJUNG FORMATION, OFFSHORE EAST JAVA, INDONESIA</t>
  </si>
  <si>
    <t>The blue suns of 1831: was the eruption of Ferdinandea, near Sicily, one of the largest volcanic climate forcing events of we nineteenth century?</t>
  </si>
  <si>
    <t>Seasonal Climate Prediction Models for the Number of Landfalling Tropical Cyclones in China</t>
  </si>
  <si>
    <t>Hydrological changes in the climate system from leaf responses to increasing CO2</t>
  </si>
  <si>
    <t>The interdecadal change of the leading mode of the winter precipitation over China</t>
  </si>
  <si>
    <t>On the mechanisms of the historical lowest/highest tropical cyclone genesis over the western North Pacific in July/October 2020</t>
  </si>
  <si>
    <t>Do Statistical Pattern Corrections Improve Seasonal Climate Predictions in the North American Multimodel Ensemble Models?</t>
  </si>
  <si>
    <t>New constraints on the timing of flexural deformation along the northern Australian margin: Implications for arc-continent collision and the development of the Timor Trough</t>
  </si>
  <si>
    <t>Monsoon-Induced Biases of Climate Models over the Tropical Indian Ocean</t>
  </si>
  <si>
    <t>Monitoring and Mapping of Rice Cropping Pattern in Flooding Area in the Vietnamese Mekong Delta Using Sentinel-1A Data: A Case of An Giang Province</t>
  </si>
  <si>
    <t>East Asian Monsoon Variability Since the Sixteenth Century</t>
  </si>
  <si>
    <t>How many RCM ensemble members provide confidence in the impact of land-use land cover change?</t>
  </si>
  <si>
    <t>Total organic carbon fluxes of the Red River system (Vietnam)</t>
  </si>
  <si>
    <t>Costs of sea dikes - regressions and uncertainty estimates</t>
  </si>
  <si>
    <t>Projected seasonal changes in future rainfall erosivity over the Lancang-Mekong River basin under the CMIP6 scenarios</t>
  </si>
  <si>
    <t>Biostratigraphic and paleobiogeographic significance of the Darriwilian microfossils from the top of San Juan Formation in the Los Banos de Talacasto section, Central Precordillera (Argentina)</t>
  </si>
  <si>
    <t>Extreme Copper Isotope Fractionation Driven by Redox Oscillation During Gleysols Weathering in Mun River Basin, Northeast Thailand</t>
  </si>
  <si>
    <t>The impacts of climatic and land surface characteristics on the storm-flood relationship in a tropical monsoon basin of Thailand</t>
  </si>
  <si>
    <t>Impacts of Summer Monsoons on flood characteristics in the Lancang-Mekong River Basin</t>
  </si>
  <si>
    <t>Early Anthropogenic Impacts on the Indian Summer Monsoon Induced by Land-Use and Land-Cover Changes</t>
  </si>
  <si>
    <t>Microclimatic Variation in Miri Region (NW Borneo): Inference from Rainfall and Temperature Trends, Isotopic Signature and Air Mass Movement</t>
  </si>
  <si>
    <t>Urban heat island modelling of a tropical city: case of Kuala Lumpur</t>
  </si>
  <si>
    <t>Analysis of monthly and seasonal rainfall trends using the Holt's test</t>
  </si>
  <si>
    <t>Effect of convection on the thermal structure of the troposphere and lower stratosphere including the tropical tropopause layer in the South Asian monsoon region</t>
  </si>
  <si>
    <t>Impact assessment of land cover changes on the runoff changes on the extreme flood events in the Kelantan River basin</t>
  </si>
  <si>
    <t>Long-term variation analysis of a tropical river's annual streamflow regime over a 50-year period</t>
  </si>
  <si>
    <t>Changes in extended boreal summer tropical cyclogenesis associated with large-scale flow patterns over the western North Pacific in response to the global warming hiatus</t>
  </si>
  <si>
    <t>Investigation of weather anomalies in the low-latitude islands of the Indian Ocean in 1991</t>
  </si>
  <si>
    <t>Day-to-day variability of upper troposphere and lower stratosphere temperature in response to Taal volcanic eruption inferred from COSMIC-2 RO measurements</t>
  </si>
  <si>
    <t>Predictability of the western North Pacific summer climate associated with different ENSO phases by ENSEMBLES multi-model seasonal forecasts</t>
  </si>
  <si>
    <t>Changes in the summer extreme precipitation in the Jianghuai plum rain area and their relationship with the intensity anomalies of the south Asian high</t>
  </si>
  <si>
    <t>Calibration of ECMWF Seasonal Ensemble Precipitation Reforecasts in Java (Indonesia) Using Bias-Corrected Precipitation and Climate Indices</t>
  </si>
  <si>
    <t>Modeling the Global Sowing and Harvesting Windows of Major Crops Around the Year 2000</t>
  </si>
  <si>
    <t>Interdecadal variation of Korea affecting tropical cyclone intensity</t>
  </si>
  <si>
    <t>Simulation and prediction of blocking in the Australian region and its influence on intra-seasonal rainfall in POAMA-2</t>
  </si>
  <si>
    <t>Space-time variability of Indonesian rainfall at inter-annual and multi-decadal time scales</t>
  </si>
  <si>
    <t>The ocean-atmosphere response to wind-induced thermocline changes in the tropical South Western Indian Ocean</t>
  </si>
  <si>
    <t>Observed Increase of Urban Extreme Rainfall as Surface Temperature Rise: The Jakarta Case</t>
  </si>
  <si>
    <t>Major forest changes and land cover transitions based on plant functional types derived from the ESA CCI Land Cover product</t>
  </si>
  <si>
    <t>Opposite Responses of the Indian Ocean to the Thermal Forcing of the Tibetan Plateau before and after the Onset of the South Asian Monsoon</t>
  </si>
  <si>
    <t>Temperature, extreme precipitation, and diurnal rainfall changes in the urbanized Jakarta city during the past 130 years</t>
  </si>
  <si>
    <t>Impacts of Arctic sea ice loss on global ocean circulations and interbasin ocean heat exchanges</t>
  </si>
  <si>
    <t>Projected Strengthening Impact of the Quasi-Biennial Oscillation on the Southern Hemisphere by CMIP5/6 Models</t>
  </si>
  <si>
    <t>Early Pliocene tracer of North Atlantic and South Pacific sea surface currents: Janthina typica (Bronn, 1860) (Mollusca: Gastropoda)</t>
  </si>
  <si>
    <t>Joint Impacts of SSTA in Tropical Pacific and Indian Oceans on Variations of the WPSH</t>
  </si>
  <si>
    <t>Asian Eocene monsoons as revealed by leaf architectural signatures</t>
  </si>
  <si>
    <t>Influence of the dry event induced hydraulic redistribution on water and carbon cycles at five AsiaFlux forest sites: A site study combining measurements and modeling</t>
  </si>
  <si>
    <t>LiDAR patch metrics for object-based clustering of forest types in a tropical rainforest</t>
  </si>
  <si>
    <t>In situ and space-based observations of the Kelud volcanic plume: The persistence of ash in the lower stratosphere</t>
  </si>
  <si>
    <t>Variation in the Holton-Tan effect by longitude</t>
  </si>
  <si>
    <t>Runoff and sediment response to deforestation in a large Southeast Asian monsoon watershed</t>
  </si>
  <si>
    <t>Future changes in water resources, floods and droughts under the joint impact of climate and land-use changes in the Chao Phraya basin, Thailand</t>
  </si>
  <si>
    <t>Structural composition of organic matter in particle-size fractions of soils along a climo-biosequence in the Main Range of Peninsular Malaysia</t>
  </si>
  <si>
    <t>The impacts of warming on rapidly retreating high-altitude, low-latitude glaciers and ice core-derived climate records</t>
  </si>
  <si>
    <t>Depositional and diagenetic history of limestones and dolostones of the Oligo-Miocene Kujung Formation in the Northeast Java Basin, Indonesia</t>
  </si>
  <si>
    <t>Distinct winter patterns of tropical Pacific convection anomaly and the associated extratropical wave trains in the Northern Hemisphere</t>
  </si>
  <si>
    <t>On the opposite relation between extreme precipitation over west Amazon and southeastern Brazil: observations and model simulations</t>
  </si>
  <si>
    <t>Paleogene monsoons across India and South China: Drivers of biotic change</t>
  </si>
  <si>
    <t>Impacts of climate change on global total and urban runoff</t>
  </si>
  <si>
    <t>Flood disaster evacuation route choice in Indonesian urban riverbank kampong: Exploring the role of individual characteristics, path risk elements, and path network configuration</t>
  </si>
  <si>
    <t>Analysis of the impact of the South-to-North water diversion project on water balance and land subsidence in Beijing, China between 2007 and 2020</t>
  </si>
  <si>
    <t>Late Miocene provenance change on the eastern margin of the Yinggehai-Song Hong Basin, South China Sea: Evidence from U-Pb dating and Hf isotope analyses of detrital zircons</t>
  </si>
  <si>
    <t>Seasonal Changes in Arctic Cooling After Single Mega Volcanic Eruption</t>
  </si>
  <si>
    <t>Evaluation of gridded precipitation products in the selected sub-basins of Lower Mekong River Basin</t>
  </si>
  <si>
    <t>Influence of the Atlantic Meridional Overturning Circulation on the Tropical Climate Response to CO2 Forcing</t>
  </si>
  <si>
    <t>Assessment of probability distributions and analysis of the minimum storage draft rate in the equatorial region</t>
  </si>
  <si>
    <t>Geochemistry of the Devonian and Permo-Triassic Black Shales in Peninsular Malaysia: Insights into Provenance, Tectonic Setting, and Source Rock Weathering</t>
  </si>
  <si>
    <t>Geochemistry of Eocene Bawang Member turbidites of the Belaga Formation, Borneo: Implications for provenance, palaeoweathering, and tectonic setting</t>
  </si>
  <si>
    <t>Downscaling and projection of precipitation from general circulation model predictors in an equatorial climate region by the automated regression-based statistical method</t>
  </si>
  <si>
    <t>Upper Cretaceous-Upper Eocene mud-dominated turbidites of the Belaga Formation, Sarawak (Malaysia): 30Ma of paleogeographic, paleoclimate and tectonic stability in Sundaland</t>
  </si>
  <si>
    <t>Analysis of tropospheric scintillation in Ku-band in Malaysian tropical climate</t>
  </si>
  <si>
    <t>Climatic, weather, and socio-economic conditions corresponding to the mid-17th-century eruption cluster</t>
  </si>
  <si>
    <t>Tectonic Topography Changes in Cenozoic East Asia: A Landscape Erosion-Sediment Archive in the South China Sea</t>
  </si>
  <si>
    <t>Interdecadal Pacific Oscillation reconstructed from trans-Pacific tree rings: 1350-2004 CE</t>
  </si>
  <si>
    <t>The influence of the Interdecadal Pacific Oscillation on Temperature and Precipitation over the Globe</t>
  </si>
  <si>
    <t>The Response of Local Precipitation and Sea Level Pressure to Hadley Cell Expansion</t>
  </si>
  <si>
    <t>Prediction of spatial soil loss impacted by long-term land-use/land-cover change in a tropical watershed</t>
  </si>
  <si>
    <t>The flood of 2011 in the lower Chao Phraya valley, Thailand: Study of a long-duration flood through satellite images</t>
  </si>
  <si>
    <t>Diagenesis and fracturing of a large-scale, syntectonic carbonate platform</t>
  </si>
  <si>
    <t>Assessment of the effects of climate and land cover changes on river discharge and sediment yield, and an adaptive spatial planning in the Jakarta region</t>
  </si>
  <si>
    <t>Miocene to Pleistocene floras and climate of the Eastern Himalayan Siwaliks, and new palaeoelevation estimates for the Namling-Oiyug Basin, Tibet</t>
  </si>
  <si>
    <t>Distribution of rare earth elements in surface sediments of the western Sunda Shelf: Constraints from sedimentology and mineralogy</t>
  </si>
  <si>
    <t>Comparing the Normalized Difference Infrared Index (NDII) with root zone storage in a lumped conceptual model</t>
  </si>
  <si>
    <t>Process-Specific Contributions to Anomalous Java Mixed Layer Cooling During Positive IOD Events</t>
  </si>
  <si>
    <t>Gross and net land cover changes in the main plant functional types derived from the annual ESA CCI land cover maps (1992-2015)</t>
  </si>
  <si>
    <t>The possible physical mechanism for the EAP-SR co-action</t>
  </si>
  <si>
    <t>omitted from analysis</t>
  </si>
  <si>
    <t>pub_year</t>
  </si>
  <si>
    <t>region</t>
  </si>
  <si>
    <t>-</t>
  </si>
  <si>
    <t>Global</t>
  </si>
  <si>
    <t>Australia and New Zealand</t>
  </si>
  <si>
    <t>Western Africa</t>
  </si>
  <si>
    <t>Asia-Pacific</t>
  </si>
  <si>
    <t>European Union</t>
  </si>
  <si>
    <t>Hong Kong</t>
  </si>
  <si>
    <t>Western Asia</t>
  </si>
  <si>
    <t>Eastern Africa</t>
  </si>
  <si>
    <t>Libya</t>
  </si>
  <si>
    <t>Northern Africa</t>
  </si>
  <si>
    <t>funding_country</t>
  </si>
  <si>
    <t>STATE OF THE CLIMATE IN 2013</t>
  </si>
  <si>
    <t>Data notes</t>
  </si>
  <si>
    <r>
      <t xml:space="preserve">    </t>
    </r>
    <r>
      <rPr>
        <b/>
        <sz val="11"/>
        <color theme="1"/>
        <rFont val="Aptos Narrow"/>
        <family val="2"/>
        <scheme val="minor"/>
      </rPr>
      <t>Figure S1.</t>
    </r>
    <r>
      <rPr>
        <sz val="11"/>
        <color theme="1"/>
        <rFont val="Aptos Narrow"/>
        <family val="2"/>
        <scheme val="minor"/>
      </rPr>
      <t xml:space="preserve"> Top: Bar plots of the yearly count of published articles with funding statements (dotted) and statements that acknowledged at least one SEA-based institution (purple). Line plot shows the yearly proportion of articles supported by at least one SEA institution, in percent; Bottom: Bar plots of the yearly overall citations (hashed) and citations towards SEA authors (purple). Line plot shows the yearly percentage share of SEA authors in the total citation.  Citation data is as of January 15, 2025.</t>
    </r>
  </si>
  <si>
    <t>Article Title</t>
  </si>
  <si>
    <t>Author Full Names</t>
  </si>
  <si>
    <t>Source Title</t>
  </si>
  <si>
    <t>Language</t>
  </si>
  <si>
    <t>Abstract</t>
  </si>
  <si>
    <t>Addresses</t>
  </si>
  <si>
    <t>Affiliations</t>
  </si>
  <si>
    <t>Funding Name Preferred</t>
  </si>
  <si>
    <t>Funding Text</t>
  </si>
  <si>
    <t>Times Cited, WoS Core</t>
  </si>
  <si>
    <t>Publisher</t>
  </si>
  <si>
    <t>Publisher City</t>
  </si>
  <si>
    <t>Publisher Address</t>
  </si>
  <si>
    <t>ISSN</t>
  </si>
  <si>
    <t>eISSN</t>
  </si>
  <si>
    <t>Journal Abbreviation</t>
  </si>
  <si>
    <t>Journal ISO Abbreviation</t>
  </si>
  <si>
    <t>Publication Date</t>
  </si>
  <si>
    <t>Publication Year</t>
  </si>
  <si>
    <t>Volume</t>
  </si>
  <si>
    <t>Issue</t>
  </si>
  <si>
    <t>DOI</t>
  </si>
  <si>
    <t>DOI Link</t>
  </si>
  <si>
    <t>WoS Categories</t>
  </si>
  <si>
    <t>Web of Science Index</t>
  </si>
  <si>
    <t>Date of Export</t>
  </si>
  <si>
    <t>UT (Unique WOS ID)</t>
  </si>
  <si>
    <t>Web of Science Record</t>
  </si>
  <si>
    <t/>
  </si>
  <si>
    <t>Pimonsree, Sittichai; Kamworapan, Suchada; Gheewala, Shabbir H.; Thongbhakdi, Amornpong; Prueksakorn, Kritana</t>
  </si>
  <si>
    <t>English</t>
  </si>
  <si>
    <t>The performance for simulating precipitation of 27 global climate models (GCMs) participating in the Coupled Model Intercomparison Project Phase 6 (CMIP6) is evaluated over the Southeast Asia (SEA) region and nine SEA countries for the period 1975-2014 by comparing observation data from the Global Precipitation Climatology Centre (GPCC). The performance ranking of the GCMs was conducted with the ranking scores method using eight performance metrics that cover both spatial and temporal patterns. Compared to GPCC, the results show that some GCMs in CMIP6 reasonably capture the spatial precipitation patterns, with more in maritime and less in mainland. However, the output of most models presents considerable overestimation (wet bias) in Thailand, Cambodia, central Myanmar and maritime countries, and underestimation (dry bias) in Indonesia, Lao, northern Vietnam and western Myanmar. In addition, the findings illustrate that many models can reproduce the annual cycle shape and inter-annual variability which are consistent with GPCC; however, only 2 out of 27 models can detect increasing trends such as GPCC in every study domain. By model ranking, the best models vary from area domain to area domain. TaiESM1 performs best among the 27 GCMs over SEA region as well as Thailand. The model that has the best performance in most counties, i.e., Cambodia, Indonesia, Lao, and Vietnam is EC-Earth3-Veg-LR. EC-Earth3 is the best model in Brunei, Malaysia while CESM2-FV2 is the best model in Myanmar and the Philippines. It is also discovered that the mean ensemble of all GCMs has limited skills for all study domains. The results of this study can be used to support selection of the suitable models for simulating precipitation in specific study domains.</t>
  </si>
  <si>
    <t>[Pimonsree, Sittichai] Univ Phayao, Sch Energy &amp; Environm, Atmospher Pollut &amp; Climate Change Res Unit, Phayao 56000, Thailand; [Kamworapan, Suchada; Prueksakorn, Kritana] Mahidol Univ, Fac Environm &amp; Resource Studies, Nakhon Phathom 73170, Thailand; [Gheewala, Shabbir H.] King Mongkuts Univ Technol Thonburi KMUTT, Joint Grad Sch Energy &amp; Environm JGSEE, Bangkok 10140, Thailand; [Gheewala, Shabbir H.] Minist Higher Educ Sci Res &amp; Innovat, Ctr Excellence Energy Technol &amp; Environm CEE, Bangkok, Thailand; [Thongbhakdi, Amornpong] SCGP, 1 Siam Cement Rd, Bangkok 10800, Thailand</t>
  </si>
  <si>
    <t>University of Phayao; Mahidol University; King Mongkuts University of Technology Thonburi</t>
  </si>
  <si>
    <t>Faculty of Environment and Resource Studies, Mahidol University</t>
  </si>
  <si>
    <t>This research project is supported by Faculty of Environment and Resource Studies, Mahidol University. The authors also acknowledge the climate modelling groups for making their model output and the World Climate Research Programme's Working Group on Coupled Modelling that established the Coupled Model Intercomparison Project, which is a project to collect all GCMs. We are grateful to the Earth System Grid Federation (ESGF) for archiving and sharing the dataset CMIP6 GCMs.</t>
  </si>
  <si>
    <t>ELSEVIER SCIENCE INC</t>
  </si>
  <si>
    <t>NEW YORK</t>
  </si>
  <si>
    <t>STE 800, 230 PARK AVE, NEW YORK, NY 10169 USA</t>
  </si>
  <si>
    <t>0169-8095</t>
  </si>
  <si>
    <t>1873-2895</t>
  </si>
  <si>
    <t>ATMOS RES</t>
  </si>
  <si>
    <t>Atmos. Res.</t>
  </si>
  <si>
    <t>FEB</t>
  </si>
  <si>
    <t>10.1016/j.atmosres.2022.106522</t>
  </si>
  <si>
    <t>Meteorology &amp; Atmospheric Sciences</t>
  </si>
  <si>
    <t>Science Citation Index Expanded (SCI-EXPANDED)</t>
  </si>
  <si>
    <t>WOS:000928179500002</t>
  </si>
  <si>
    <t>Edirisinghe, Mahesh; Alahacoon, Niranga; Ranagalage, Manjula; Murayama, Yuji</t>
  </si>
  <si>
    <t>This study presents an analysis of long-term rainfall variability and trends in the summer monsoon region of Southeast Asia, encompassing Lao People's Democratic Republic (Lao PDR), Thailand, Vietnam, Cambodia, and Myanmar, as well as their respective river basins. Utilizing Climate Hazards Group InfraRed Precipitation with Station Data (CHIRPS) having a spatial resolution of 5 km spanning from 1981 to 2021, rainfall variability and trends were examined. Data preprocessing and geospatial analysis were conducted using R-Studio and ArcGIS software. The Mann-Kendall (MK) test and Sen's slope estimator were employed for annual and seasonal rainfall trend analysis. Myanmar exhibited the highest average annual rainfall of 2137 mm during the study period, while Thailand had the lowest (1641 mm). Over the past four decades, the Peninsula Malaysian Basin experienced the highest average annual rainfall (2691 mm), whereas the Chao Praya Basin recorded the lowest (1311 mm). Increasing trends in rainfall were observed across all five countries and nine major river basins. Vietnam displayed the highest annual rainfall trend of 5.63 mm/year, while Lao PDR exhibited the lowest trend (3.16 mm/year). Among the river basins, the Chao Phraya Basin demonstrated the maximum annual rainfall trend (11.21 mm/year), while the Peninsula Malaysia Basin had the minimum trend (1.21 mm/year). These findings could significantly contribute to climate change monitoring in the region and can aid policymakers in sectors such as agriculture, urban planning, and disaster management.</t>
  </si>
  <si>
    <t>[Edirisinghe, Mahesh] Univ Colombo, Dept Phys, Colombo 00300, Sri Lanka; [Alahacoon, Niranga] Int Water Management Inst, 127 Sunil Mawatha, Colombo 10120, Sri Lanka; [Ranagalage, Manjula] Rajarata Univ Sri Lanka, Fac Social Sci &amp; Humanities, Dept Environm Management, Mihintale 50300, Sri Lanka; [Murayama, Yuji] Univ Tsukuba, Fac Life &amp; Environm Sci, 1-1-1 Tennodai, Tsukuba, Ibaraki 3058572, Japan</t>
  </si>
  <si>
    <t>University of Colombo; CGIAR; International Water Management Institute (IWMI); Rajarata University of Sri Lanka; University of Tsukuba</t>
  </si>
  <si>
    <t>The authors are thankful to the Climate Hazard Groups for providing the long-term observatory data (CHIRPS data). The publication fee was supported by the JSPS grant 21K01027. Special thanks go to the Department of Physics, University of Colombo, Internati; JSPS(Ministry of Education, Culture, Sports, Science and Technology, Japan (MEXT)Japan Society for the Promotion of Science); Department of Environmental Management, Faculty of Social Sciences and Humanities, Rajarata University of Sri Lanka</t>
  </si>
  <si>
    <t>The authors are thankful to the Climate Hazard Groups for providing the long-term observatory data (CHIRPS data). The publication fee was supported by the JSPS grant 21K01027. Special thanks go to the Department of Physics, University of Colombo, International Water Management Institute (IWMI), Department of Environmental Management, Faculty of Social Sciences and Humanities, Rajarata University of Sri Lanka, and Faculty of Life and Environmental Sciences, University of Tsukuba, for facilitating the research activities.</t>
  </si>
  <si>
    <t>HINDAWI LTD</t>
  </si>
  <si>
    <t>LONDON</t>
  </si>
  <si>
    <t>ADAM HOUSE, 3RD FLR, 1 FITZROY SQ, LONDON, W1T 5HF, ENGLAND</t>
  </si>
  <si>
    <t>1687-9309</t>
  </si>
  <si>
    <t>1687-9317</t>
  </si>
  <si>
    <t>ADV METEOROL</t>
  </si>
  <si>
    <t>Adv. Meteorol.</t>
  </si>
  <si>
    <t>OCT 16</t>
  </si>
  <si>
    <t>10.1155/2023/2693008</t>
  </si>
  <si>
    <t>WOS:001088862600001</t>
  </si>
  <si>
    <t>Misra, V.; DiNapoli, S.</t>
  </si>
  <si>
    <t>In this article, we focus on the analysis of the climate variability of the Southeastern Asian Summer Monsoon (SEAM) region encompassing Myanmar, Thailand, Cambodia, Vietnam, Laos and parts of southern China. This region is climatologically found to have one of the longest wet seasons in the Asian monsoon region (of nearly 160d) and also exhibits one of the strongest interannual variations in the length of the monsoon (wet) season. The interannual variations of the length of the SEAM are characterized by corresponding variations in the onset and demise pentad dates of the wet season, with the former dominating slightly over the latter except over Myanmar. Our study reveals that the pentad of late onset of SEAM is characterized by anomalous increase in remote moisture source from Bay of Bengal and Arabian Sea while a substantial decrease of moisture source from the near Andaman Sea and Gulfs of Martaban and Thailand. Furthermore, anomalously strong June-August Somali Jet is found to be associated with earlier than normal onset of the SEAM. Similarly, the pentad of late demise of the SEAM features excess moisture source from the South China Sea associated with a slow eastward withdrawal of the north Pacific subtropical high.We suggest on the basis of the findings of this study that careful monitoring of the onset the SEAM season will provide important information on the evolution of an ongoing SEAM. Likewise observing low level winds over the northern equatorial Indian Ocean, Bay of Bengal, Gulfs of Martaban and Thailand and South China Sea could be very useful in understanding the seasonal variability of the SEAM. Finally, monitoring of the demise would be equally helpful in characterizing the variation of the concluded SEAM as the length of the wet season seems to be a very robust climate feature of the region. (c) 2013 Royal Meteorological Society</t>
  </si>
  <si>
    <t>[Misra, V.] Florida State Univ, Dept Earth Ocean &amp; Atmospher Sci, Tallahassee, FL 32306 USA; [Misra, V.; DiNapoli, S.] Florida State Univ, Ctr Ocean Atmospher Predict Studies, Tallahassee, FL 32306 USA; [Misra, V.] Florida State Univ, Florida Climate Inst, Tallahassee, FL 32306 USA</t>
  </si>
  <si>
    <t>State University System of Florida; Florida State University; State University System of Florida; Florida State University; State University System of Florida; Florida State University</t>
  </si>
  <si>
    <t>NOAA(National Oceanic Atmospheric Admin (NOAA) - USA); USGS(United States Geological Survey); USDA(United States Department of Agriculture (USDA))</t>
  </si>
  <si>
    <t>This work was supported by grants from NOAA (NA12O AR4310078, NA10OAR4310215, NA11OAR4310110), USGS (06HQGR0125) and USDA (027865).</t>
  </si>
  <si>
    <t>WILEY</t>
  </si>
  <si>
    <t>HOBOKEN</t>
  </si>
  <si>
    <t>111 RIVER ST, HOBOKEN 07030-5774, NJ USA</t>
  </si>
  <si>
    <t>0899-8418</t>
  </si>
  <si>
    <t>1097-0088</t>
  </si>
  <si>
    <t>INT J CLIMATOL</t>
  </si>
  <si>
    <t>Int. J. Climatol.</t>
  </si>
  <si>
    <t>MAR 15</t>
  </si>
  <si>
    <t>10.1002/joc.3735</t>
  </si>
  <si>
    <t>WOS:000332092900027</t>
  </si>
  <si>
    <t>Kripalani, Ramesh; Ha, Kyung-Ja; Ho, Chang-Hoi; Oh, Jai-Ho; Preethi, B.; Mujumdar, Milind; Prabhu, Amita</t>
  </si>
  <si>
    <t>The summer (June through September) monsoon 2020 has been very erratic with episodes of heavy and devastating rains, landslides and catastrophic winds over South Asia (India, Pakistan, Nepal, Bangladesh), East Asia (China, Korea, and Japan), and Southeast Asia (Singapore, Thailand, Vietnam, Laos, Cambodia, Philippines, Indonesia). The withdrawal of the summer monsoon over India was delayed by 2 weeks. The monsoon season over East Asia has been the longest. China recorded a Dam burst in the twentieth century. Furthermore, the Korean Peninsula has experienced back-to-back severe tropical cyclones. Could the lockdown activities initiate to control the COVID-19 spread a possible cause for these major episodes? The strict enforcement of the lockdown regulations has led to a considerable reduction of air pollutants-dust and aerosols throughout the world. A recent study based on satellites and merged products has documented a statistically significant mean reduction of about 20, 8, and 50% in nitrogen dioxide, Aerosol Optical Depth (AOD) and PM2.5 concentrations, respectively over the megacities across the globe. Our analysis reveals a considerable reduction of about 20% in AOD over South as well as over East Asia, more-over East Asia than over South Asia. The reduced aerosols have impacted the strength of the incoming solar radiation as evidenced by enhanced warming, more-over the land than the oceans. The differential warming over the land and the ocean has resulted in the amplification of the meridional ocean-land thermal contrast and strengthening of the monsoon flow. These intense features have supported the surplus transport of moisture from the oceans towards the main lands. Some similarity between the anomalous rainfall pattern and the anomalous AOD pattern is discernable. In particular, the enhancement of rainfall, the reduction in AOD and the surface temperature warming match very well over two regions one over West-Central India and the other over the Yangzte River Valley. Results further reveal that the heavy rains over the Yangzte River Valley could be associated with the preceding reduced aerosols, while the heavy rains over West-Central India could be associated with reduced aerosols and also due to the surface temperature warming.</t>
  </si>
  <si>
    <t>[Kripalani, Ramesh] Indian Inst Trop Meteorol, Pune 411008, Maharashtra, India; [Ha, Kyung-Ja] Inst Basic Sci, Ctr Climate Phys, Busan, South Korea; [Ha, Kyung-Ja] Pusan Natl Univ, Res Ctr Climate Sci, Busan, South Korea; [Ha, Kyung-Ja] Pusan Natl Univ, Dept Atmospher Sci, Busan, South Korea; [Ho, Chang-Hoi] Seoul Natl Univ, Sch Earth &amp; Atmospher Sci, Seoul, South Korea; [Oh, Jai-Ho] Nano C&amp;W, Yongin, Gyeonggi Do, South Korea; [Preethi, B.; Mujumdar, Milind] Indian Inst Trop Meteorol, Ctr Climate Change Res, Pune, Maharashtra, India; [Prabhu, Amita] Indian Inst Trop Meteorol, Radar &amp; Satellite Meteorol Project, Pune, Maharashtra, India; [Kripalani, Ramesh] Residence B 303 Sai Royale Soc, Pune 411040, Maharashtra, India</t>
  </si>
  <si>
    <t>Ministry of Earth Sciences (MoES) - India; Indian Institute of Tropical Meteorology (IITM); Institute for Basic Science - Korea (IBS); Pusan National University; Pusan National University; Seoul National University (SNU); Ministry of Earth Sciences (MoES) - India; Indian Institute of Tropical Meteorology (IITM); Centre for Climate Change Research - India; Ministry of Earth Sciences (MoES) - India; Indian Institute of Tropical Meteorology (IITM)</t>
  </si>
  <si>
    <t>Ministry of Earth Sciences, Government of India(Ministry of Earth Science (MoES), Government of India); Korea Ministry of Environment (MOE)(Ministry of Environment (ME), Republic of Korea); NRF</t>
  </si>
  <si>
    <t>The computational work was carried out at Indian Institute of Tropical Meteorology (IITM), Pune. IITM is funded by the Ministry of Earth Sciences, Government of India. K-J was supported by the Korea Ministry of Environment (MOE) as Graduate School specialized in Climate Change and NRF grant No. 2020R1A2C2006860. We thank all the institutes for making their data sets and codes freely available for this research.</t>
  </si>
  <si>
    <t>SPRINGER</t>
  </si>
  <si>
    <t>ONE NEW YORK PLAZA, SUITE 4600, NEW YORK, NY, UNITED STATES</t>
  </si>
  <si>
    <t>0930-7575</t>
  </si>
  <si>
    <t>1432-0894</t>
  </si>
  <si>
    <t>CLIM DYNAM</t>
  </si>
  <si>
    <t>Clim. Dyn.</t>
  </si>
  <si>
    <t>SEP</t>
  </si>
  <si>
    <t>5-6</t>
  </si>
  <si>
    <t>10.1007/s00382-021-06042-x</t>
  </si>
  <si>
    <t>WOS:000745793700002</t>
  </si>
  <si>
    <t>Li, Yubin; Schaffer-Smith, Danica; Myint, Soe W.; Zhu, Yuanhui</t>
  </si>
  <si>
    <t>Among the most biodiverse environments in the world, the Mekong River Basin has experienced extensive socio-economic development in the past few decades resulting in land use change and associated ecological and environmental stresses. To assess possible impacts on sensitive ecosystems and their services in the Lower Mekong River Basin (LMB), we examine spatial and temporal changes in forest community extent, as well as tree density and canopy coverage, in relation to carbon uptake and climate change. We employed the Mann-Kendall test to identify regions of likely significant ecological and environmental change within forest ecosystems. We developed a new approach to eliminate the classification of false positives and false negatives. We quantified the annual rate of ecological changes using Sen's slope. Ordinary Least Squares (OLS) regression analysis was performed to analyze the impact of tree and leaf density changes on the regional environment, particularly with regard to net primary productivity (NPP) and surface temperature trends. Across the LMB, a total of 2.81% of forest extent has been lost. Cambodia experienced the most prominent forest loss among all countries, while Thailand and Myanmar had net forest gain. NPP trends were starkly divergent from the north to the south and declined across the majority of northern Laos. The LMB region experienced increasing trends for both daytime and nighttime temperatures except for small portions of Thailand and Vietnam. An annual 0.0876 degrees C increase in surface temperature can be expected for every 1% decrease in tree density in forest degraded regions, while a substantial annual carbon productivity increase can be expected in reforested regions. In addition, the effectiveness of policy enforcement at the government level is critical for reforestation in LMB.</t>
  </si>
  <si>
    <t>[Li, Yubin; Myint, Soe W.; Zhu, Yuanhui] Arizona State Univ, Sch Geog Sci &amp; Urban Planning, Tempe, AZ 85281 USA; [Schaffer-Smith, Danica] Arizona State Univ, Sch Life Sci, Tempe, AZ 85281 USA; [Schaffer-Smith, Danica] Nature Conservancy, Durham, NC 27701 USA</t>
  </si>
  <si>
    <t>Arizona State University; Arizona State University-Tempe; Arizona State University; Arizona State University-Tempe; Nature Conservancy</t>
  </si>
  <si>
    <t>TAYLOR &amp; FRANCIS LTD</t>
  </si>
  <si>
    <t>ABINGDON</t>
  </si>
  <si>
    <t>2-4 PARK SQUARE, MILTON PARK, ABINGDON OR14 4RN, OXON, ENGLAND</t>
  </si>
  <si>
    <t>1548-1603</t>
  </si>
  <si>
    <t>1943-7226</t>
  </si>
  <si>
    <t>GISCI REMOTE SENS</t>
  </si>
  <si>
    <t>GISci. Remote Sens.</t>
  </si>
  <si>
    <t>DEC 31</t>
  </si>
  <si>
    <t>10.1080/15481603.2022.2139387</t>
  </si>
  <si>
    <t>Geography, Physical; Remote Sensing</t>
  </si>
  <si>
    <t>WOS:000878835300001</t>
  </si>
  <si>
    <t>Kuenzer, Claudia; Leinenkugel, Patrick; Vollmuth, Matthias; Dech, Stefan</t>
  </si>
  <si>
    <t>In this article we present the results of a comparison of six globally available land-cover products for the Mekong Basin - an area that spans 795,000km(2) and comprises parts of six riparian countries: China, Myanmar, Thailand, Laos, Cambodia, and Vietnam. The basin covers most climatic zones: from high-altitude, snow-covered mountainous regions in the north, to subtropical and tropical rainforest areas and agricultural land further south. The geopolitically important region not only is home to over 72,000,000 inhabitants, but also is a centre of attention of several environmental modelling experts, trying to assess future hydrologic dynamics, climate variability, as well probable land-use developments in the area.We compare land-cover products of the University of Maryland, UMD 1992-1993, the GLC 2000 product, the GlobCover products of 2004-2006 and 2009, as well as the MODIS-derived land-cover products of 2001 and 2009. For harmonization of individual legends, the Land Cover Classification System, LCCS, has been employed. However, even after harmonization, cross-tabulation among the products reveals extreme differences, where the impact of differing classification algorithms weighs higher than the impact of temporal coincidence of products. Especially, differences within mixed-vegetation classes are large, strongly impacting the overall assessment of forested land, other vegetated land, and even cultivated land in the Mekong Basin. The findings presented here are of high relevance for the modelling community as well as Mekong-related environmental studies, which should consider global remote-sensing-derived products with caution and solid background knowledge.</t>
  </si>
  <si>
    <t>[Kuenzer, Claudia; Leinenkugel, Patrick; Dech, Stefan] DLR, German Aerosp Ctr, EOC, German Earth Observat Ctr, D-82234 Wessling, Germany; [Vollmuth, Matthias] Univ Wurzburg, Inst Geog &amp; Geol, D-97070 Wurzburg, Germany</t>
  </si>
  <si>
    <t>Helmholtz Association; German Aerospace Centre (DLR); University of Wurzburg</t>
  </si>
  <si>
    <t>German Federal Ministry of Education and Research, BMBF(Federal Ministry of Education &amp; Research (BMBF))</t>
  </si>
  <si>
    <t>The authors thank the German Federal Ministry of Education and Research, BMBF, for funding the German-Vietnamese WISDOM project (www.wisdom.eoc.dlr.de).</t>
  </si>
  <si>
    <t>0143-1161</t>
  </si>
  <si>
    <t>1366-5901</t>
  </si>
  <si>
    <t>INT J REMOTE SENS</t>
  </si>
  <si>
    <t>Int. J. Remote Sens.</t>
  </si>
  <si>
    <t>APR 18</t>
  </si>
  <si>
    <t>10.1080/01431161.2014.890305</t>
  </si>
  <si>
    <t>Remote Sensing; Imaging Science &amp; Photographic Technology</t>
  </si>
  <si>
    <t>WOS:000333875100002</t>
  </si>
  <si>
    <t>Fyhn, Michael B. W.; Green, Paul F.; Bergman, Steven C.; Van Itterbeeck, Jimmy; Tri, Tran V.; Dien, Phan T.; Abatzis, Ioannis; Thomsen, Tonny B.; Chea, Socheat; Pedersen, Stig A. S.; Mai, Le C.; Tuan, Hoang A.; Nielsen, Lars H.</t>
  </si>
  <si>
    <t>Latest Mesozoic to earliest Cenozoic deformation affected SE Asia's Sundaland core. The deformation event bridges the Mesozoic SE Asian fusion with the Cenozoic era of rifting, translation, basin formation, and the creation of modern SE Asian oceans. Southern Cambodia and Vietnam are central to this shift, but geological investigations of the region are in their infancy. Based on apatite and zircon fission track analyses (AFTA and ZFTA), stratigraphic and structural observations, seismic data, thermal maturity, and igneous rock dating, the geological evolution of southern Cambodia and Vietnam is investigated. Diverse depositional styles, igneous activity, structural deformation and subsurface unconformities testify to a highly variable Phanerozoic tectonic setting. Major latest Cretaceous to Paleocene thrusting and uplift affected the Kampot Fold Belt and surrounding regions and the associated up to similar to 11km exhumation probably exceeds earlier denudation events since at least Permian time. The present relief of the Bokor Mountains rising high above the Kampot Fold Belt represents an artifact after differential erosion and only 2.5-4.5km of erosion affected this area. The latest Cretaceous to Paleocene orogenesis affected much of greater Indochina probably owing to plate collision along eastern Sundaland or a combination of collisions along both east and west Sundaland. AFTA and ZFTA data document protracted cooling of Cretaceous granites and locally elevated thermal gradients persisting a few tens of million years after their emplacement. The thermal gradient had stabilized by early Miocene time, and Miocene cooling probably reflects a renewed denudation pulse driven by either regional tectonism or climate-enhanced erosion.</t>
  </si>
  <si>
    <t>[Fyhn, Michael B. W.; Abatzis, Ioannis; Thomsen, Tonny B.; Pedersen, Stig A. S.; Nielsen, Lars H.] Geol Survey Denmark &amp; Greenland, GEUS, Copenhagen, Denmark; [Green, Paul F.] GeoTrack, West Brunswick, Vic, Australia; [Bergman, Steven C.] Shell Int Exploration &amp; Prod Inc, Houston, TX USA; [Van Itterbeeck, Jimmy] Shell Int Explorat &amp; Prod BV, The Hague, Netherlands; [Tri, Tran V.] Vietnamese Geol Survey, Hanoi, Vietnam; [Dien, Phan T.; Mai, Le C.] Vietnam Petr Inst, Hanoi, Vietnam; [Chea, Socheat] Gen Dept Petr, Phnom Penh, Cambodia; [Tuan, Hoang A.] PetroVietnam, Hanoi, Vietnam</t>
  </si>
  <si>
    <t>Geological Survey Of Denmark &amp; Greenland; Royal Dutch Shell; Royal Dutch Shell</t>
  </si>
  <si>
    <t>Shell International Exploration Production; ENRECA project (Enhanced Research Capacity building); Geocenter Denmark</t>
  </si>
  <si>
    <t>Fission track and vitrinite data are available as supporting information. This study was funded primarily by Shell International Exploration &amp; Production. Additional funding was obtained through the ENRECA project (Enhanced Research Capacity building) and Geocenter Denmark. Vietnam Petroleum Institute (VPI) and Cambodian National Petroleum Agency (now General Department of Petroleum, Cambodia) helped organize fieldwork aided by the efficient and kind logistic help of Ung Rany and Em Sokhom. VPI provided access to seismic and well data offshore Vietnam, and PGS provided access to seismic data onshore Cambodia. Shell, GEUS, PGS, General Department of Petroleum (Cambodia), and PetroVietnam are thanked for permission to publish the study. The manuscript greatly benefited from the very detailed reviews of Robert Hall and an anonymous referee.</t>
  </si>
  <si>
    <t>AMER GEOPHYSICAL UNION</t>
  </si>
  <si>
    <t>WASHINGTON</t>
  </si>
  <si>
    <t>2000 FLORIDA AVE NW, WASHINGTON, DC 20009 USA</t>
  </si>
  <si>
    <t>2169-9313</t>
  </si>
  <si>
    <t>2169-9356</t>
  </si>
  <si>
    <t>J GEOPHYS RES-SOL EA</t>
  </si>
  <si>
    <t>J. Geophys. Res.-Solid Earth</t>
  </si>
  <si>
    <t>JUL</t>
  </si>
  <si>
    <t>10.1002/2016JB012847</t>
  </si>
  <si>
    <t>Geochemistry &amp; Geophysics</t>
  </si>
  <si>
    <t>WOS:000381627500025</t>
  </si>
  <si>
    <t>Shrestha, Badri Bhakta; Perera, Edangodage Duminda Pradeep; Kudo, Shun; Miyamoto, Mamoru; Yamazaki, Yusuke; Kuribayashi, Daisuke; Sawano, Hisaya; Sayama, Takahiro; Magome, Jun; Hasegawa, Akira; Ushiyama, Tomoki; Iwami, Yoichi; Tokunage, Yoshio</t>
  </si>
  <si>
    <t>This study focused on flood damage assessment for future floods under the impact of climate change. Four river basins of Southeast Asia were selected for the study. They included the Pampanga River Basin (PRB) in the Philippines, the Solo River Basin (SRB) in Indonesia, the Lower Mekong River Basin (LMRB) in Cambodia and Vietnam, and the Chao Phraya River Basin (CPRB) in Thailand. Flood damage to rice crops was assessed by flood damage functions considering flood depth and duration and the growth stage of rice plants. Flood characteristics such as flood depth, duration, and distribution were computed using the rainfall-runoff-inundation model to assess flood hazards under the present and future climatic conditions produced by MRI-AGCM3.2S. The damage assessment methodology for rice crops employed in this study was verified using data on past flood events. Then, flood damage assessment was conducted for both the present climate (1979-2003) and future climate (2075-2099) conditions, using MRI-AGCM3.2S precipitation datasets. Flood damage was assessed for worst cases chosen from each climate period and for floods of 50- and 100-year return periods with different rainfall patterns chosen from each climate scenario. The results of flood hazard and damage assessment show that the flood inundation area for a 100-year flood may increase in the future by 20% in PRB; by 66% in SRB; by 27% in LMRB; and by 27% in CPRB. The flood damage area of paddy fields for a 100-year flood may also increase in the future by 16% in PRB; by 55% in SRB; by 23% in LMRB; and by 13% in CPRB.</t>
  </si>
  <si>
    <t>[Shrestha, Badri Bhakta; Miyamoto, Mamoru; Kuribayashi, Daisuke; Sawano, Hisaya; Ushiyama, Tomoki] Publ Works Res Inst, Int Ctr Water Hazard &amp; Risk Management ICHARM, 1-6 Minamihara, Tsukuba, Ibaraki, Japan; [Perera, Edangodage Duminda Pradeep] United Nations Univ, Inst Water Environm &amp; Hlth UNU INWEH, Hamilton, ON, Canada; [Kudo, Shun] Natl Inst Land &amp; Infrastruct Management, Tsukuba, Ibaraki, Japan; [Yamazaki, Yusuke] Publ Works Res Inst, Eros &amp; Sediment Control Res Grp, Tsukuba, Ibaraki, Japan; [Sayama, Takahiro] Kyoto Univ, Disaster Prevent Res Inst, Kyoto, Japan; [Magome, Jun] Univ Yamanashi, Int Res Ctr River Basin Environm, Kofu, Yamanashi, Japan; [Hasegawa, Akira] Univ Tokyo, Atmosphere &amp; Ocean Res Inst, Kashiwa, Chiba, Japan; [Iwami, Yoichi] Publ Works Dept, Nagasaki Prefectural Off, Nagasaki, Nagasaki Prefec, Japan; [Tokunage, Yoshio] Infrastruct Dev Inst, Tokyo, Japan</t>
  </si>
  <si>
    <t>PWRI: Public Works Research Institute; PWRI: Public Works Research Institute; Kyoto University; University of Yamanashi; University of Tokyo</t>
  </si>
  <si>
    <t>Ministry of Education, Culture, Sports, Science and Technology, Japan (MEXT)(Ministry of Education, Culture, Sports, Science and Technology, Japan (MEXT))</t>
  </si>
  <si>
    <t>This work was part of the SOUSEI program for risk information on climate change, which was funded by the Ministry of Education, Culture, Sports, Science and Technology, Japan (MEXT). The authors would like to thank the National Mapping and Resource Information Authority of the Philippines for providing IfSAR data for PRB and also thank all related counterpart institutes in each country for their support. The authors also would like to thank all colleagues at ICHARM for their support.</t>
  </si>
  <si>
    <t>0921-030X</t>
  </si>
  <si>
    <t>1573-0840</t>
  </si>
  <si>
    <t>NAT HAZARDS</t>
  </si>
  <si>
    <t>Nat. Hazards</t>
  </si>
  <si>
    <t>MAY</t>
  </si>
  <si>
    <t>10.1007/s11069-019-03632-1</t>
  </si>
  <si>
    <t>Geosciences, Multidisciplinary; Meteorology &amp; Atmospheric Sciences; Water Resources</t>
  </si>
  <si>
    <t>WOS:000476523300009</t>
  </si>
  <si>
    <t>Liu, Lu; Bai, Peng; Liu, Changming; Tian, Wei; Liang, Kang</t>
  </si>
  <si>
    <t>Extreme precipitation events can trigger many natural disasters like floods, mudslides, and landslides. Understanding historical changes in extreme precipitation is critical for disaster prevention and risk assessment. The Mekong River Basin (MB) is vulnerable to natural disasters related to extreme precipitation. In the past ten years, the MB has experienced some destructive extreme precipitation events. Our concern is whether the historical extreme precipitation events in the MB have increased in a warming climate. This study investigates the spatiotemporal changes in extreme precipitation in the MB from 1951 to 2015 using a high-quality precipitation product and eight indices of extreme precipitation. These indices consistently indicate that the trend in extreme precipitation in the Upper Mekong Basin (UMB) is opposite to that in the Lower Mekong Basin (LMB). Extreme precipitation has generally decreased in the UMB but increased in the LMB. The areas with significant increasing extreme precipitation are mainly located in Laos, Vietnam, and Cambodia. The areas with a statistically significant decline in extreme precipitation primarily occur in the Lancang (China's section of the Mekong river) and Thailand. Also, the magnitude of changes in extreme precipitation is significantly larger in the LMB than that in the UMB, which potentially increases flooding risks in the LMB. The findings from this study are useful for guiding disaster-prevention efforts in the MB.</t>
  </si>
  <si>
    <t>[Liu, Lu; Bai, Peng; Liu, Changming; Tian, Wei; Liang, Kang] Chinese Acad Sci, Inst Geog Sci &amp; Nat Resources Res, Key Lab Water Cycle &amp; Related Land Surface Proc, Beijing, Peoples R China; [Liu, Lu; Tian, Wei] Univ Chinese Acad Sci, Beijing, Peoples R China</t>
  </si>
  <si>
    <t>Chinese Academy of Sciences; Institute of Geographic Sciences &amp; Natural Resources Research, CAS; Chinese Academy of Sciences; University of Chinese Academy of Sciences, CAS</t>
  </si>
  <si>
    <t>Natural Science Foundation of China(National Natural Science Foundation of China (NSFC)); Second Tibetan Plateau Scientific Expedition and Research Program (STEP); Program for Bingwei Excellent Talents in Institute of Geographic Sciences and Natural Resources Research, Chinese Academy of Sciences; Program for the Youth Innovation Promotion Association, Chinese Academy of Sciences</t>
  </si>
  <si>
    <t>We are grateful for the precipitation data support from the Research Institute for Human and Nature and the Meteorological Research Institute of Japan Meteorology Agency (http://www.chikyu.ac.jp/precip/).This research was supported by the Natural Science Foundation of China (Grant no. 51979263), the Second Tibetan Plateau Scientific Expedition and Research Program (STEP) (Grant no. 2019QZKK0903), the Program for Bingwei Excellent Talents in Institute of Geographic Sciences and Natural Resources Research, Chinese Academy of Sciences (Grant no. 2017RC204), and the Program for the Youth Innovation Promotion Association, Chinese Academy of Sciences (Grant no. 2019054).</t>
  </si>
  <si>
    <t>OCT 22</t>
  </si>
  <si>
    <t>10.1155/2020/8874869</t>
  </si>
  <si>
    <t>WOS:000591664800001</t>
  </si>
  <si>
    <t>Yun, Xiaobo; Tang, Qiuhong; Wang, Jie; Liu, Xingcai; Zhang, Yongqiang; Lu, Hui; Wang, Yueling; Zhang, Lu; Chen, Deliang</t>
  </si>
  <si>
    <t>The Lancang-Mekong River Basin (LMRB) is one of the most important transboundary river basins in Asia. While climate change perturbs the streamflow and affects flood events, reservoir operation may mitigate or aggravate this impact. Therefore, quantitative assessment of the climate change impact and reservoir effect on the LMRB is a vital prerequisite for future hydropower development and environmental protection. This study aimed to estimate the variation of the streamflow and flood characteristics affected by climate change and reservoir operation within the LMRB. A reservoir module was incorporated into the Variable Infiltration Capacity (VIC) model to simulate the streamflow susceptible to the reservoirs. It was found that the reservoirs had a substantial influence on the streamflow during 2008-2016, when many reservoirs were constructed in the LMRB. The reservoirs across the Lancang River (the upper Mekong River located in China) reduced the annual average streamflow by 5% at Chiang Sean station (northern Thailand) in 2008-2016, whereas their influence became undetectable downstream of Vientiane station (northern Laos). The streamflow changes downstream of Mukdahan station at southern Laos (including the stations in Cambodia and southern Vietnam) were mainly attributed to the local reservoirs and climate change. Compared with the baseline period of 1985-2007, the upstream reservoir operation dramatically affected streamflow at the midstream stations with higher dry season streamflow (+15% to +37%), but lower wet season streamflow was less affected (-2% to -24%) in 2008-2016. Climate change increased the magnitude and frequency of the flood by up to 14% and 45%, respectively, whereas the reservoir operation reduced them by 16% and 36%, respectively. Our findings provide insights into the interaction between climate change and reservoir operation and their integrated effects on the streamflow, informing and supporting water management and hydropower development in the LMRB.</t>
  </si>
  <si>
    <t>[Yun, Xiaobo; Tang, Qiuhong; Wang, Jie; Liu, Xingcai; Zhang, Yongqiang; Wang, Yueling] Chinese Acad Sci, Inst Geog Sci &amp; Nat Resources Res, Key Lab Water Cycle &amp; Related Land Surface Proc, Beijing, Peoples R China; [Yun, Xiaobo; Tang, Qiuhong; Wang, Jie] Univ Chinese Acad Sci, Beijing, Peoples R China; [Lu, Hui] Tsinghua Univ, Dept Earth Syst Sci, Key Lab Earth Syst Modeling, Minist Educ, Beijing, Peoples R China; [Zhang, Lu] CSIRO Land &amp; Water, Canberra, ACT, Australia; [Chen, Deliang] Univ Gothenburg, Dept Earth Sci, Reg Climate Grp, Gothenburg, Sweden</t>
  </si>
  <si>
    <t>Chinese Academy of Sciences; Institute of Geographic Sciences &amp; Natural Resources Research, CAS; Chinese Academy of Sciences; University of Chinese Academy of Sciences, CAS; Tsinghua University; Commonwealth Scientific &amp; Industrial Research Organisation (CSIRO); CSIRO Land &amp; Water; University of Gothenburg</t>
  </si>
  <si>
    <t>Strategic Priority Research Program of Chinese Academy of Sciences(Chinese Academy of Sciences); Second Tibetan Plateau Scientific Expedition and Research; National Natural Science Foundation of China(National Natural Science Foundation of China (NSFC)); International Partnership Program of Chinese Academy of Sciences; Newton Advanced Fellowship</t>
  </si>
  <si>
    <t>This study was supported by the Strategic Priority Research Program of Chinese Academy of Sciences (No. XDA20060402), the Second Tibetan Plateau Scientific Expedition and Research (No. 2019QZKK0208), the National Natural Science Foundation of China (No. 41730645), and the International Partnership Program of Chinese Academy of Sciences (No. 131A11KYSB20180034) and Newton Advanced Fellowship. We would like to thank the editors and the anonymous reviewers for their constructive suggestions.</t>
  </si>
  <si>
    <t>ELSEVIER</t>
  </si>
  <si>
    <t>AMSTERDAM</t>
  </si>
  <si>
    <t>RADARWEG 29, 1043 NX AMSTERDAM, NETHERLANDS</t>
  </si>
  <si>
    <t>0022-1694</t>
  </si>
  <si>
    <t>1879-2707</t>
  </si>
  <si>
    <t>J HYDROL</t>
  </si>
  <si>
    <t>J. Hydrol.</t>
  </si>
  <si>
    <t>NOV</t>
  </si>
  <si>
    <t>10.1016/j.jhydrol.2020.125472</t>
  </si>
  <si>
    <t>Engineering, Civil; Geosciences, Multidisciplinary; Water Resources</t>
  </si>
  <si>
    <t>WOS:000599754500177</t>
  </si>
  <si>
    <t>Mertens, Kenneth N.; Takano, Yoshihito; Head, Martin J.; Matsuoka, Kazumi</t>
  </si>
  <si>
    <t>How important are refugia for plankton biogeography? Here for the first time we report living cysts of the fossil dinoflagellate Dapsilidinium pastielsii from Southeast Asia: Shioya Bay (Okinawa, Japan), Koror (Palau), Ambon (Indonesia), East Vietnam Sea (Vietnam), and Masinloc (the Philippines). This species, thought to have become extinct in the early Pleistocene, is the last survivor of a major early Cenozoic lineage. Its disappearance from the Atlantic following the early Pleistocene implies cooling, and the discovery of living D. pastielsii in the Indo-Pacific warm pool suggests that this unique environment with stable temperatures served as an important refuge for thermophilic dinoflagellates with a &gt;50 m.y. lineage. This is the first record of a refugium plankton species within the Indo-Pacific warm pool.</t>
  </si>
  <si>
    <t>[Mertens, Kenneth N.] Univ Ghent, Res Unit Palaeontol, B-9000 Ghent, Belgium; [Takano, Yoshihito; Matsuoka, Kazumi] Nagasaki Univ, Inst East China Sea Res ECSER, Nagasaki 8528521, Japan; [Head, Martin J.] Brock Univ, Dept Earth Sci, St Catharines, ON L2S 3A1, Canada</t>
  </si>
  <si>
    <t>Ghent University; Nagasaki University; Brock University</t>
  </si>
  <si>
    <t>KAKENHI(Ministry of Education, Culture, Sports, Science and Technology, Japan (MEXT)Japan Society for the Promotion of ScienceGrants-in-Aid for Scientific Research (KAKENHI)); Natural Sciences and Engineering Research Council of Canada(Natural Sciences and Engineering Research Council of Canada (NSERC)CGIAR)</t>
  </si>
  <si>
    <t>Mertens is a Fonds Wetenschappelijk Onderzoek (Belgium) postdoctoral fellow. This study was partly conducted at Nagasaki University and supported by KAKENHI (Grants-in-Aid for Scientific Research) grant 22-00805. Head acknowledges support from a Natural Sciences and Engineering Research Council of Canada Discovery Grant. We thank Lucy Edwards, Jim Riding, and an anonymous reviewer for comments that improved the manuscript.</t>
  </si>
  <si>
    <t>GEOLOGICAL SOC AMER, INC</t>
  </si>
  <si>
    <t>BOULDER</t>
  </si>
  <si>
    <t>PO BOX 9140, BOULDER, CO 80301-9140 USA</t>
  </si>
  <si>
    <t>0091-7613</t>
  </si>
  <si>
    <t>1943-2682</t>
  </si>
  <si>
    <t>Geology</t>
  </si>
  <si>
    <t>JUN</t>
  </si>
  <si>
    <t>10.1130/G35456.1</t>
  </si>
  <si>
    <t>WOS:000339961100020</t>
  </si>
  <si>
    <t>MacLeod, David; Easton-Calabria, Evan; Perez, Erin Coughlan de; Jaime, Catalina</t>
  </si>
  <si>
    <t>Within the humanitarian sector, there is a pressing need to scale up anticipatory action as climate change-related disasters increase. This article evaluates forecasts relating to extreme weather events - extreme rainfall, tropical cyclones, river flooding and storm surge - in Myanmar and the Philippines to assess the feasibility of using such forecasts to develop early warning systems and responses. To make best use of limited extant data, a variety of methods (reliability diagrams, hit rates, false alarm ratios, correlations) are employed. We review the skill of the European Centre for Medium-Range Weather Forecasts (ECMWF) tropical cyclone forecasts and find that whilst errors in cyclone position are relatively small, forecasting intensity is more difficult. When a tropical cyclone has formed, the probabilities provided in the ECMWF track forecast are highly reliable and only slightly over-confident. A tropical cyclone activity product is relatively reliable for forecasts less than a week ahead for North Indian Ocean cyclones affecting Myanmar, but becomes very overconfident beyond this. Looking at flood forecasting models, a comparison of the Global Flood Awareness System (GloFAS, produced by the ECMWF and the European Commission as part of the Copernicus Emergency Management Services) with the Global Flood Forecasting Information System (GLOFFIS, produced by Deltares) demonstrates that both GloFAS and GLOFFIS have difficulty simulating 1 in 2 year return period flows or higher, although GloFAS performance is better than GLOFFIS. GloFAS reforecasts show significantly overconfident probabilities over Myanmar where discharge observations are available, whilst the lack of a GLOFFIS reforecast prevents evaluation of this forecast system directly. Evaluation of the ten-day operational storm surge forecast (the Global Storm Surge Information System, GLOSSIS) produced by Deltares was attempted but lack of any data prevented assessment. These findings present valuable insights into how well forecasts perform, which is crucial information for establishing effective humanitarian action mechanisms.</t>
  </si>
  <si>
    <t>[MacLeod, David] Univ Oxford, Clarendon Lab, Atmospher Ocean &amp; Phys Dept, Sherrington Rd, Oxford OX1 3PU, England; [Easton-Calabria, Evan] Univ Oxford, Dept Int Dev, 3 Mansfield Rd, Oxford OX1 3TB, England; [Perez, Erin Coughlan de; Jaime, Catalina] Red Cross Red Crescent Climate Ctr, Climate Sci Team, Anna Saksenlaan 50, NL-2593 HT The Hague, Netherlands</t>
  </si>
  <si>
    <t>University of Oxford; University of Oxford</t>
  </si>
  <si>
    <t>2212-0947</t>
  </si>
  <si>
    <t>WEATHER CLIM EXTREME</t>
  </si>
  <si>
    <t>Weather Clim. Extremes</t>
  </si>
  <si>
    <t>10.1016/j.wace.2021.100325</t>
  </si>
  <si>
    <t>WOS:000688356000002</t>
  </si>
  <si>
    <t>Setiyono, T. D.; Quicho, E. D.; Holecz, F. H.; Khan, N. I.; Romuga, G.; Maunahan, A.; Garcia, C.; Rala, A.; Raviz, J.; Collivignarelli, F.; Gatti, L.; Barbieri, M.; Phuong, D. M.; Minh, V. Q.; Vo, Q. T.; Intrman, A.; Rakwatin, P.; Sothy, M.; Veasna, T.; Pazhanivelan, S.; Mabalay, M. R. O.</t>
  </si>
  <si>
    <t>A rice yield estimation system was developed based on the crop growth model ORYZA and SAR-derived key information such as start of season (SOS) and leaf area growth rate. Results from study sites in South and South-east Asian countries suggest that incorporating remote sensing data, specifically Synthetic aperture radar (SAR), into a process-based crop model improves the spatial distribution of yield estimates. This article highlights the detailed methodology of SAR data incorporation into crop yield simulation and comprehensive validation of yield forecast and estimates in the Philippines, Vietnam, Cambodia, Thailand, and Tamil Nadu, India. Remote sensing data assimilation into a crop model effectively captures the responses of rice crops to environmental conditions over large spatial coverage, which otherwise is practically impossible to achieve. A process-based crop simulation model is used in the system to ensure that climate information is captured, and this provides the capacity to deliver a mid-season yield forecast for national planning and policy for rice. Good agreement between SAR-based yield and crop-cut-based yield and official yield statistics and ensuring efficiency of the processing suggest that the system is a promising solution for the needed timely information on rice yield for application in food security and policies, climate disaster management, and crop insurance programs.</t>
  </si>
  <si>
    <t>[Setiyono, T. D.; Quicho, E. D.; Khan, N. I.; Romuga, G.; Maunahan, A.; Garcia, C.; Rala, A.; Raviz, J.] Int Rice Res Inst, Sustainable Impact Platform, Manila, Philippines; [Holecz, F. H.; Collivignarelli, F.; Gatti, L.; Barbieri, M.] Sarmap, Purasca, Switzerland; [Phuong, D. M.] NIAPP, MARD, Hanoi, Vietnam; [Minh, V. Q.; Vo, Q. T.] CTU, Dept Land Resources, Can Tho, Vietnam; [Intrman, A.] Minist Agr &amp; Cooperat MOAC, TRD, Bangkok, Thailand; [Rakwatin, P.] GISTDA, Res &amp; Dev Grp, Bangkok, Thailand; [Sothy, M.] MAFF, DPS, Phnom Penh, Cambodia; [Veasna, T.] CARDI, Soil &amp; Water Sci Div, Phnom Penh, Cambodia; [Pazhanivelan, S.] TNAU, Dept Remote Sensing &amp; Geog Informat Syst, Coimbatore, Tamil Nadu, India; [Mabalay, M. R. O.] Philippine Rice Res Inst PhilRice, Agron Soils &amp; Plant Physiol Div, Munoz, Philippines</t>
  </si>
  <si>
    <t>CGIAR; International Rice Research Institute (IRRI); Can Tho University; Tamil Nadu Agricultural University; Philippine Rice Research Institute</t>
  </si>
  <si>
    <t>Swiss Agency for Development and Cooperation (SDC); CGIAR Global Rice Science Partnership (GRiSP) program(CGIAR)</t>
  </si>
  <si>
    <t>Funding for this research was provided by the Swiss Agency for Development and Cooperation (SDC) and the CGIAR Global Rice Science Partnership (GRiSP) program. This work is part of the Remote Sensing-based Information and Insurance for Crops in Emerging Economies (RIICE) project. SAR data were provided by ASI/e-GEOS and GISTDA from COSMO-SkyMed and by InfoTerra GmbH from TerraSAR-X, and by the European Space Agency (ESA) from Sentinel-1. Some maps in this manuscript are overlaid on Google Maps layers, (c) Google, 2014. The boundaries, colours, denominations, and other information shown on any map in this work do not imply any judgment on the part of the authors or their institutes concerning the legal status of any territory or the endorsement or acceptance of such boundaries.</t>
  </si>
  <si>
    <t>NOV 2</t>
  </si>
  <si>
    <t>10.1080/01431161.2018.1547457</t>
  </si>
  <si>
    <t>WOS:000472112000003</t>
  </si>
  <si>
    <t>Li, Qiongfang; Zeng, Tianshan; Chen, Qihui; Han, Xingye; Weng, Xi; He, Pengfei; Zhou, Zhengmo; Du, Yao</t>
  </si>
  <si>
    <t>The Lancang-Mekong River Basin (LMRB) is one of the river basins most prone to floods and droughts induced by extreme precipitation (EP). Therefore, it is of great significance to characterize the spatio-temporal changes of EP in the LMRB. Based on the Multi-Source Weighted-Ensemble Precipitation dataset (MSWEP) Version 2.2 (V2.2) dataset from 1979 to 2016, all improved extreme precipitation indices (EPIs) at grid and national levels were computed and their changing trends were investigated by means of the trend-free pre-whitening Mann-Kendall significance test and the Sen's slope; the rationality of the improved EPIs was discussed. The results revealed: (1) The improved EPIs performed better than the original ones in describing the spatio-temporal variations of EP across LMRB; (2) R95p, R99p, SDII-10, SDII-25, SDII-50, Rx1day, Rx3day, and Rx7day showed a significant decreasing trend (p &lt; 0.05) in the northeastern part of the upper, middle, and lower reaches of the Mekong River Basin (MRB), implying a probable reduction in flood risks; (3) Rx15day and Rx30day showed a significant increasing trends (p &lt; 0.05) in the southeast upper MRB and the north middle MRB, indicating a probable increase in flood risks; (4) CDD4 and NDD4 manifested an probably increasing drought risk in the middle and lower reaches of the Lancang River Basin and the lower MRB with a probably reducing drought risk in Lancang River Headwater Region, the middle MRB and the Mekong Delta; (5) the decreasing trend exhibited by most flood-related indices in China, Laos, Thailand, Cambodia, and Vietnam signified a probable reduction in flood risks; (6) the increasing trend of both CDD4 and NDD4 in China and Cambodia indicated a probable increase in drought risks. The outputs of this paper could benefit a better understanding of evolution in daily extreme precipitation, and flood and drought risk in LMRB.</t>
  </si>
  <si>
    <t>[Li, Qiongfang; Zeng, Tianshan; Chen, Qihui; Han, Xingye; Weng, Xi; He, Pengfei; Zhou, Zhengmo; Du, Yao] Hohai Univ, Coll Hydrol &amp; Water Resources, 1 Xikang Rd, Nanjing 210098, Peoples R China; [Li, Qiongfang] Hohai Univ, Yangtze Inst Conservat &amp; Dev, Nanjing 210098, Peoples R China; [Zeng, Tianshan; Chen, Qihui; Han, Xingye] Hohai Univ, Ctr Int River Res, Nanjing 210098, Peoples R China</t>
  </si>
  <si>
    <t>Hohai University; Hohai University; Hohai University</t>
  </si>
  <si>
    <t>National Natural Science Foundation Commission of China(National Natural Science Foundation of China (NSFC)); National Social Science Fund of China; Jiangsu Provincial Collaborative Innovation Center of World Water Valley and Water ecological civilization, China</t>
  </si>
  <si>
    <t>This work was supported by the National Natural Science Foundation Commission of China (Grant No. 51879069) and The National Social Science Fund of China (Grant No. 19BGL181), and the Jiangsu Provincial Collaborative Innovation Center of World Water Valley and Water ecological civilization, China.</t>
  </si>
  <si>
    <t>JAN</t>
  </si>
  <si>
    <t>10.1007/s11069-022-05569-4</t>
  </si>
  <si>
    <t>WOS:000844932300002</t>
  </si>
  <si>
    <t>Thilakarathne, Madusanka; Sridhar, Venkataramana</t>
  </si>
  <si>
    <t>This study evaluates future changes to drought characteristics in the Lower Mekong River Basin using climate model projections. The Lower Mekong Basin (LMB), covering Thailand, Cambodia, Laos and Vietnam, is vulnerable to increasing droughts. Univariate analysis was employed in this study to compare drought characteristics associated with different return periods for the historical period 1964 - 2005 and future scenarios (RCP 4.5 2016 - 2057, RCP 4.5 2058 - 2099, RCP 8.5 2016 - 2057 and RCP 8.5 2058 - 2099). Because a single drought event is defined by several correlated characteristics, drought risk assessment by a multivariate analysis was deemed appropriate, and a multivariate analysis of droughts was conducted using copula functions to investigate the differences in the trivariate joint occurrence probabilities of the historical period and future scenarios. The Standardized Precipitation Index (SPI) was selected as the drought index because of its ability to detect and compare metrological droughts across time and space scales. Historical precipitation data from 1964 to 2005 and future precipitation projections from 2016 to 2099 for 15 global circulation models (GCMs) obtained from the NASA Earth Exchange Global Daily Downscaled Projections (NEX-GDDP) dataset were employed. In all future scenarios, the Lower LMB and 3S subbasins were expected to experience more severe and intense droughts. The multivariate drought risk assessment revealed an increase in drought risks in the LMB. However, the Chi-Mun subbasin may experience an alleviation of future drought characteristics. Because the basin was expected to experience an increase in average monthly precipitation in most months, the variability in magnitude suggested that the LMB region requires adaptation strategies to address future drought occurrences.</t>
  </si>
  <si>
    <t>[Thilakarathne, Madusanka; Sridhar, Venkataramana] Virginia Polytech Inst &amp; State Univ, Biol Syst Engn, 212 Seitz Hall, Blacksburg, VA 24061 USA</t>
  </si>
  <si>
    <t>Virginia Polytechnic Institute &amp; State University</t>
  </si>
  <si>
    <t>10.1016/j.wace.2017.07.004</t>
  </si>
  <si>
    <t>WOS:000425923500006</t>
  </si>
  <si>
    <t>Yuan, Liang; Wu, Xia; He, Weijun; Kong, Yang; Degefu, Dagmawi Mulugeta; Ramsey, Thomas Stephen</t>
  </si>
  <si>
    <t>Improving the reliability of conflict evaluation and risk prediction methods used in transboundary water-sharing problems is an important research gap that needs to be addressed. This paper constructed a novel and comprehensive water conflict risk assessment framework that takes into account the multi-dimensional attributes of water resources. The reliability of each evaluation index is represented based on the triangular fuzzy number which can address the ambiguity and uncertainty. The fuzzy evidence reasoning model (FERM) was constructed to comprehensively calculate the risk level of water conflict in the transboundary river basin. The GM (1,1) model was used to predict the indicators for dynamic forecasting of the water conflict risk, and the water sharing problem in the Mekong River Basin (MRB) was selected as the case study to validate the method proposed in this paper. The results showed: (1) Except for Myanmar, the risk of water conflicts in other countries has decreased and will continue to decrease in the future. (2) The water quantity conflict risk in Laos and Thailand is increasing. (3) There is little change in the risk of water ecological conflict in riparian countries. (4) The risk of socioeconomic conflict in Cambodia rises from high grade to very high grade, while the risk of economic and social conflict in other countries will decline. (5) From 1992 to 2027, water conflict in riparian countries have been on the decline. The comparison of the TWAP's (Transboundary Waters Assessment Programme) assessment and prediction of water conflict risk shows that the research results of the two are close to each other. Therefore, the proposed model could help to assess and forecast the water conflict risk in transboundary rivers. This assists riparian countries to take effective preventive measures to avoid water conflicts.</t>
  </si>
  <si>
    <t>[Yuan, Liang; Wu, Xia; He, Weijun; Kong, Yang; Degefu, Dagmawi Mulugeta; Ramsey, Thomas Stephen] China Three Gorges Univ, Sch Econ &amp; Management, Yichang 443002, Peoples R China; [Wu, Xia] China Three Gorges Univ, Sch Law &amp; Publ Adm, Yichang 443002, Peoples R China; [Degefu, Dagmawi Mulugeta] Ryerson Univ, Fac Engn &amp; Architectural Sci, Toronto, ON M5B 2K3, Canada</t>
  </si>
  <si>
    <t>China Three Gorges University; China Three Gorges University; Toronto Metropolitan University</t>
  </si>
  <si>
    <t>National Natural Science Foundation of China(National Natural Science Foundation of China (NSFC)); Ministry of Education (MOE) of China, Project of Humanities and Social Sciences</t>
  </si>
  <si>
    <t>This work was supported by the National Natural Science Foundation of China [grant numbers 72104127 and 71874101] , the Ministry of Education (MOE) of China, Project of Humanities and Social Sciences [grant number 20YJCGJW009] .</t>
  </si>
  <si>
    <t>OCT</t>
  </si>
  <si>
    <t>10.1016/j.jhydrol.2023.130090</t>
  </si>
  <si>
    <t>WOS:001076650900001</t>
  </si>
  <si>
    <t>Cheng, Yuqi; Yu, Le; Zhao, Yuanyuan; Xu, Yidi; Hackman, Kwame; Cracknell, Arthur P.; Gong, Peng</t>
  </si>
  <si>
    <t>Global oil palm plantations have expanded in the last few decades, resulting in negative impacts on the environment. Satellite remote sensing plays an important role in monitoring the expansion of oil palm plantations, but requires high-quality ground samples for training and validation. To facilitate the monitoring of oil palm plantations on a large scale, we propose an oil palm sample database that includes the five countries with the largest areas of oil palm plantations: Indonesia, Malaysia, Nigeria, Thailand, and Ghana. In total, 45,896 samples were collected using a hexagonal sampling design. High-resolution images from Google Earth, the Advanced Land Observing Satellite (ALOS) Phased Array type L-band Synthetic Aperture Radar (PALSAR) images, and Landsat optical images were used to identify oil palm plantations and other types of land cover (croplands, forests, grasslands, shrublands, water, hard surfaces, and bare land). The characteristics of oil palm cover and its environment, including PALSAR backscattering coefficients, terrain, and climate recorded in this database are also discussed. The results indicate that using the PALSAR band algebra threshold alone is not recommended to distinguish oil palm from other land-cover/use types.</t>
  </si>
  <si>
    <t>[Cheng, Yuqi] Henan Univ, Coll Environm &amp; Planning, Minist Educ, Key Lab Geospatial Technol Middle &amp; Lower Yellow, Kaifeng, Peoples R China; [Yu, Le; Zhao, Yuanyuan; Xu, Yidi; Hackman, Kwame; Gong, Peng] Tsinghua Univ, Dept Earth Syst Sci, Minist Educ, Key Lab Earth Syst Modeling, Beijing 100084, Peoples R China; [Yu, Le; Gong, Peng] Joint Ctr Global Change Studies, Beijing, Peoples R China; [Cracknell, Arthur P.] Univ Dundee, Sch Sci &amp; Engn, Dundee, Scotland</t>
  </si>
  <si>
    <t>Henan University; Tsinghua University; University of Dundee</t>
  </si>
  <si>
    <t>National Natural Science Foundation of China(National Natural Science Foundation of China (NSFC)); Tsinghua University</t>
  </si>
  <si>
    <t>This work was supported by the National Natural Science Foundation of China [41301445]; Tsinghua University [20151080351].</t>
  </si>
  <si>
    <t>10.1080/01431161.2017.1312622</t>
  </si>
  <si>
    <t>WOS:000401460800003</t>
  </si>
  <si>
    <t>Nguyen Dang-Quang; Renwick, James; McGregor, James</t>
  </si>
  <si>
    <t>Reanalysis and observation data from 1979 to 2010 are used to study the climatological behavior of regional vortices over the Southeast Asian sea-Maritime Continent region (SEAMC). After eliminating tropical cyclones from the International Best Tracks Archive for Climate Stewardship (IBTrACS), significant numbers of vortices remained over the region. The results also show that the vortices, rather than being relatively stationary near the Borneo coast in the winter, were consistently present over the SEAMC throughout the year, migrating from the area of the coast of Vietnam, the Philippines, and the Southeast Asian sea in summer to the island of Borneo region in winter. These vortices can produce significant amounts of rainfall in Vietnam, especially in central coastal regions during the postsummer monsoon (autumn) period.</t>
  </si>
  <si>
    <t>[Nguyen Dang-Quang; Renwick, James; McGregor, James] Victoria Univ Wellington, Sch Geog Environm &amp; Earth Sci, Room 142,Cotton Bldg,Kelburn Campus Gate 7, Wellington 6012, New Zealand; [Nguyen Dang-Quang] Natl Ctr Hydrometeorol Forecastings Vietnam, Hanoi, Vietnam</t>
  </si>
  <si>
    <t>Victoria University Wellington</t>
  </si>
  <si>
    <t>New Zealand Aid Programme(CGIAR); Ministry of Natural Resources and Environment of Vietnam</t>
  </si>
  <si>
    <t>The study was supported by the New Zealand Aid Programme, and the Ministry of Natural Resources and Environment of Vietnam under Grant TNMT.2015.05.19. The lead author thanks Le Cong-Thanh, Hydrometeorological Service of Vietnam, for his encouragement of this study. Thanks also go to Alain Joly, Centre National de Recherches Meteorologiques, Meteo-France for the initial inspiration in this study.</t>
  </si>
  <si>
    <t>AMER METEOROLOGICAL SOC</t>
  </si>
  <si>
    <t>BOSTON</t>
  </si>
  <si>
    <t>45 BEACON ST, BOSTON, MA 02108-3693 USA</t>
  </si>
  <si>
    <t>0894-8755</t>
  </si>
  <si>
    <t>1520-0442</t>
  </si>
  <si>
    <t>J CLIMATE</t>
  </si>
  <si>
    <t>J. Clim.</t>
  </si>
  <si>
    <t>10.1175/JCLI-D-14-00468.1</t>
  </si>
  <si>
    <t>WOS:000378091900006</t>
  </si>
  <si>
    <t>Sun, Yunfang; Eltahir, Elfatih; Malanotte-Rizzoli, Paola</t>
  </si>
  <si>
    <t>As a part of the border between Singapore and Malaysia, the West Johor Strait (WJS) suffered newly from harmful algal blooms. There is no previous study showing the source of the nutrients in the WJS. This paper is investigating the possible water exchange between the water in the WJS and the bottom water in Singapore Strait. This paper adopts a two-level nesting atmosphere-ocean coupled models to downscale the global atmosphere -ocean model into-the Singapore coastal water, keeping the large-scale and long-term ocean and climate circulation signals and the advantages of the high-resolution. Based on the high-resolution ocean circulation fields, a Lagrangian particle tracking model is used to trace the Singapore Strait's bottom water movement and the water mixing in the WJS. The results showed that the numerical models well resolved the Singapore coastal water regional circulation. There is a small but significant bottom water (1.25%) transport from the Singapore Strait to the WJS, which occurs from the southwest coastline of Singapore. The bottom water in the Singapore Strait prefers to enter the WJS during the spring tide and the flood period, and stay in Johor Strait for 6.4 days. The spring tide is the first order factor for the water vertical mixing in the WJS, the wind is also very important for the vertical mixing especially in neap tide condition. An overall very important factor is the light perturbation. With the strongest vertical mixing of nutrients and bottom sediments due to the spring tide, the latter ones may inhibit the light penetration during the spring tide and reduce the algal bloom. The light penetration otherwise is greater during the neap tide, when the winds are the most important factor and hence favor the algal bloom. With the strongest wind in February and the longest permanence time in June and the sufficient nutrient supply in February and June, the most serious algal blooms may happen in February and June in the WJS.</t>
  </si>
  <si>
    <t>[Sun, Yunfang] MIT, Dept Earth Atmospher &amp; Planetary Sci, 77 Massachusetts Ave,Bldg 54-1417, Cambridge, MA 02139 USA; [Eltahir, Elfatih] MIT, Dept Civil &amp; Environm Engn, 15 Vassar St,Room 48-207, Cambridge, MA 02139 USA; [Malanotte-Rizzoli, Paola] MIT, Dept Earth Atmospher &amp; Planetary Sci, 77 Massachusetts Ave,Bldg 54-1416, Cambridge, MA 02139 USA</t>
  </si>
  <si>
    <t>Massachusetts Institute of Technology (MIT); Massachusetts Institute of Technology (MIT); Massachusetts Institute of Technology (MIT)</t>
  </si>
  <si>
    <t>PERGAMON-ELSEVIER SCIENCE LTD</t>
  </si>
  <si>
    <t>OXFORD</t>
  </si>
  <si>
    <t>THE BOULEVARD, LANGFORD LANE, KIDLINGTON, OXFORD OX5 1GB, ENGLAND</t>
  </si>
  <si>
    <t>0278-4343</t>
  </si>
  <si>
    <t>1873-6955</t>
  </si>
  <si>
    <t>CONT SHELF RES</t>
  </si>
  <si>
    <t>Cont. Shelf Res.</t>
  </si>
  <si>
    <t>AUG 1</t>
  </si>
  <si>
    <t>10.1016/j.csr.2017.07.004</t>
  </si>
  <si>
    <t>Oceanography</t>
  </si>
  <si>
    <t>WOS:000411548400004</t>
  </si>
  <si>
    <t>Ndah, Anthony Banyouko; Odihi, John Onu</t>
  </si>
  <si>
    <t>This systematic study of disaster risk and disaster management efforts in Brunei Darussalam uncovers the reasons why floods and landslides in particular continue to inflict significant social, economic, and psychological toll. Vulnerability to the impacts of hydro-meteorological hazards continue to rise despite international awareness and improved disaster governance and information, and regardless of the vast financial and material resources spent on structural and nonstructural measures for disaster relief and community awareness. Our premise is that, a poor diagnosis of the disaster risk issue is at the root of the disaster risk dilemma in Brunei Darussalam. We conducted our vulnerability-centered disaster risk assessment based largely on the Pressure and Release (PAR) Model proposed by Wisner et al. Our research results reveal that: (1) Hazard-risk in Brunei is high due to the impact of global climate change, the country's local geography, and Brunei's relative location in the Asia-Pacific Region. Limited reporting of localized disasters to international databases however fuels the misperception of low disaster risk in Brunei; (2) High community vulnerability and disaster risk is due to limited knowledge, awareness, and motivation among the general population, which prevents effective mitigation and adaptation to low magnitude but recurrent hazardous events; and (3) Partial incorporation of disaster risk reduction into governance structures and development plans contributes to heightened disaster risks. Integrated frameworks are proposed that can minimize social vulnerability, reduce disaster risk, and enhance community resilience and adaptive capacity as part of a strengthened governance mechanism. Coupled with improvements in preparedness, response, recovery, and reconstruction promoted by the National Disaster Management Centre (NDMC), vulnerability and disaster risk can be minimized, and a more inclusive and sustainable growth can be generated.</t>
  </si>
  <si>
    <t>[Ndah, Anthony Banyouko] Univ Brunei Darussalam, Fac Arts &amp; Social Sci, Environm Studies Program, Dept Geog &amp; Dev, BE-1410 Gadong, Brunei; [Odihi, John Onu] Univ Maiduguri, Dept Geog, Fac Social Sci, Maiduguri, Borno State, Nigeria</t>
  </si>
  <si>
    <t>University Brunei Darussalam</t>
  </si>
  <si>
    <t>SPRINGER HEIDELBERG</t>
  </si>
  <si>
    <t>HEIDELBERG</t>
  </si>
  <si>
    <t>TIERGARTENSTRASSE 17, D-69121 HEIDELBERG, GERMANY</t>
  </si>
  <si>
    <t>2095-0055</t>
  </si>
  <si>
    <t>2192-6395</t>
  </si>
  <si>
    <t>INT J DISAST RISK SC</t>
  </si>
  <si>
    <t>Int. J. Disaster Risk Sci.</t>
  </si>
  <si>
    <t>10.1007/s13753-017-0125-x</t>
  </si>
  <si>
    <t>WOS:000404615100011</t>
  </si>
  <si>
    <t>Ruiz-Barradas, Alfredo; Nigam, Sumant</t>
  </si>
  <si>
    <t>The Mekong River is the lifeblood of the Southeast (SE) Asian economies. In situ and satellite-based precipitation are analyzed to assess the amount of water received as precipitation in the river basin (Mekong basin water), in particular, the amount each country receives. Laos, Thailand, and Cambodia contribute -75% of the basin water during March-September, whereas China's contribution is 10%-15%, except in winter when it rises to 25%. The processing of Mekong basin water into Mekong streamflow entails accounting for the uncertain water losses but, interestingly, interannual variations in Mekong basin water can be processed into Mekong streamflow using a simple hydrologic model, which is validated using monthly river discharge data from four stations. Preliminary evidence for the impact of upbasin dams on downstream flow, especially the timing of peak summer flow, is presented. Characterization of El Nifio's influence on SE Asian rainfall reveals significant rainfall reductions in the fall preceding and the spring following El Nirio's peak phase (winter); such reductions at the bookends of the dry season in SE Asia (winter) generate droughts, as in 2015-16. The linear trend in twentieth-century rainfall assesses the vulnerability of the region to climate change. The analysis indicates the feasibility of streamflow prediction using a simple hydrologic model driven by high-resolution precipitation observations and forecasts. It raises the prospects of drought prediction based on El Nirio's emergence/forecast. Finally, by showing the Mekong to be largely a rain-fed and not snowmelt-fed river, it provides quantitative context for assessing the notion of Chinese control on the lower Mekong via upbasin dams.</t>
  </si>
  <si>
    <t>[Ruiz-Barradas, Alfredo; Nigam, Sumant] Univ Maryland, Dept Atmospher &amp; Ocean Sci, College Pk, MD 20742 USA; [Nigam, Sumant] Natl Acad Sci, Jefferson Sci Fellowship Program, 2101 Constitut Ave Nw, Washington, DC 20418 USA</t>
  </si>
  <si>
    <t>University System of Maryland; University of Maryland College Park; National Academies of Sciences, Engineering &amp; Medicine</t>
  </si>
  <si>
    <t>National Academy of Sciences; University of Maryland; National Science Foundation through NSF(National Science Foundation (NSF))</t>
  </si>
  <si>
    <t>The effort was motivated by the second author's affiliation with the U.S. State Department's Lower Mekong Initiative (LMI) through the Jefferson Science Fellowship from the National Academy of Sciences. The LMI program is managed by the State Department's Bureau of East Asian and Pacific Affairs, in particular, its Office of Multilateral Affairs (MLA). Sumant Nigam would like to thank Jacob Levin (LMI) for his encouragement to undertake this pilot-phase research in support of LMI's Forecast Mekong initiative and Calvina Coleman (LMI) for sharing regional insights. This work would not have been possible without the indulgence of David Greene (MLA Director) and Jeffrey Graham (MLA Deputy Director), who gave Sumant Nigam the space'' to pursue this effort. MLA supported visits to the Mekong River Commission (MRC; Vientiane, Laos), Vietnam National Mekong Committee (VNMC; Hanoi), and NASA-USAID's SERVIR-Mekong Project (Bangkok), and regional consultations with Dr. Pham Tuan Phan (CEO, MRC), Dr. Le Duc Trung (Director General, VNMC), and Dr. Peter Cutter (SERVIR-Mekong) were helpful. Sumant Nigam would like to thank Jenny Frankel Reed (USAID) and Dr. John Bolten (NASA) for the regional introductions that led to productive visits. Sumant Nigam thanks the University of Maryland for granting him a 1-yr leave of absence in support of the Jefferson Fellowship, and the National Academy of Sciences for providing a serene work environment. Both authors gratefully acknowledge the support of the National Science Foundation through NSF Grant AGS1439940 to the University of Maryland. All of the analyzed datasets are publicly available and their sources are clearly stated. We thank editor Ruby Leung and the two reviewers, including Vasu Misra, for their careful reading and helpful advice in improving the manuscript. The views expressed are the authors' alone and not reflective of the U.S. National Academies or the U.S. State Department.</t>
  </si>
  <si>
    <t>1525-755X</t>
  </si>
  <si>
    <t>1525-7541</t>
  </si>
  <si>
    <t>J HYDROMETEOROL</t>
  </si>
  <si>
    <t>J. Hydrometeorol.</t>
  </si>
  <si>
    <t>10.1175/JHM-D-17-0195.1</t>
  </si>
  <si>
    <t>WOS:000445390800006</t>
  </si>
  <si>
    <t>Simon-Moral, Andres; Dipankar, Anurag; Doan, Quang-Van; Sanchez, Claudio; Roth, Matthias; Becker, Erik; Huang, Xiang-Yu</t>
  </si>
  <si>
    <t>Simulations of five November months (2010-2014) using the urban version of the numerical weather prediction system of the Meteorological Service Singapore (uSINGV) are used to analyse the urban effect on convective precipitation over Singapore and Johor Bahru (Malaysia). The model is able to closely predict locations where rainfall peaks occur, but rainfall totals are overestimated compared to radar data. The temporal variability of rainfall in the region shows that urban areas increase the frequency and severity of rainfall events and that such impact increases with the rainfall intensity. Results show that low-level moisture advection is enhanced in this coastal conurbation as a result of the strengthening of wind convergence. The latter is likely caused by increasing sea-breeze strength due to lower surface pressure over the urban area, and higher urban surface roughness, respectively. As a consequence, more precipitable water is available in the region, enhancing convection and increasing the probability of heavy rainfall over the centre and north of Singapore island and Johor Bahru. Stronger convection further increases moisture advection from the vicinity. By studying the temporal variability and the spatial distribution of rainfall events, the present study provides new insights on the urban impact on heavy rainfall in tropical areas. The conclusions are only valid for the November inter-monsoon period, when local forcing, rather than large-scale influences, dominates rainfall generation.</t>
  </si>
  <si>
    <t>[Simon-Moral, Andres; Roth, Matthias] Natl Univ Singapore, Dept Geog, Singapore, Singapore; [Simon-Moral, Andres] Basque Res &amp; Technol Alliance BRTA, TECNALIA, Derio, Spain; [Dipankar, Anurag; Becker, Erik; Huang, Xiang-Yu] Ctr Climate Res Singapore, Meteorol Serv Singapore, Singapore, Singapore; [Doan, Quang-Van] Univ Tsukuba, Ctr Computat Sci, Tsukuba, Ibaraki, Japan; [Sanchez, Claudio] MetOff Reading, Reading, Berks, England; [Huang, Xiang-Yu] CMA, Inst Urban Meteorol, Beijing, Peoples R China</t>
  </si>
  <si>
    <t>National University of Singapore; Meteorological Service Singapore; University of Tsukuba; China Meteorological Administration</t>
  </si>
  <si>
    <t>National Environmental Agency Singapore; Grants-in-Aid for Scientific Research(Ministry of Education, Culture, Sports, Science and Technology, Japan (MEXT)Japan Society for the Promotion of ScienceGrants-in-Aid for Scientific Research (KAKENHI))</t>
  </si>
  <si>
    <t>National Environment Agency Singapore, Grant/Award Number: R-109-000-338 236-490</t>
  </si>
  <si>
    <t>0035-9009</t>
  </si>
  <si>
    <t>1477-870X</t>
  </si>
  <si>
    <t>Q J ROY METEOR SOC</t>
  </si>
  <si>
    <t>Q. J. R. Meteorol. Soc.</t>
  </si>
  <si>
    <t>10.1002/qj.4147</t>
  </si>
  <si>
    <t>WOS:000688180800001</t>
  </si>
  <si>
    <t>Chen, Tsing-Chang; Tsay, Jenq-Dar; Matsumoto, Jun; Alpert, Jordan</t>
  </si>
  <si>
    <t>Examination of the development of cold season heavy rainfall/flood (HRF) events around the South China Sea (SCS) from their parent cold surge vortices (CSVs) shows three new development processes. First, the formation mechanism of the parent CSV of an HRF event [CSV(HRF)] has a preference as to geographic location, flow type of the cold surge inside the SCS, and time of day. The surface trough east of the Philippines, Taiwan, and southern Japan island chain in late fall and the near-equator trough across Borneo in winter facilitate the CSV(HRF) formation in two regions-the vicinity of the Philippines and Borneo. The formation of the Philippine (Borneo) CSV(HRF) occurs at 0600 UTC (0000 UTC) with involvement from the Philippine Sea (PHS)type (SCS type) of cold surge flow. Second, the flow type of the cold surge determines the CSV(HRF) propagation across the South China Sea. The PHS-type (SCS type) facilitates (hinders) the CSV(HRF) westward propagation. This occurs because the easterly (northerly) flow is greater than (less than) the northerly (easterly) flow at the maximum isotach location of the cold surge flow associated with CSV(HRF) and is centered east of the demarcation line for propagation. This flow-type contrast is substantiated by the vorticity budget analysis for CSV(HRF). The positive 925-hPa vorticity tendency is located west of (coincident with) the 925-hPa vorticity center for the PHS-type (SCS type) of cold surge. Third, the CSV(HRF) development into a HRF event is achieved through multiple interactions of former vortices with sequential cold surges across the South China Sea. The first two CSV(HRF) development processes are reported herein; the last process is presented in Part II.</t>
  </si>
  <si>
    <t>[Chen, Tsing-Chang; Tsay, Jenq-Dar] Iowa State Univ, Dept Geol &amp; Atmospher Sci, Ames, IA 50011 USA; [Matsumoto, Jun] Tokyo Metropolitan Univ, Dept Geog, Tokyo 158, Japan; [Matsumoto, Jun] JAMSTEC, Res Inst Global Change, Yokosuka, Kanagawa, Japan; [Alpert, Jordan] NOAA, Environm Modeling Ctr, Natl Ctr Environm Predict, Ctr Weather &amp; Climate Predict, College Pk, MD USA</t>
  </si>
  <si>
    <t>Iowa State University; Tokyo Metropolitan University; Japan Agency for Marine-Earth Science &amp; Technology (JAMSTEC); National Oceanic Atmospheric Admin (NOAA) - USA</t>
  </si>
  <si>
    <t>Cheney Research Fund; NSF(National Science Foundation (NSF)); Japan Society for the Promotion of Science(Ministry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</si>
  <si>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The Cheney Research Fund and NSF Grant ATM-0836220 sponsored this study. Jun Matsumoto's contribution to this study is supported by the Grant-in-Aid for Scientific Research (26220202) from the Japan Society for the Promotion of Science. Comments and suggestions offered by two anonymous reviewers were very helpful in improving the presentation of this study.</t>
  </si>
  <si>
    <t>10.1175/JCLI-D-14-00170.1</t>
  </si>
  <si>
    <t>WOS:000349670000005</t>
  </si>
  <si>
    <t>Shen, Li-jian; Siritongkham, Nuchit</t>
  </si>
  <si>
    <t>The giant potash deposit on the Khorat Plateau is one of the most promising targets for exploitation of potassium salts. So far, many researches and geologic survey have been conducted on the giant potash deposits. Hence, it is necessary to make an overall review on the potash deposits. The potash deposit on the Khorat Plateau was formed during the Middle to Late Cretaceous, during which seawater was enriched in Ca2+ and depleted in SO42- compared with those of modern seawater. In addition to seawater, continental water and hydrothermal fluids could have affected the evaporite basins. The seawater was probably derived from Tethys ocean, and the brine should have evaporated to some extent before entering into the basin systems based on the evidence of absence of carbonates and unproportionate sulphate compared with chloride salts. The paleo-climate during Middle to Late Cretaceous was characterized as high temperature and extremely arid environment, which is favourable for deposition of potassium-magnesium saline minerals. The major saline minerals are of anhydrite, halite, carnallite, sylvite and, tachyhydrite, with trace amounts of borates. The resources of the potash deposit on the Khorat Plateau could be approximately as much as 400x 10(9) t of carnallite and 7x 10(9) t of sylvite. The evaporite sequences have been deformed and altered by postdepositinal processes, including tectonic movements and chemical alteration. Salt domes were formed in the postdepositional processes. Based on the analyses of geophysical surveys and drilling projects, high-quality sylvinite ores are commonly found at the flanks of those salt domes due to incongruent dissolution of carnallite. The future potential prospecting areas for the high-quality sylvinite ores would be on the edges of the Khorat Plateau. (c) 2020 China Geology Editorial Office.</t>
  </si>
  <si>
    <t>[Shen, Li-jian] Chinese Acad Geol Sci, Inst Mineral Resources, Minist Nat Resources, Key Lab Metallogeny &amp; Mineral Assessment, Beijing 100037, Peoples R China; [Siritongkham, Nuchit] Minist Nat Resources &amp; Environm, Dept Mineral Resources, Mineral Resources Div, 75-10 Rama VI Rd, Bangkok 10400, Thailand</t>
  </si>
  <si>
    <t>Ministry of Natural Resources of the People's Republic of China; China Geological Survey; Chinese Academy of Geological Sciences; Department of Mineral Resources - Thailand</t>
  </si>
  <si>
    <t>National Key Project for Basic Research of China(National Basic Research Program of China); National Natural Science Foundation of China(National Natural Science Foundation of China (NSFC)); Geological Survey Project; Government of Thailand</t>
  </si>
  <si>
    <t>This study is finished through the cooperation project between China Geological Survey and Department of Mineral Resources (Thailand), and supported by the National Key Project for Basic Research of China (2011CB403007), the National Natural Science Foundation of China (41572067, 91855104, 41802111), the Geological Survey Project (DD20190437) and Mineral potential exploration and assessment for potash by the Government of Thailand. The authors are grateful to Cheng-lin Liu from Institute of Mineral Resources, Chinese Academy of Geological Sciences (IMR), Montri Luengingkasoot from Department of Mineral Resources (DMR), Thailand, Li-cheng Wang from Institute of Tibetan Plateau Research, Chinese Academy of Sciences, Anont Nontaso (DMR) and Wanitchaya Khadsri (DMR) for their support.</t>
  </si>
  <si>
    <t>CHINA GEOLOGY EDITORIAL OFFICE</t>
  </si>
  <si>
    <t>BEIJING</t>
  </si>
  <si>
    <t>NO 45 FUWAL ST, XICHENG DISTRICT, BEIJING, 100037, PEOPLES R CHINA</t>
  </si>
  <si>
    <t>2096-5192</t>
  </si>
  <si>
    <t>CHINA GEOL</t>
  </si>
  <si>
    <t>China Geol.</t>
  </si>
  <si>
    <t>MAR</t>
  </si>
  <si>
    <t>10.31035/cg2020009</t>
  </si>
  <si>
    <t>Geosciences, Multidisciplinary</t>
  </si>
  <si>
    <t>Emerging Sources Citation Index (ESCI)</t>
  </si>
  <si>
    <t>WOS:000536045700007</t>
  </si>
  <si>
    <t>Sein, Zin Mie Mie; Zhi, Xiefei</t>
  </si>
  <si>
    <t>Observed summer (May-October) rainfall in Myanmar for the period 1981-2010 was used to investigate the interannual variability of summer monsoon rainfall over Myanmar. Empirical orthogonal function, the sequential Mann-Kendall test, power spectrum analysis, and singular value decomposition (SVD) were deployed in the study. Results from spectral analysis showed that the variability of rainfall over Myanmar exhibits a 2-to 6-year cycle. An abrupt change in rainfall over the country was noted in 1992. There was a notable increasing rainfall trend from 1989. After the sudden change, the mean rainfall increased by 36.1 mm, compared with the mean rainfall before the sudden change, and was associated with a rise in temperature of about 0.2 degrees C. An increase in heavy rainfall days was observed from the early 1990s to 2010. IOD and ENSO play an important role in the interannual variability of the summer rainfall over Myanmar. The covariability between rainfall over Myanmar and Indian Ocean SST generally suggests that a positive IOD mode is associated with suppressed rainfall in the central and northern parts of Myanmar. During a negative IOD mode, nearly the whole Myanmar experiences enhanced rainfall, which is associated with devastating socioeconomic impacts. The covariability between the rainfall over Myanmar and the sea surface temperature in the Pacific Ocean in the first and second SVD modes was dominated by warming in the east and central Pacific-an El Nino-like pattern-resulting in dry conditions in central Myanmar.</t>
  </si>
  <si>
    <t>[Sein, Zin Mie Mie; Zhi, Xiefei] Nanjing Univ Informat Sci &amp; Technol, Coll Atmospher Sci, Nanjing 210044, Jiangsu, Peoples R China; [Sein, Zin Mie Mie] Dept Meteorol &amp; Hydrol, Nay Pyi Taw, Myanmar; [Zhi, Xiefei] CIC FEMD, Sci &amp; Technol Innovat Team East Asian Monsoon &amp;, Joint Int Res Lab Climate &amp; Environm Change ILCEC, Key Lab Meteorol Disasters,Minist Educ KLME, Nanjing 210044, Jiangsu, Peoples R China</t>
  </si>
  <si>
    <t>Nanjing University of Information Science &amp; Technology</t>
  </si>
  <si>
    <t>National Basic Research Program 973 of China(National Basic Research Program of China)</t>
  </si>
  <si>
    <t>This work was funded by the National Basic Research Program 973 of China (2012CB955200). The lead author is thankful to Chinese Scholarship Council and Nanjing University of Information Science and Technology for encouragement and for providing the necessary facilities to carry out this study. The authors also express their gratitude to ECMWF and NCEP/NCAR and Dr. Hrin Nei Thiam (Director General) of Department of Meteorology and Hydrology, Myanmar, for providing the data utilized in this study.</t>
  </si>
  <si>
    <t>1866-7511</t>
  </si>
  <si>
    <t>1866-7538</t>
  </si>
  <si>
    <t>ARAB J GEOSCI</t>
  </si>
  <si>
    <t>Arab. J. Geosci.</t>
  </si>
  <si>
    <t>10.1007/s12517-016-2502-y</t>
  </si>
  <si>
    <t>WOS:000376611000043</t>
  </si>
  <si>
    <t>Rangsiwanichpong, Prem; Kazama, So; Ekkawatpanit, Chaiwat</t>
  </si>
  <si>
    <t>We examined the variability of ocean indices and rainfall in the Chao Phraya River Basin. We used rescaled adjusted partial sums (RAPS) to analyse the relationship between rainfall and various ocean indices, such as the Southern Oscillation Index (SOI), sea surface temperature indices and the DipoleMode Index (DMI). Rainfall in the Chao Phraya River basin was strongly correlated with the SOI index. Furthermore, results of the analysis accounted for the location of the rainfall station and showed that rainfall in the high-latitude area of the Chao Phraya River Basin was most highly correlated with the SOI index. However, sea surface temperature (SST) indices were more highly correlated with rainfall than the SOI index in the low-latitude area.</t>
  </si>
  <si>
    <t>[Rangsiwanichpong, Prem] Tohoku Univ, Grad Sch Environm Studies, Sendai, Miyagi, Japan; [Kazama, So] Tohoku Univ, Grad Sch Engn, Sendai, Miyagi, Japan; [Ekkawatpanit, Chaiwat] King Mongkuts Univ Technol Thonburi, Fac Engn, Dept Civil Engn, Bangkok, Thailand</t>
  </si>
  <si>
    <t>Tohoku University; Tohoku University; King Mongkuts University of Technology Thonburi</t>
  </si>
  <si>
    <t>Advancing Co-design of Integrated Strategies with Adaptation to Climate Change (ADAP-T) of JST/JICA, SATREPS</t>
  </si>
  <si>
    <t>This study was supported by Advancing Co-design of Integrated Strategies with Adaptation to Climate Change (ADAP-T) of JST/JICA, SATREPS. This study was carried out by the Program for Leading Graduate Schools, Tohoku University and the 'Inter-Graduate School Doctoral Degree Program on Global Safety', of the Ministry of Education, Culture, Sports, Science and Technology. The authors wish to thank the Thai RID of Thailand and the Hydro and Agro Informatics Institute (HAII) for providing us with meteorological data.</t>
  </si>
  <si>
    <t>AUG</t>
  </si>
  <si>
    <t>10.1002/joc.4997</t>
  </si>
  <si>
    <t>WOS:000417298600017</t>
  </si>
  <si>
    <t>Nguyen Minh Truong; Bui Minh Tuan</t>
  </si>
  <si>
    <t>The present study explores the characteristics of the 20-60-day intraseasonal oscillation (ISO) in the 29-yr observed rainfall in north Vietnam (NVN), central Vietnam (CVN), and south Vietnam (SVN) in rainy seasons. Composite analyses reveal that the 20-60-day ISO in NVN accompanies dual vortices straddling Taiwan, which alternately favor and suppress convection extending from the northern Philippines to NVN. The wet phase in CVN coincides with convergence of northerly and easterly winds over the region. The large-scale pattern governing the 20-60-day ISO in SVN resembles the characteristics of the boreal summer ISO (BSISO). Conditionally unstable anomalies are observed within anomalous anticyclones where the moisture flux diverges out during the dry phase in NVN and SVN, and vice versa. Such anomalies prevent the existence of the anticyclones and finally replace them with anomalous cyclones to start the wet phase. The unstable anomalies could result from descending motion that increases the boundary layer temperature due to adiabatic compression of air. Conversely, boundary layer cooling due to evaporation of rain and interception of solar radiation by clouds produces stable anomalies. The unstable anomalies, moisture flux convergence, and vertical motions shift northward from the convection maximum, leading to the northward propagation of the BSISO convection. The 20-60-day ISO in CVN is not governed by local instability. Vertical cross sections indicate that the ISO in SVN possesses a westward-tilting structure, which is not observed in the NVN and CVN case.</t>
  </si>
  <si>
    <t>[Nguyen Minh Truong; Bui Minh Tuan] Hanoi Univ Sci, Hanoi, Vietnam</t>
  </si>
  <si>
    <t>Vietnam National University Hanoi</t>
  </si>
  <si>
    <t>Vietnam National Foundation for Science and Technology Development (NAFOSTED)(National Foundation for Science &amp; Technology Development (NAFOSTED))</t>
  </si>
  <si>
    <t>This research was funded by the Vietnam National Foundation for Science and Technology Development (NAFOSTED) under Grant 105.06-2015.03. The ECMWF reanalysis data are available at http://apps.ecmwf.int/datasets/data/interim-full-daily/levtype=pl/.The daily outgoing longwave radiation data were provided by NOAA at http://www.esrl.noaa.gov/psd/data/gridded/data.interp_OLR.html.The authors declare no conflict of interest.</t>
  </si>
  <si>
    <t>10.1175/JCLI-D-18-0239.1</t>
  </si>
  <si>
    <t>WOS:000476762600005</t>
  </si>
  <si>
    <t>D'Arrigo, Rosanne; Ummenhofer, Caroline C.</t>
  </si>
  <si>
    <t>We show evidence for the influence of the Pacific Decadal Oscillation (PDO) on Myanmar's monsoonal hydroclimate using both instrumental and 20th century reanalysis data, and a tree-ring width chronology from Myanmar's central Dry Zone. The regime shifts' identified in the instrumental PDO for the past century are clearly evident in the Myanmar teak. The teak record and PDO index correlate most significantly and positively during December-May, at r=0.41 (0.002, n = 109). We generated composite climate anomalies for southern Asia and adjacent ocean areas during negative and positive PDO phases and above/below average teak growth for the May-September wet monsoon season. They show that negative (positive) PDO phases correspond to dry (wet) conditions, due to reduced (enhanced) moisture flux into central Myanmar. Multitaper Method (MTM) and Singular Spectrum Analysis (SSA) spectral analyses reveal considerable multidecadal variability over the past several centuries of the teak chronology, consistent with the PDO.</t>
  </si>
  <si>
    <t>[D'Arrigo, Rosanne] Lamont Doherty Earth Observ, Tree Ring Lab, Palisades, NY 10964 USA; [Ummenhofer, Caroline C.] Woods Hole Oceanog Inst, Dept Phys Oceanog, Woods Hole, MA 02543 USA</t>
  </si>
  <si>
    <t>Columbia University; Woods Hole Oceanographic Institution</t>
  </si>
  <si>
    <t>National Science Foundation(National Science Foundation (NSF)); DOE(United States Department of Energy (DOE)); WHOI; Directorate For Geosciences; Div Atmospheric &amp; Geospace Sciences(National Science Foundation (NSF)NSF - Directorate for Geosciences (GEO)); U.S. Department of Energy (DOE)(United States Department of Energy (DOE))</t>
  </si>
  <si>
    <t>This project was funded by the National Science Foundation Paleoclimate and P2C2 programmes (Grants AGS-1304245, AGS-1303976; AGS-1159430) and DOE DE-SC0006616. C. C. U. acknowledges support from the Penzance and John P. Chase Memorial Endowed Funds at WHOI. We thank Nyi Nyi Kyaw, Jonathan Palmer and Paul Krusic for their valuable participation in this research. We also gratefully acknowledge the cooperation of our colleagues at the Forest Research Institute, Yezin, Myanmar. We thank Z. Myint for assistance with fieldwork, and P. Fenwick for processing of tree-ring data. We acknowledge use of NOAA 20th Century reanalysis and GPCC Precipitation data, NOAA/OAR/ESRL PSD, Boulder, Colorado (http://www.esrl.noaa.gov/psd/) and HadISST by the UK Met Office. LDEO Contribution No. 7771.</t>
  </si>
  <si>
    <t>MAR 30</t>
  </si>
  <si>
    <t>10.1002/joc.3995</t>
  </si>
  <si>
    <t>WOS:000351608900011</t>
  </si>
  <si>
    <t>Kefi, Mohamed; Mishra, Binaya Kumar; Masago, Yoshifumi; Fukushi, Kensuke</t>
  </si>
  <si>
    <t>The sustainability and efficiency of flood risk management depends on the assessment of flood hazards and on the quantification of flood damage. Under the conditions of climate change and rapid urbanization, the evaluation of flood risk can lead to the success of adaptation strategies. The main objectives of this study are the estimation of future direct flood damage in two urban watersheds: The Pasig-Marikina-San Juan River in Metro Manila, Philippines, and the Ciliwung River in Jakarta, Indonesia, as well as the determination of the relation between factors that drive floods and flood damage. A spatial analysis approach based on the integration of several parameters, such as flood hazard, climate, and property value, was applied using a Geographic Information System (GIS). The flood depth-damage function generated from the field surveys was employed for the analysis to identify the spatial distribution of flood loss. The findings showed that, under future scenarios (target year: 2030), the total flood damage will increase by 212% and 80% in the target areas of Manila and Jakarta, respectively, compared to the current scenarios. This growth is due to the higher level of extreme rainfall events and to the degree of urbanization in the future. A comparative analysis of the two study areas highlighted the significant effects of the level of water depth and the inundated areas on flood damage, depending on the sites. This study is useful for local decision makers to implement suitable strategies for urban planning and flood control.</t>
  </si>
  <si>
    <t>[Kefi, Mohamed] Ctr CERTE, Lab Desalinat &amp; Nat Water Valorisat Water Res &amp; T, Technopk Borj Cedria,BP 273, Soliman 8020, Tunisia; [Mishra, Binaya Kumar] Pokhara Univ, Fac Sci &amp; Technol, Sch Engn, Pokhara 30, Kaski, Nepal; [Masago, Yoshifumi] Natl Inst Environm Studies, Ctr Climate Change Adaptat, Tsukuba, Ibaraki 3058506, Japan; [Fukushi, Kensuke] Univ Tokyo, Inst Future Initiat, Bunkyo Ku, 7-3-1 Hongo, Tokyo 1130033, Japan; [Kefi, Mohamed; Mishra, Binaya Kumar; Masago, Yoshifumi; Fukushi, Kensuke] United Nations Univ, Inst Adv Study Sustainabil, Shibuya Ku, 5-53-70 Jingumae, Tokyo 1508925, Japan</t>
  </si>
  <si>
    <t>National Institute for Environmental Studies - Japan; University of Tokyo; United Nations University</t>
  </si>
  <si>
    <t>Japan Society for the Promotion of Science as Overseas researcher under Postdoctoral Fellowship of JSPS(Ministry of Education, Culture, Sports, Science and Technology, Japan (MEXT)Japan Society for the Promotion of Science); Water and Urban Initiative project of the United Nations University Institute for the Advanced Study of Sustainability (UNU-IAS), Tokyo, Japan; Austrian Science Fund (FWF)(Austrian Science Fund (FWF))</t>
  </si>
  <si>
    <t>This research was supported by the Japan Society for the Promotion of Science as Overseas researcher under Postdoctoral Fellowship of JSPS (Fellowship P16790). This work was also supported by the Water and Urban Initiative project of the United Nations University Institute for the Advanced Study of Sustainability (UNU-IAS), Tokyo, Japan.</t>
  </si>
  <si>
    <t>DEC</t>
  </si>
  <si>
    <t>10.1007/s11069-020-04281-5</t>
  </si>
  <si>
    <t>WOS:000568162700004</t>
  </si>
  <si>
    <t>Sengupta, Agniv; Nigam, Sumant</t>
  </si>
  <si>
    <t>The northeast monsoon (NEM) brings the bulk of annual rainfall to southeastern peninsular India, Sri Lanka, and the neighboring Southeast Asian countries. This October-December monsoon is referred to as the winter monsoon in this region. In contrast, the southwest summer monsoon brings bountiful rainfall to the Indo-Gangetic Plain. The winter monsoon region is objectively demarcated from analysis of the timing of peak monthly rainfall. Because of the region's complex terrain, in situ precipitation datasets are assessed using high-spatiotemporal-resolution Tropical Rainfall Measuring Mission (TRMM) rainfall estimates, prior to their use in monsoon evolution, variability, and trend analyses. The Global Precipitation Climatology Center's in situ analysis showed the least bias from TRMM.El Nino-Southern Oscillation's (ENSO) impact on NEM rainfall is shown to be significant, leading to stronger NEM rainfall over southeastern peninsular India and Sri Lanka but diminished rainfall over Thailand, Vietnam, and the Philippines. The impact varies subseasonally, being weak in October and strong in November. The positive anomalies over peninsular India are generated by anomalous anticyclonic flow centered over the Bay of Bengal, which is forced by an El Nino-related reduction in deep convection over the Maritime Continent.The historical twentieth-century climate simulations informing the Intergovernmental Panel on Climate Change's Fifth Assessment (IPCC-AR5) show varied deficiencies in the NEM rainfall distribution and a markedly weaker (and often unrealistic) ENSO-NEM rainfall relationship.</t>
  </si>
  <si>
    <t>[Sengupta, Agniv; Nigam, Sumant] Univ Maryland, Dept Atmospher &amp; Ocean Sci, College Pk, MD 20742 USA</t>
  </si>
  <si>
    <t>University System of Maryland; University of Maryland College Park</t>
  </si>
  <si>
    <t>U.S. National Science Foundation (NSF)(National Science Foundation (NSF)); India's National Monsoon Mission; U.S. NSF(National Science Foundation (NSF))</t>
  </si>
  <si>
    <t>The authors gratefully acknowledge the support of the U.S. National Science Foundation (NSF) through Grant AGS1439940. Author AS thanks India's National Monsoon Mission and the U.S. NSF for supporting his doctoral studies and research at the University of Maryland. Both authors thank Dr. Alfredo Ruiz-Barradas and Natalie Thomas for their help in assessing the statistical significance of rainfall regressions and trends, Dr. Hisashi Nakamura for his editorial guidance, and two anonymous reviewers for their comments that helped to improve the paper.</t>
  </si>
  <si>
    <t>10.1175/JCLI-D-18-0034.1</t>
  </si>
  <si>
    <t>WOS:000453367100002</t>
  </si>
  <si>
    <t>Abdillah, Muhammad Rais; Sarli, Prasanti Widyasih; Firmansyah, Hafidz Rizky; Sakti, Anjar Dimara; Fajary, Faiz Rohman; Muharsyah, Robi; Sudarman, Gian Gardian</t>
  </si>
  <si>
    <t>Wind-related disasters are one of the most frequent disasters in Indonesia. It can cause severe damages of residential construction, especially in the world's most populated island of Java. Understanding the characteristics of extreme winds is crucial for mitigating the disasters and for defining structural design standards. This study investigated the spatiotemporal variations of extreme winds and pioneered a design wind map in Indonesia by focusing on western Java. Based on gust data observed in recent years from 24 stations, the extreme winds exhibit a clear annual cycle where northwestern and southeastern sides of western Java show out-of-phase relationship due to reversal monsoons. Meanwhile, extreme wind occurrences are mostly affected by small-scale weather systems, regardless of seasons and locations. To build the wind map, we used bias-corrected gust from ERA5 and applied the Gumbel method to predict extreme winds with different return periods. The wind map highlights some drawbacks of the current national design standards, which use single wind speed values regardless of location and return period. Beside a fundamental improvement for wind design, this study will benefit disaster risk mapping and other applications that require extreme wind speed distribution.</t>
  </si>
  <si>
    <t>[Abdillah, Muhammad Rais; Fajary, Faiz Rohman] Inst Teknol Bandung, Fac Earth Sci &amp; Technol, Atmospher Sci Res Grp, Bandung 40132, Indonesia; [Sarli, Prasanti Widyasih] Inst Teknol Bandung, Fac Civil &amp; Environm Engn, Struct Engn Res Grp, Bandung 40132, Indonesia; [Sarli, Prasanti Widyasih] Inst Teknol Bandung, Ctr Infrastruct &amp; Built Environm, Bandung 40132, Indonesia; [Firmansyah, Hafidz Rizky] Inst Teknol Bandung, Fac Civil &amp; Environm Engn, Civil Engn Dept, Bandung 40132, Indonesia; [Sakti, Anjar Dimara] Inst Teknol Bandung, Fac Earth Sci &amp; Technol, Remote Sensing &amp; Geog Informat Sci Res Grp, Bandung 40132, Indonesia; [Sakti, Anjar Dimara] Inst Teknol Bandung, Ctr Remote Sensing, Bandung 40132, Indonesia; [Muharsyah, Robi] Agcy Meteorol Climatol &amp; Geophys Republ Indonesia, Ctr Climate Change &amp; Informat, Jakarta 10720, Indonesia; [Sudarman, Gian Gardian] Agcy Meteorol Climatol &amp; Geophys Republ Indonesia, Subdiv Execut Secretary Adm, Jakarta 10720, Indonesia; [Sudarman, Gian Gardian] Inst Teknol Bandung, Fac Earth Sci &amp; Technol, Earth Sci Dept, Bandung 40132, Indonesia</t>
  </si>
  <si>
    <t>Institute Technology of Bandung; Institute Technology of Bandung; Institute Technology of Bandung; Institute Technology of Bandung; Institute Technology of Bandung; Institute Technology of Bandung; Indonesian Agency for Meteorology, Climatology &amp; Geophysics; Indonesian Agency for Meteorology, Climatology &amp; Geophysics; Institute Technology of Bandung</t>
  </si>
  <si>
    <t>Institute of Research and Community Service, Institut Teknologi Bandung; UKRI Natural Environment Research Council (NERC)(UK Research &amp; Innovation (UKRI)Natural Environment Research Council (NERC))</t>
  </si>
  <si>
    <t>We thank the two anonymous reviewers and the editor for their constructive comments on the early version of this article. This project was funded by the Institute of Research and Community Service, Institut Teknologi Bandung. We also thank the Java Flood One research project funded by the Newton Fund of the UKRI Natural Environment Research Council (NERC) and the Indonesian Ministry of Education and Culture for providing the additional station data.</t>
  </si>
  <si>
    <t>10.1007/s13753-022-00420-7</t>
  </si>
  <si>
    <t>WOS:000812165800001</t>
  </si>
  <si>
    <t>Satyanarayana, G. China; Dodla, Venkata Bhaskar Rao; Srinivas, Desamsetti</t>
  </si>
  <si>
    <t>The characteristics of the southwest monsoon (SWM) rainfall over Myanmar were studied using APHRODITE gridded daily rainfall datasets for the period 1951-2010. Myanmar, being an agrarian economy, is predominantly dependent on the SWM rainfall. The spatial distribution of rainfall (rainy days) has shown higher rainfall of 2,000 mm (&gt;140 rainy days) over southwest parts, rainfall of similar to 1,000 mm (100-120 days) over north and eastern parts and an arid zone with rainfall of less than approximately 500 mm (&lt;80 days) over west central parts, all indicating earlier onset over the southwest and late onset over the northeast. Analysis of the rainfall and rainy days between the two 30 year periods 1951-1980 and 1981-2010 representative of the pre-global warming and global warming periods showed a reduction of rainfall by 100 mm and 5-10 rainy days during the later period of global warming. The Climate Research Unit and Global Precipitation Climatology Project rainfall datasets and the Geophysical Fluid Dynamics Laboratory Earth System global model simulated rainfall data for the current climate period exhibited a similar decline of SWM rainfall over major parts of Myanmar. The results indicated a 20% reduction in the mean westerly strength over south Myanmar in the global warming period, which was related to a decrease of the meridional gradient of sea surface temperatures over the Bay of Bengal. This study establishes two distinct rainfall zones in the southwest and northeast over Myanmar and a reduction of rainfall in the recent global warming period that will lead to a reduction in agriculture production.</t>
  </si>
  <si>
    <t>[Satyanarayana, G. China; Dodla, Venkata Bhaskar Rao; Srinivas, Desamsetti] KL Univ, Ctr Atmospher Sci, Guntur, Andhra Pradesh, India</t>
  </si>
  <si>
    <t>Koneru Lakshmaiah Education Foundation (K L Deemed to be University)</t>
  </si>
  <si>
    <t>SERB, Government of India</t>
  </si>
  <si>
    <t>The authors acknowledge the sources of data from APHRO-DITE, the National Centers for Environmental Prediction/National Center for Atmospheric Research, the Climate Research Unit and the Global Precipitation Climatology Project. This work was a part of a project funded by SERB, Government of India, under grant no. ECR/2016/001295.</t>
  </si>
  <si>
    <t>1350-4827</t>
  </si>
  <si>
    <t>1469-8080</t>
  </si>
  <si>
    <t>METEOROL APPL</t>
  </si>
  <si>
    <t>Meteorol. Appl.</t>
  </si>
  <si>
    <t>10.1002/met.1816</t>
  </si>
  <si>
    <t>WOS:000476122600001</t>
  </si>
  <si>
    <t>Pattnayak, K. C.; Kar, S. C.; Dalal, Mamta; Pattnayak, R. K.</t>
  </si>
  <si>
    <t>Bay of Bengal Initiative for Multi-Sectoral Technical and Economic Cooperation (BIMSTEC) comprising Bangladesh, Bhutan, India, Myanmar, Nepal, Sri Lanka and Thailand brings together 21% of the world population. Thus the impact of climate change in this region is a major concern for all. To study the climate change, fifth phase of Climate Model Inter-comparison Project (CMIP5) models have been used to project the climate for the 21st century under the Representative Concentration Pathways (RCPs) 4.5 and 8.5 over the BIMSTEC countries for the period 1901 to 2100 (initial 105 years are historical period and the later 95 years are projected period). Climate change in the projected period has been examined with respect to the historical period. In order to validate the models, the mean annual rainfall has been compared with observations from multiple sources and temperature has been compared with the data from Climatic Research Unit (CRU) during the historical period. Comparison reveals that ensemble mean of the models is able to represent the observed spatial distribution of rainfall and temperature over the BIMSTEC countries. Therefore, data from these models may be used to study the future changes in the 21st century. Four out of six models show that the rainfall over India, Thailand and Myanmar has decreasing trend and Bangladesh, Bhutan, Nepal and Sri Lanka show an increasing trend in both the RCP scenarios. In case of temperature, all the models show an increasing trend over all the BIMSTEC countries in both the scenarios, however, the rate of increase is relatively less over Sri Lanka than the other countries. The rate of increase/decrease in rainfall and temperature are relatively more in RCP8.5 than RCP4.5 over all these countries. Inter-model comparison show that there are uncertainties within the CMIP5 model projections. More similar studies are required to be done for better understanding the model uncertainties in climate projections over this region. (C) 2017 Elsevier B.V. All rights reserved.</t>
  </si>
  <si>
    <t>[Pattnayak, K. C.; Kar, S. C.] Natl Ctr Medium Range Weather Forecasting, Noida, India; [Pattnayak, K. C.] Univ Leeds, Sch Geog, Leeds, W Yorkshire, England; [Dalal, Mamta] IIT Delhi, CAS, Hauz Khas, New Delhi, India; [Pattnayak, R. K.] Dhansuli SS Sch, Nabarangpur, Orissa, India</t>
  </si>
  <si>
    <t>Ministry of Earth Sciences (MoES) - India; National Centre for Medium Range Weather Forecasting (NCMRWF); University of Leeds; Indian Institute of Technology System (IIT System); Indian Institute of Technology (IIT) - Delhi</t>
  </si>
  <si>
    <t>0921-8181</t>
  </si>
  <si>
    <t>1872-6364</t>
  </si>
  <si>
    <t>GLOBAL PLANET CHANGE</t>
  </si>
  <si>
    <t>Glob. Planet. Change</t>
  </si>
  <si>
    <t>10.1016/j.gloplacha.2017.03.005</t>
  </si>
  <si>
    <t>Geography, Physical; Geosciences, Multidisciplinary</t>
  </si>
  <si>
    <t>WOS:000403626400013</t>
  </si>
  <si>
    <t>Gardiner, Nicholas J.; Robb, Laurence J.; Morley, Christopher K.; Searle, Michael P.; Cawood, Peter A.; Whitehouse, Martin J.; Kirkland, Christopher L.; Roberts, Nick M. W.; Tin Aung Myint</t>
  </si>
  <si>
    <t>Myanmar is perhaps one of the world's most prospective but least explored minerals jurisdictions, containing important known deposits of tin, tungsten, copper, gold, zinc, lead, nickel, silver, jade and gemstones. A scarcity of recent geological mapping available in published form, coupled with an unfavourable political climate, has resulted in the fact that, although characterized by several world-class deposits, the nation's mineral resource sector is underdeveloped. As well as representing a potential new search space for a range of commodities, many of Myanmar's known existing mineral deposits remain highly prospective. Myanmar lies at a crucial geologic juncture, immediately south of the Eastern Himalayan Syntaxis, however it remains geologically enigmatic. Its Mesozoic-Recent geological history is dominated by several orogenic events representing the closing of the Tethys Ocean. We present new zircon U-Pb age data related to several styles of mineralization within Myanmar. We outline a tectonic model for Myanmar from the Late Cretaceous onwards, and document nine major mineralization styles representing a range of commodities found within the country. We propose a metallogenetic model that places the genesis of many of these metallotects within the framework of the subduction and suturing of Neo-Tethys and the subsequent Himalayan Orogeny. Temporal overlap of favourable conditions for the formation of particular deposit types during orogenic progression permits the genesis of differing metallotects during the same orogenic event. We suggest the evolution of these favourable conditions and resulting genesis of much of Myanmar's mineral deposits, represents a single, evolving, mineral system: the subduction and suturing of Neo-Tethys. (C) 2016 Elsevier B.V. All rights reserved.</t>
  </si>
  <si>
    <t>[Gardiner, Nicholas J.; Robb, Laurence J.; Searle, Michael P.] Univ Oxford, Dept Earth Sci, Oxford OX1 3AN, England; [Morley, Christopher K.] Chiang Mai Univ, Dept Geol Sci, Chiang Mai, Thailand; [Morley, Christopher K.] PPT Explorat &amp; Prod, Vibhavadi Rangsit Rd,Soi 11, Bangkok 10900, Thailand; [Cawood, Peter A.] Univ St Andrews, Dept Earth Sci, North St, St Andrews KY16 9AL, Fife, Scotland; [Whitehouse, Martin J.] Swedish Museum Nat Hist, Box 50007, SE-10405 Stockholm, Sweden; [Whitehouse, Martin J.] Nord Ctr Earth Evolut, Box 50007, SE-10405 Stockholm, Sweden; [Kirkland, Christopher L.] Curtin Univ, Western Australian Sch Mines, Dept Appl Geol, Ctr Explorat Targeting Curtin Node, Perth, WA 6845, Australia; [Roberts, Nick M. W.] British Geol Survey, NERC Isotope Geosci Lab, Keyworth NG12 5GG, Notts, England; [Tin Aung Myint] Mandalay Univ, Dept Geol, Mandalay, Myanmar</t>
  </si>
  <si>
    <t>University of Oxford; Chiang Mai University; University of St Andrews; Swedish Museum of Natural History; Curtin University; UK Research &amp; Innovation (UKRI); Natural Environment Research Council (NERC); NERC British Geological Survey</t>
  </si>
  <si>
    <t>Oxford University Fell Fund; Highland Metals Pte Ltd.; NIGFSC grant; Geological Survey of Finland; Swedish Museum of Natural History</t>
  </si>
  <si>
    <t>We are indebted to Andrew Mitchell both for his pioneering work on, and for introducing us to, the geology and mineral deposits of Myanmar. NJG acknowledges the Oxford University Fell Fund (Ref. DGD07260) and Highland Metals Pte Ltd. for financial support. Analytical support at NIGL was funded through NIGFSC grant IP-1554-0515. U Nyunt Htay is acknowledged for the sample from Yadanabon Mine. We thank Dave Sansom for drafting figures; U Kyi Htun for assistance with field logistics; Daw Than Than Nu and U Ne Lin for accompanying us to Mogok; Thu Htet Aung and Win Zaw for driving and navigation on various trips; U Htun Lynn Shein for general support of our Myanmar work. The NordSIM facility is operated under an agreement between the research funding agencies of Denmark, Iceland, Norway and Sweden, the Geological Survey of Finland and the Swedish Museum of Natural History, and we thank Kerst in Linden and Lev Ilyinsky for NordSIM technical support. We thank Tony Barber and Michael Crow for insightful reviews, plus an anonymous reviewer for comments on an earlier version of this manuscript, all of which have greatly improved this work. We are grateful to Franco Pirajno for editorial handling.</t>
  </si>
  <si>
    <t>ELSEVIER SCIENCE BV</t>
  </si>
  <si>
    <t>PO BOX 211, 1000 AE AMSTERDAM, NETHERLANDS</t>
  </si>
  <si>
    <t>0169-1368</t>
  </si>
  <si>
    <t>1872-7360</t>
  </si>
  <si>
    <t>ORE GEOL REV</t>
  </si>
  <si>
    <t>Ore Geol. Rev.</t>
  </si>
  <si>
    <t>10.1016/j.oregeorev.2016.04.024</t>
  </si>
  <si>
    <t>Geology; Mineralogy; Mining &amp; Mineral Processing</t>
  </si>
  <si>
    <t>WOS:000381832500002</t>
  </si>
  <si>
    <t>Sokneth, Lim; Mohanasundaram, S.; Shrestha, Sangam; Babel, Mukand S.; Virdis, Salvatore G. P.</t>
  </si>
  <si>
    <t>Groundwater exploitation for different sectors in Cambodia is expanding. Groundwater levels have already begun to decline in some parts of the country. Monitoring and assessing groundwater storage (GWS) change, aquifer stress and aquifer resilience will support the proper planning and management of the country's groundwater resources; however, information regarding groundwater in Cambodia is currently scarce. Thus, GWS change in Cambodia over the 15 years from April 2002 to March 2017 was assessed using remote-sensing-based Gravity Recovery and Climate Experiment (GRACE) and Global Land Data Assimilation System (GLDAS) datasets, with a comprehensive validation of the GRACE-derived groundwater storage anomaly (GWSA) with respect to in-situ field-based observations. The current study also investigated the impact of surface water storage (SWS) change in Tonle Sap Lake, South-East Asia's largest freshwater lake, on deriving the GWS change in Cambodia. The groundwater aquifer stresses (GAS), and aquifer resilience (AR) were also evaluated. The validation results were promising, with the correlation coefficient between satellite-based estimations and ground-based measurements ranging from 0.82 to 0.88 over four subbasins. The overall decreasing rate of GWS was found to be -0.63 mm/month, with two basins having the highest declining rate of more than 1.4 mm/month. Meanwhile, the aquifer experiencing stress during the dry season had a very low ability to quickly recover from these stresses. These findings emphasise that appropriate management is urgently needed to ensure the sustainability of the groundwater resource system in this country.</t>
  </si>
  <si>
    <t>[Sokneth, Lim; Mohanasundaram, S.; Shrestha, Sangam; Babel, Mukand S.; Virdis, Salvatore G. P.] Asian Inst Technol, Water Engn &amp; Management, Pathum Thani 12120, Thailand</t>
  </si>
  <si>
    <t>Asian Institute of Technology</t>
  </si>
  <si>
    <t>US State Department</t>
  </si>
  <si>
    <t>We would like to acknowledge the US State Department funded project, NexView, and the Mekong River Commission (MRC) for sharing groundwater levels and Tonle Sap Lake water level datasets, respectively.</t>
  </si>
  <si>
    <t>1431-2174</t>
  </si>
  <si>
    <t>1435-0157</t>
  </si>
  <si>
    <t>HYDROGEOL J</t>
  </si>
  <si>
    <t>Hydrogeol. J.</t>
  </si>
  <si>
    <t>10.1007/s10040-022-02570-w</t>
  </si>
  <si>
    <t>Geosciences, Multidisciplinary; Water Resources</t>
  </si>
  <si>
    <t>WOS:000884944300001</t>
  </si>
  <si>
    <t>Singh, Ksh Atamajit; Singh, Y. Raghumani; Devi, S. Ranjeeta; Singh, B. P.; Srivastava, V. K.</t>
  </si>
  <si>
    <t>This paper highlights the depositional environments of the Surma Group of the northwestern Manipur in the Indo-Myanmar Ranges. These sequences represent the molasse sedimentary succession of the Indo-Myanmar Ranges (IMR) and their depositional environments have been assessed by means of field observations and reinforced with palynology supported with mineralogy. Thinly bedded silty shale and laminated shale with planar beddings suggest that the sedimentation took place in a quiet-water environment. A tropical-subtropical climate linked with humid phase and heavy rainfall is inferred from fungal remains (fruiting bodies, spores and hyphae), pteridophyte spores and angiosperm pollen. The palynotaxa Hammenisporis spp., Proxaperties sp., Polypodiisporites and Polypodiaceasporites sp. suggest the depositional environment of Surma Group to be a fresh water swamp. The occurrence of kaolinite in some samples again suggests the humid climate of low latitude. Thus, the shallow freshwater realm in a well-oxygenated condition deposited the sedimentary sequences of the Surma Group.</t>
  </si>
  <si>
    <t>[Singh, Ksh Atamajit; Singh, Y. Raghumani; Devi, S. Ranjeeta] Manipur Univ, Dept Earth Sci, Imphal 795003, Manipur, India; [Singh, B. P.; Srivastava, V. K.] Banaras Hindu Univ, CAS Geol, Varanasi 221005, Uttar Pradesh, India</t>
  </si>
  <si>
    <t>Manipur University; Banaras Hindu University (BHU)</t>
  </si>
  <si>
    <t>Science and Engineering Research Board (SERB), New Delhi; Oil India Limited</t>
  </si>
  <si>
    <t>The authors express thanks to the Head, Department of Earth Sciences, Manipur University, Imphal for providing the necessary facilities. Author (YRS) thanks to Science and Engineering Research Board (SERB), New Delhi (Project No. EEQ/2016/000062) and Oil India Limited (Contract No. 6111262) for financial assistance in form of research project. The authors sincerely acknowledge to Mr. Venus Guruaribam and Miss Reshma Naorem (Research Scholars) Department of Earth Sciences, Manipur for their support during maceration and field work.</t>
  </si>
  <si>
    <t>WADIA INST HIMALAYAN GEOLOGY</t>
  </si>
  <si>
    <t>DEHRA DUN</t>
  </si>
  <si>
    <t>33 GENERAL MAHADEO SINGH RD, DEHRA DUN, 248 001, INDIA</t>
  </si>
  <si>
    <t>0971-8966</t>
  </si>
  <si>
    <t>HIMAL GEOL</t>
  </si>
  <si>
    <t>Himal. Geol.</t>
  </si>
  <si>
    <t>WOS:000489937100008</t>
  </si>
  <si>
    <t>Hasan, Dk. Siti Nurul Ain binti Pg. Ali; Ratnayake, Uditha; Shams, Shahriar; Nayan, Zuliana Binti Hj; Rahman, Ena Kartina Abdul</t>
  </si>
  <si>
    <t>Climate is changing and evidence suggests that the impact of climate change would influence our everyday lives, including agriculture, built environment, energy management, food security and water resources. Brunei Darussalam located within the heart of Borneo will be affected both in terms of precipitation and temperature. Therefore, it is crucial to comprehend and assess how important climate indicators like temperature and precipitation are expected to vary in the future in order to minimise its impact. This study assesses the application of a statistical downscaling model (SDSM) for downscaling General Circulation Model (GCM) results for maximum and minimum temperatures along with precipitation in Brunei Darussalam. It investigates future climate changes based on numerous scenarios using Hadley Centre Coupled Model, version 3 (HadCM3), Canadian Earth System Model (CanESM2) and third-generation Coupled Global Climate Model (CGCM3) outputs. The SDSM outputs were improved with the implementation of bias correction and also using a monthly sub-model instead of an annual sub-model. The outcomes of this assessment show that monthly sub-model performed better than the annual sub-model. This study indicates a satisfactory applicability for generation of maximum temperatures, minimum temperatures and precipitation for future periods of 2017-2046 and 2047-2076. All considered models and the scenarios were consistent in predicting increasing trend of maximum temperature, increasing trend of minimum temperature and decreasing trend of precipitations. Maximum overall trend of Tmax was also observed for CanESM2 with Representative Concentration Pathways (RCP) 8.5 scenario. The increasing trend is 0.014 degrees C per year. Accordingly, by 2076, the highest prediction of average maximum temperatures is that it will increase by 1.4 degrees C. The same model predicts an increasing trend of Tmin of 0.004 degrees C per year, while the highest trend is seen under CGCM3-A2 scenario which is 0.009 degrees C per year. The highest change predicted for the Tmin is therefore 0.9 degrees C by 2076. The precipitation showed a maximum trend of decrease of 12.7 mm year. It is also seen in the output using CanESM2 data that precipitation will be more chaotic with some reaching 4800 mm per year and also producing low rainfall about 1800 mm per year. All GCMs considered are consistent in predicting it is very likely that Brunei is expected to experience more warming as well as less frequent precipitation events but with a possibility of intensified and drastically high rainfalls in the future.</t>
  </si>
  <si>
    <t>[Hasan, Dk. Siti Nurul Ain binti Pg. Ali; Ratnayake, Uditha; Shams, Shahriar; Nayan, Zuliana Binti Hj; Rahman, Ena Kartina Abdul] Univ Teknol Brunei, Fac Engn, Civil Engn Programme Area, Jalan Tungku Link, BE-1410 Gadong, Brunei</t>
  </si>
  <si>
    <t>University of Technology Brunei</t>
  </si>
  <si>
    <t>Brunei Research Council (BRC); Department of Economic Planning and Development (DEPD) of Brunei</t>
  </si>
  <si>
    <t>We acknowledge that this study comprises of part of the research work of the first author conducted at Universiti Teknologi Brunei (UTB). We would like to thank the Department of Brunei Darussalam Meteorological Services for giving access to long-term temperature and precipitation data to conduct the research. Additionally, we would like to express our gratitude and thanks to the developers of SDSM program for providing this model. We would also like to express our deepest gratitude to Brunei Research Council (BRC), Department of Economic Planning and Development (DEPD) of Brunei for funding this project and UTB for giving permission to conduct this research.</t>
  </si>
  <si>
    <t>SPRINGER WIEN</t>
  </si>
  <si>
    <t>WIEN</t>
  </si>
  <si>
    <t>SACHSENPLATZ 4-6, PO BOX 89, A-1201 WIEN, AUSTRIA</t>
  </si>
  <si>
    <t>0177-798X</t>
  </si>
  <si>
    <t>1434-4483</t>
  </si>
  <si>
    <t>THEOR APPL CLIMATOL</t>
  </si>
  <si>
    <t>Theor. Appl. Climatol.</t>
  </si>
  <si>
    <t>1-2</t>
  </si>
  <si>
    <t>10.1007/s00704-017-2172-z</t>
  </si>
  <si>
    <t>WOS:000436245600028</t>
  </si>
  <si>
    <t>Tan, Mou Leong; Chua, Vivien P.; Li, Cheng; Brindha, K.</t>
  </si>
  <si>
    <t>Assessment ofhistorical hydro-meteorological drought is important to develop a robust drought monitoring and prediction system. This study aims to assess the historical hydro-meteorological drought of the Johor River Basin (JRB) from 1975 to 2010, an important basin for the population of southern Peninsular Malaysia and Singapore. The Standardized Precipitation Index (SPI) and Standardized Streamflow Index (SSI) were selected to represent the meteorological and hydrological droughts, respectively. Four absolute homogeneity tests were used to assess the rainfall data from 20 stations, and two stations were flagged by these tests. Results indicate the SPI duration to be comparatively low (3months), and drier conditions occur over the upper JRB. The annual SSI had a strong decreasing trend at 95% significance level, showing that human activities such as reservoir construction and agriculture (oil palm) have a major influence on streamflow in the middle and lower basin. In addition, moderate response rate of SSI to SPI was found, indicating that hydrological drought could also have occurred in normal climate condition. Generally, the El Nino-Southern Oscillation and Madden Julian Oscillation have greater impacts on drought events in the basin. Findings of this study could be beneficial for future drought projection and water resources management.</t>
  </si>
  <si>
    <t>[Tan, Mou Leong] Univ Sains Malaysia, Sch Humanities, Geog Sect, George Town 11800, Malaysia; [Tan, Mou Leong; Chua, Vivien P.] Natl Univ Singapore, Dept Civil &amp; Environm Engn, 1 Engn Dr 2, Singapore 117576, Singapore; [Li, Cheng] Yangzhou Univ, Sch Hort &amp; Plant Protect, Dept Ecol, Yangzhou 225009, Jiangsu, Peoples R China; [Brindha, K.] Free Univ Berlin, Inst Geol Sci, Hydrogeol Grp, Berlin, Germany</t>
  </si>
  <si>
    <t>Universiti Sains Malaysia; National University of Singapore; Yangzhou University; Free University of Berlin</t>
  </si>
  <si>
    <t>Ministry of Education, Singapore(Ministry of Education, Singapore)</t>
  </si>
  <si>
    <t>Authors acknowledge the financial support from the Ministry of Education, Singapore (Tier 2 grant no. 2013-T2-2-027). We also express our sincere thanks to the Malaysian Meteorological Department (MMD) and Department of Irrigation and Drainage, Malaysia (DID) for providing the hydro-climatic data.</t>
  </si>
  <si>
    <t>3-4</t>
  </si>
  <si>
    <t>10.1007/s00704-018-2409-5</t>
  </si>
  <si>
    <t>WOS:000464905800002</t>
  </si>
  <si>
    <t>Tun Oo, Aung; Van Huylenbroeck, Guido; Speelman, Stijn</t>
  </si>
  <si>
    <t>Myanmar is the country with the highest economic vulnerability (EV) to climate change in the Southeast Asian region. The dry zone of Myanmar occupies two-thirds of the agricultural lands and it has higher temperatures than elsewhere in the country. Climate change has severe impacts on agricultural production in this region. Moreover, changes in the precipitation patterns increase the likelihood of crop failures in the short-run and production declines in the long run. Therefore, an assessment of the economic impacts of climate change on crop production in the dry zone of Myanmar is very relevant. This paper examines the interactions between agriculture and climate and assesses the economic impact of climate change while using a Ricardian model. A cross-sectional survey covering three regions in the central dry zone: (Magwe, Mandalay, and Sagaing regions) was conducted, yielding a sample of 425 farmers. A non-linear relationship between climate indicators (temperature and precipitation) and revenue of land was found. The marginal effects were calculated by selecting economic and socio-demographic variables. The estimated marginal impacts suggest that the projected changes in temperature will affect the crop productivity of the region. The results also show that the temperature and rainfall components of global warming are both important. Predictions from three global circulation models all confirm that temperature is predicted to increase in all seasons. A significant marginal impact of increasing temperature on the net revenue of farm households was observed in the region. These findings call for policy makers and development planners to articulate the necessary climate change adaptation measures and mitigation options for reducing the negative impacts of climate change. Improved management and conservation of the available water resources could generate water for irrigation purposes and the dissemination of climate smart agricultural practices could lessen the negative impacts of climate change effects on agriculture in the dry zone of Myanmar.</t>
  </si>
  <si>
    <t>[Tun Oo, Aung; Van Huylenbroeck, Guido; Speelman, Stijn] Univ Ghent, Fac Biosci Engn, Dept Agr Econ, B-9000 Ghent, Belgium</t>
  </si>
  <si>
    <t>Ghent University</t>
  </si>
  <si>
    <t>World Wildlife Fund for nature (WWF)_Russell E. Train Education for Nature Program (EFN); Ghent University(Ghent University)</t>
  </si>
  <si>
    <t>The corresponding author greatly acknowledges the World Wildlife Fund for nature (WWF)_Russell E. Train Education for Nature Program (EFN) for the financial support during the first two years of PhD program and grateful to the funding received from Ghent University in the final year of PhD program.</t>
  </si>
  <si>
    <t>MDPI</t>
  </si>
  <si>
    <t>BASEL</t>
  </si>
  <si>
    <t>ST ALBAN-ANLAGE 66, CH-4052 BASEL, SWITZERLAND</t>
  </si>
  <si>
    <t>2225-1154</t>
  </si>
  <si>
    <t>Climate</t>
  </si>
  <si>
    <t>10.3390/cli8010009</t>
  </si>
  <si>
    <t>WOS:000513510000010</t>
  </si>
  <si>
    <t>Sun, Shurui; Li, Minghui; Yan, Maodu; Fang, Xiaomin; Zhang, Gengxin; Liu, Xiaoming; Zhang, Zengjie</t>
  </si>
  <si>
    <t>Bromine (Br) is one of the trace elements in halite. Br content and the Br/chlorine (Cl) molar ratio can be used to reveal dry climates, the degree of evaporation, and/or brine concentration. The Br content of basal halite is more useful than that the Br content of halite from later stages when being used to distinguishing marine from nonmarine origins. Evaporite deposits on the Khorat Plateau (KP) have been a primary source of evaporites in southeastern Asia. The origin (i.e., marine, nonmarine, or a combination of the two) of these deposits is still disputed. In this study, we used the Br concentration of basal halite and the Br/Cl molar ratio to explore the origin of these deposits and the environmental changes that took place in the Late Cretaceous. We analyzed a total of 330 halite samples from borehole ZK2893 for cations (K+, Ca2+, Na+, and Mg2+) and anions (Br-, Cl-, and SO42-). The Br content ranged from 24.04 to 277.87 ppm, and the Br/Cl molar ratio ranged from 0.02 to 0.27 ppm. The low Br content (24.04 ppm) and Br x 10(3)/Cl molar ratio (0.02) of the basal halite suggested that no marine water was in the basin when the halite precipitation began. The temporal variations in the Br content and the Br x 10(3)/Cl molar ratio of halite implied that: (1) the climate in this area during the Late Cretaceous was dry, with two dry stages occurring from 92 to 85 Ma and from 80 to 72 Ma; and (2) the drying trend increased from 92 to 85 Ma and from 80 to 72 Ma, with two extremely dry events occurring during the periods 89-85 Ma and 76-73 Ma.</t>
  </si>
  <si>
    <t>[Sun, Shurui; Li, Minghui] Chinese Acad Sci, Key Lab Tibetan Environm Changes &amp; Land Surface P, Inst Tibetan Plateau Res, Beijing 100085, Peoples R China; [Li, Minghui; Yan, Maodu; Fang, Xiaomin; Liu, Xiaoming] CAS Ctr Excellence Tibetan Plateau Earth Sci, Beijing 100101, Peoples R China; [Sun, Shurui; Fang, Xiaomin] Univ Chinese Acad Sci, Beijing 100049, Peoples R China; [Li, Minghui] Shandong Univ Sci &amp; Technol, Shandong Prov Key Lab Deposit Minerals, Qingdao 266590, Shandong, Peoples R China; [Yan, Maodu; Fang, Xiaomin] Chinese Acad Sci, Key Lab Continental Collis &amp; Plateau Uplift, Inst Tibetan Plateau Res, Beijing 100085, Peoples R China; [Zhang, Gengxin] Chinese Acad Sci, Key Lab Alpine Ecol &amp; Biodivers LAEB, Beijing 100101, Peoples R China; [Zhang, Zengjie] Chinese Acad Geol Sci, Inst Mineral Deposit, Beijing 100037, Peoples R China</t>
  </si>
  <si>
    <t>Chinese Academy of Sciences; Institute of Tibetan Plateau Research, CAS; Chinese Academy of Sciences; University of Chinese Academy of Sciences, CAS; Shandong University of Science &amp; Technology; Chinese Academy of Sciences; Institute of Tibetan Plateau Research, CAS; Chinese Academy of Sciences; China Geological Survey; Chinese Academy of Geological Sciences</t>
  </si>
  <si>
    <t>National Key R&amp;D Program of China; Strategic Priority Research Program of Chinese Academy of Sciences(Chinese Academy of Sciences); International Cooperation Project of the Chinese Academy of Sciences; National Natural Science Foundation of China(National Natural Science Foundation of China (NSFC))</t>
  </si>
  <si>
    <t>This study was supported by the National Key R&amp;D Program of China (Grant no. 2017YFC0602803), the Strategic Priority Research Program of Chinese Academy of Sciences (Grant nos. XDA20070201 and XDA20070101), the International Cooperation Project (Grant no. 131C11KYSB20160072) of the Chinese Academy of Sciences, and the National Natural Science Foundation of China (Grant no. 41620104002). We thank Dr. Zan JB, Dr. Yang YB and Chen Y for their work in drilling the Core ZK2893. We thank LetPub (http://www.letpub.com) for providing linguistic assistance during the preparation of this manuscript.</t>
  </si>
  <si>
    <t>233 SPRING ST, NEW YORK, NY 10013 USA</t>
  </si>
  <si>
    <t>0891-2556</t>
  </si>
  <si>
    <t>1878-5212</t>
  </si>
  <si>
    <t>CARBONATE EVAPORITE</t>
  </si>
  <si>
    <t>Carbonates Evaporites</t>
  </si>
  <si>
    <t>10.1007/s13146-019-00508-0</t>
  </si>
  <si>
    <t>WOS:000483699800044</t>
  </si>
  <si>
    <t>Tan, Mou Leong; Ibrahim, Ab Latif; Cracknell, Arthur P.; Yusop, Zulkifli</t>
  </si>
  <si>
    <t>Regional spatio-temporal assessment of extreme precipitation is essential to develop better climate adaptation and mitigation strategies. This study evaluated trends in precipitation extremes from 1985 to 2014 in the Kelantan River Basin (KRB), Malaysia. Forty-one climate stations that had &lt;10% missing data, and which passed the data quality control and homogeneity tests were selected. Trends of 14 precipitation extreme indices recommended by the Expert Team on Climate Change Detection and Indices that related to duration, threshold, absolute, relative and percentile indices were analysed using the Mann-Kendall and Sen's tests. Generally, most of the regional precipitation extremes' indices had increased trends, except the consecutive dry days and consecutive wet days, which are quite consistent with global scale trends studies. On a monthly scale, the maximum 5-day precipitation amount (Rx5d) had increasing trends in January (34.91mmdecade(-1)) and December (13.96mmdecade(-1)), by field significance at 95% confidence level. For spatial context, most of the stations with significant trends were distributed in the south-western (mountainous) and northern (near-coastal) regions. In the Tropics, the KRB's extremes indices trends had a similar pattern to the West Pacific, Indian Ocean and Caribbean regions, but were different from Western Thailand, the South China Sea and the North Inter-tropical Convergence Zone, showing that trends of precipitation extreme events are different regionally. Overall, the Pacific Decadal Oscillation, Multivariate El-Nino Southern Oscillation Index, Indian Ocean Dipole and Madden-Julian Oscillation had a significant relationship with all precipitation extremes' indices, and they are contributors to climate changes in this basin.</t>
  </si>
  <si>
    <t>[Tan, Mou Leong] Natl Univ Singapore, Dept Civil &amp; Environm Engn, Block E1,08-22,1 Engn Dr 2, Singapore 117576, Singapore; [Tan, Mou Leong; Ibrahim, Ab Latif] Univ Teknol Malaysia, Res Inst Sustainable Environm, Geosci &amp; Digital Earth Ctr, Johor Baharu, Malaysia; [Cracknell, Arthur P.] Univ Dundee, Sch Engn Phys &amp; Math, Dundee, Scotland; [Yusop, Zulkifli] Univ Teknol Malaysia, Res Inst Sustainable Environm, Ctr Environm Sustainabil &amp; Water Secur, Johor Baharu, Malaysia</t>
  </si>
  <si>
    <t>National University of Singapore; Universiti Teknologi Malaysia; University of Dundee; Universiti Teknologi Malaysia</t>
  </si>
  <si>
    <t>Ministry of Higher Education Malaysia(Ministry of Education, Malaysia); Universiti Teknologi Malaysia under the Transdisciplinary Research Grant Scheme</t>
  </si>
  <si>
    <t>This research was supported by the Ministry of Higher Education Malaysia and Universiti Teknologi Malaysia under the Transdisciplinary Research Grant Scheme (R.J130000.7809.4L835). Moreover, we acknowledge the Department of Irrigation and Drainage Malaysia and Malaysia Meteorological Department for providing the precipitation data. In addition, we greatly appreciate Feng Yang at the Climate Research Branch of the Meteorological Service of Canada for assistance in Rclimdex and RHtests_dlyPrcp processing. We wish to express our gratitude to the editors and two anonymous reviewers for their constructive comments on the manuscript.</t>
  </si>
  <si>
    <t>10.1002/joc.4952</t>
  </si>
  <si>
    <t>WOS:000406706200003</t>
  </si>
  <si>
    <t>Sein, Zin Mie Mie; Zhi, Xiefei; Ullah, Irfan; Azam, Kamran; Ngoma, Hamida; Saleem, Farhan; Xing, Yun; Iyakaremye, Vedaste; Syed, Sidra; Hina, Saadia; Nkunzimana, Athanase</t>
  </si>
  <si>
    <t>The present study assessed the spatiotemporal variation of summer monsoon precipitation and its potential drivers in Myanmar, utilizing monthly precipitation data from forty-six (46) synoptic meteorological stations spanning 1981-2020. The nonparametric statistical Mann-Kendall (MK), Sequential Mann-Kendall (SQMK) test, Empirical Orthogonal Function (EOF), and Probability Distribution Function (PDF) were used to determine the spatiotemporal monsoon precipitation trends and variability over the study period. The results show that higher precipitation occurs during June, July and August (peak monsoon period), while low precipitation was detected in May (onset month), September and October (withdrawal monsoon period), respectively. Moreover, abrupt change in precipitation is observed after 1990 with a significant (95% confidence level) increasing trend from 2000 to 2020. Decadal precipitation experienced the highest fluctuation during 2011-2020, a positive shift and increased frequency in recent decades. The spatial trends for monthly and seasonal precipitation vary from station to station and region to region due to a fluctuated shift of climatic dynamics. During dry conditions, less cloud liquid water suppressed relative humidity and high air temperature were exhibited, thus implying less precipitation in the region. However, the wet years revealed strong moisture/water vapour into the inland regions from the ocean, increased relative humidity, and suppressed air temperature. In addition, no significant relationship was found between El-Nino Southern Oscillation (ENSO), Indian Ocean Dipole (IOD), and monsoon onset timing with precipitation variability over Myanmar. This study provides essential information on manageable climate adaptation, mitigation and weather forecasting strategies in Myanmar.</t>
  </si>
  <si>
    <t>[Sein, Zin Mie Mie] Wuxi Univ, Coll Int Students, Wuxi, Jiangsu, Peoples R China; [Zhi, Xiefei; Ullah, Irfan; Iyakaremye, Vedaste] Nanjing Univ Informat Sci &amp; Technol, Sch Atmospher Sci, Nanjing 210044, Peoples R China; [Zhi, Xiefei] Weather Online Inst Meteorol Applicat, Wuxi, Jiangsu, Peoples R China; [Ullah, Irfan; Xing, Yun; Iyakaremye, Vedaste] Nanjing Univ Informat Sci &amp; Technol, Collaborat Innovat Ctr Forecast &amp; Evaluat Meteoro, Joint Int Res Lab Climate &amp; Environm Change, Key Lab Meteorol Disaster,Minist Educ, Nanjing, Peoples R China; [Azam, Kamran] Univ Haripur, Dept Management Sci, Haripur, Khyber Pakhtunk, Pakistan; [Ngoma, Hamida] Univ Connecticut, Dept Geosci, Storrs, CT USA; [Saleem, Farhan] Chinese Acad Sci, Int Ctr Climate &amp; Environm Sci, Inst Atmospher Phys, Beijing, Peoples R China; [Saleem, Farhan; Hina, Saadia] Univ Chinese Acad Sci, Coll Earth &amp; Planetary Sci, Beijing, Peoples R China; [Xing, Yun] Nanjing Univ Informat Sci &amp; Technol, Sch Hydrol &amp; Water Resources, Nanjing, Peoples R China; [Syed, Sidra] Univ Peshawar, Inst Peace &amp; Conflicts Studies, Peshawar, Pakistan; [Nkunzimana, Athanase] Univ Burundi, Dept Geog, Bujumbura, Burundi</t>
  </si>
  <si>
    <t>Wuxi University; Nanjing University of Information Science &amp; Technology; Nanjing University of Information Science &amp; Technology; University of Connecticut; Chinese Academy of Sciences; Institute of Atmospheric Physics, CAS; Chinese Academy of Sciences; University of Chinese Academy of Sciences, CAS; Nanjing University of Information Science &amp; Technology; University of Peshawar</t>
  </si>
  <si>
    <t>National (Key) Basic R&amp;D Program of China</t>
  </si>
  <si>
    <t>National (Key) Basic R&amp;D Program of China, Grant/Award Number: 2012CB955204</t>
  </si>
  <si>
    <t>10.1002/joc.7419</t>
  </si>
  <si>
    <t>WOS:000712138200001</t>
  </si>
  <si>
    <t>Sein, Zin Mie Mie; Ullah, Irfan; Iyakaremye, Vedaste; Azam, Kamran; Ma, Xieyao; Syed, Sidra; Zhi, Xiefei</t>
  </si>
  <si>
    <t>Understanding the prevailing changes in temperature and relative humidity (RH) is of crucial importance for climate risk reduction and management. Despite their importance, trends and temperature variability associated with other climate variables over the Southeast Asian nation of Myanmar are not fully understood. This study investigates the annual and seasonal variations in air temperature and RH, as well as dew point temperature and their relationships, based on 47 meteorological stations located around Myanmar from 2001 to 2019. The results indicate that an increasing trend in air temperature was observed in the central, western, deltaic and southern regions of Myanmar. In contrast, air temperatures trended downward in the eastern (southern Shan state), northern (Hkakabo Razi Mountain) and western (Chin state) parts of the country. RH exhibited a significant increase in the northern region and a decrease in the central dry zone. A lower RH always accompanied high temperatures. Dew points increased in the deltaic and southern parts of Myanmar, as opposed to in the eastern (south Shan state) and western (Chin state) parts of the country. Moreover, in comparison to the daily RH variability, the observed daily temperature variability had a relatively stronger influence on Myanmar's climate, whereas dew points typically remained stationary for a day. The associated linkage between the RH and the dew point temperature was significantly linear, with a correlation coefficient (R-2) of 0.65. The annual (seasonal) correlation of air temperature and dew point was highly correlated in the winter, where R-2 was measured at 0.71 (0.75). During the rainy season, however, the annual (seasonal) R-2 was measured at only 0.30 (0.04). However, the air temperature and RH showed a weak positive correlation of 0.20 (0.26) in summer (winter) and a weak positive correlation in the rainy season (0.01). This study's findings are important for enhancing seasonal forecasts of extreme heat and can aid policy-makers in formulating better climate change adaptation plans.</t>
  </si>
  <si>
    <t>[Sein, Zin Mie Mie] Wuxi Univ, Coll Int Students, Wuxi 214105, Jiangsu, Peoples R China; [Ullah, Irfan; Iyakaremye, Vedaste; Zhi, Xiefei] Nanjing Univ Informat Sci &amp; Technol, Sch Atmospher Sci, Nanjing 210044, Peoples R China; [Azam, Kamran] Univ Haripur, Dept Management Sci, Khyber Pakhtunkhwa 22780, Pakistan; [Ma, Xieyao] Nanjing Univ Informat Sci &amp; Technol, Sch Hydrol &amp; Water Resources, Nanjing 210044, Peoples R China; [Syed, Sidra] Univ Peshawar, Inst Peace &amp; Conflicts Studies, Peshawar 25000, Pakistan; [Zhi, Xiefei] Weather Online Inst Meteorol Applicat, Wuxi 214000, Jiangsu, Peoples R China</t>
  </si>
  <si>
    <t>Wuxi University; Nanjing University of Information Science &amp; Technology; Nanjing University of Information Science &amp; Technology; University of Peshawar</t>
  </si>
  <si>
    <t>National Natural Science Foundation of China(National Natural Science Foundation of China (NSFC)); National (Key) Basic R&amp;D Program of China</t>
  </si>
  <si>
    <t>The National Natural Science Foundation of China with Grant No: 41877158 financially supported this work. The National (Key) Basic R&amp;D Program of China with Grant No: 2012CB955204 also supports this study. Furthermore, this research was encouraged by the College of International Students, Wuxi University, Wuxi, Jiangsu Province, China. Special appreciation goes to the Department of Meteorology and Hydrology, Myanmar, for the provision of the datasets used in the study. We also thank the four anonymous reviewers for their constructive and thoughtful suggestions and comments.</t>
  </si>
  <si>
    <t>0177-7971</t>
  </si>
  <si>
    <t>1436-5065</t>
  </si>
  <si>
    <t>METEOROL ATMOS PHYS</t>
  </si>
  <si>
    <t>Meteorol. Atmos. Phys.</t>
  </si>
  <si>
    <t>10.1007/s00703-021-00837-7</t>
  </si>
  <si>
    <t>WOS:000721872200001</t>
  </si>
  <si>
    <t>Choi, Ki-Seon; Kim, Baek-Jo; Kang, Sung-Dae; Kim, Hae-Dong</t>
  </si>
  <si>
    <t>This study analyzed changes in tropical cyclone (TC) intensity for the past 62 years (1951-2012) by calculating annual average value of central pressure (CP) of TCs that affected the Philippines from July to September. Although TC intensity slightly weakened for the last 62 years, it was not statistically significant. In order to examine the causes of changes in intensity of TCs that influenced the Philippines, nine low CP years and nine high CP years among the 62 years were selected to analyze differences between the two groups. TCs largely occurred in the southeastern quadrant of tropical and subtropical western North Pacific during low CP years and tended to move to the Philippines from the far sea in the southeast of the nation. In differences in deep-layer-mean wind between the two groups, western North Pacific subtropical high (WNPSH) did not develop toward the middle latitudes of East Asia but toward the low latitudes of the region during low CP years. Therefore, TCs occurred in the southeastern quadrant of tropical and subtropical western North Pacific, triggering its movement of long distance westward toward the Philippines. As positive anomalies in precipitable water and at 600 hPa relative humidity, 850 hPa air temperature, and sea surface temperature continued to the Philippines from the southeastern quadrant, a favorable environment where intensity of TCs can be strengthened while they move to the Philippines during low CP years has been formed. In the end, because WNPSH developed toward the low latitudes during low CP years, anomalous easterlies that strengthened in the southern regions of WNPSH blew to the Philippines, and SST in the sea near the nation was heightened. Therefore, because TCs were able to obtain sufficient energy from the relatively warm sea while TCs moved a long distance to the Philippines, TC intensity was able to be strengthened.</t>
  </si>
  <si>
    <t>[Choi, Ki-Seon; Kim, Baek-Jo] Natl Inst Meteorol Res, Jeju, South Korea; [Kang, Sung-Dae] Korea Meteorol Adm, Seoul, South Korea; [Kim, Hae-Dong] Keimyung Univ, Dept Global Environm, Daegu, South Korea</t>
  </si>
  <si>
    <t>Korea Meteorological Administration (KMA); Keimyung University</t>
  </si>
  <si>
    <t>Korea Meteorological Administration and Development Program(Korea Meteorological Administration (KMA))</t>
  </si>
  <si>
    <t>This work was funded by the Korea Meteorological Administration and Development Program under Grant 2013-8050.</t>
  </si>
  <si>
    <t>10.1007/s00704-014-1281-1</t>
  </si>
  <si>
    <t>WOS:000361731600023</t>
  </si>
  <si>
    <t>Wang, Chung-Chieh; Nguyen, Duc Van</t>
  </si>
  <si>
    <t>An extreme rainfall event occurred from 8 to 12 December 2018 along the coast of central Vietnam. The observed maximum rainfall amount in 72 h was over 900 mm and set a new record, and the associated heavy losses were also significant. The analysis of this event shows some key factors for its occurrence: (1) the interaction between the strong northeasterly winds, blowing from the Yellow Sea into the northern South China Sea (SCS), and easterly winds over the SCS in the lower troposphere (below 700 hPa). This interaction created strong low-level convergence, as the winds continued to blow into central Vietnam against the Truong Son Range, resulting in forced uplift over the coastal plains due to the terrain's barrier effect. Furthermore, the low-level convergence in this event was strong enough, and the air was unstable enough to trigger most of the convection near the shoreline (further inland). As a consequence, heavy rainfall occurred along the coastal zone and coastal sea. (2) The strong easterly wind played an important role in transporting moisture from the western North Pacific (WNP) across the Philippines and the SCS into central Vietnam. (3) The Truong Son Range also contributed to this event due to its barrier effect. (4) In addition to cumulonimbus, the low-level precipitating clouds such as nimbostratus clouds were also major contributors to rainfall accumulation for the whole event. The analyses of local thermodynamics also indicate that the southward movement of the low-level wind convergence zone caused the southward movement of the main heavy rain band during the event. The cloud-resolving storm simulator (CReSS) was employed to simulate this record-breaking event at a grid size of 2.5 km; evaluated results show that the model simulated the surface wind well and captured the southward movement of the low-level wind convergence. The overall rainfall can be captured quite well, not only in quantity but also in its spatial distribution (with a similarity skill score (SSS) asymptotic to 0.7 and threat score (TS) &gt; 0 at 700 mm for 72 h rainfall). Thus, the CReSS model is shown to be a useful tool for both research and forecasts of heavy rainfall in Vietnam. The model performed better for the rainfall during 9-10 December 2018 but not as good on 11 December 2018. In the sensitivity test without the terrain, the model had poorly simulated the surface wind, which resulted in the model generating insufficient rainfall for this event and also not capturing the spatial distribution of the rainfall. Thus, the test confirms the important role played by the local topography for the occurrence of this event.</t>
  </si>
  <si>
    <t>[Wang, Chung-Chieh; Nguyen, Duc Van] Natl Taiwan Normal Univ, Dept Earth Sci, Taipei, Taiwan; [Nguyen, Duc Van] Vietnam Inst Meteorol Hydrol &amp; Climate Change, Hanoi, Vietnam</t>
  </si>
  <si>
    <t>National Taiwan Normal University</t>
  </si>
  <si>
    <t>National Science and Technology Council (NSTC) of Taiwan; Vietnam Institute of Meteorology, Hydrology and Climate Change</t>
  </si>
  <si>
    <t>This study was supported by the National Science and Technology Council (NSTC) of Taiwan under grant nos. MOST 111-2111-M-003-005 and MOST 111-2625-M-003-001 and also by the Vietnam Institute of Meteorology, Hydrology and Climate Change under grant no. DTDL.CN.119/21.</t>
  </si>
  <si>
    <t>COPERNICUS GESELLSCHAFT MBH</t>
  </si>
  <si>
    <t>GOTTINGEN</t>
  </si>
  <si>
    <t>BAHNHOFSALLEE 1E, GOTTINGEN, 37081, GERMANY</t>
  </si>
  <si>
    <t>1561-8633</t>
  </si>
  <si>
    <t>1684-9981</t>
  </si>
  <si>
    <t>NAT HAZARD EARTH SYS</t>
  </si>
  <si>
    <t>Nat. Hazards Earth Syst. Sci.</t>
  </si>
  <si>
    <t>FEB 22</t>
  </si>
  <si>
    <t>10.5194/nhess-23-771-2023</t>
  </si>
  <si>
    <t>WOS:000937061500001</t>
  </si>
  <si>
    <t>Munawar, Munawar; Prasetya, Tofan Agung Eka; McNeil, Rhysa; Jani, Rohana</t>
  </si>
  <si>
    <t>Increased temperature is one of the signals of global warming. Trends in land surface temperature can be used to measure climate change. This research aimed to investigate the variation of land surface temperature in Borneo island using a cubic spline method and a multivariate regression model. The island was divided into 8 regions each comprising 9 subregions. Land surface temperatures for each subregion from 2000 to 2019 were obtained from the National Aeronautics and Space Administration Moderate Resolution Imaging Spectroradiometer database. The average increase in temperature was 0.2 degrees C/decade with a 95% confidence interval of (0.14, 0.27) degrees C. The changes differed by region; a significant increase was seen in Sarawak, North Kalimantan, West Kalimantan, West-central Kalimantan, and Central-east Kalimantan region; a slight decrease in Sabah and Brunei Darussalam (Sabah and Brunei) region; a slight increase in East Kalimantan; and a stable trend in South Kalimantan.</t>
  </si>
  <si>
    <t>[Munawar, Munawar; Prasetya, Tofan Agung Eka; McNeil, Rhysa] Prince Songkla Univ, Fac Sci &amp; Technol, Pattani Campus, Pattani 94000, Thailand; [Munawar, Munawar] Syiah Kuala Univ, Fac Math &amp; Sci, J1 Syech Abd Rauf, Banda Aceh 23111, Aceh, Indonesia; [Prasetya, Tofan Agung Eka] Univ Airlangga, Fac Vocat Studies, Hlth Dept, Surabaya, Indonesia; [McNeil, Rhysa] CHE, Ctr Excellence Math, Si Ayutthaya Rd, Bangkok 10400, Thailand; [Jani, Rohana] Univ Malaya, Fac Econ &amp; Adm, Ungku Aziz Ctr Dev Studies, Kuala Lumpur, Malaysia</t>
  </si>
  <si>
    <t>Prince of Songkla University; Universitas Syiah Kuala; Airlangga University; Universiti Malaya</t>
  </si>
  <si>
    <t>Thailand's Education Hub for the Southern Region of ASEAN Countries (TEH-AC), Prince of Songkla University Graduate School Research Grant; Centre of Excellence in Mathematics, Commission on Higher Education, Thailand</t>
  </si>
  <si>
    <t>The authors gratefully acknowledge Professor Don McNeil for his invaluable assistance during this research. This study was supported by Thailand's Education Hub for the Southern Region of ASEAN Countries (TEH-AC), Prince of Songkla University Graduate School Research Grant, and the Centre of Excellence in Mathematics, Commission on Higher Education, Thailand.</t>
  </si>
  <si>
    <t>Vienna</t>
  </si>
  <si>
    <t>Prinz-Eugen-Strasse 8-10, A-1040 Vienna, AUSTRIA</t>
  </si>
  <si>
    <t>10.1007/s00704-021-03891-8</t>
  </si>
  <si>
    <t>WOS:000742823500001</t>
  </si>
  <si>
    <t>The impact of the El Nino-Southern Oscillation (ENSO) on seasonal rainfall variability over Sumatra and the Malay Peninsula (SMP) has been investigated from the perspective of multi-scale physical processes, especially the diurnal cycle and daily weather types (WTs). Observations indicate that the rainfall variability associated with ENSO is not spatially coherent in the SMP in both September-November (SON) and December-February (DJF). Among the five WTs, there are more WT2 and fewer WT3 in the SON period of El Nino years, thus the seasonal rainfall anomaly pattern is similar to that of WT2, with wet anomalies in the western Malay Peninsula and northern Sumatra, and dry anomalies in southern Sumatra. In DJF of El Nino years, there is an area of wet anomalies in the southern tip of the Malay Peninsula and in central Sumatra, and slightly dry anomalies in the central Malay Peninsula and in northern Sumatra due to more days of WT4 and fewer days of WT3 and WT5. In the early northeast monsoon season (December-January) when the Inter-Tropical Convergence Zone (ITCZ) is still north of or nearby the equator, the El Nino-enhanced easterly wind anomaly at 850 hPa favours more frequent WT4 with more zonally oriented east-northeasterly winds. This facilitates the propagation of rainfall from the area of above-normal SSTs in the southern South China Sea towards Singapore and the adjacent seas, thus producing above-normal rainfall. In February, however, more frequent WT4 will not enhance rainfall in the vicinity of Singapore because the ITCZ has already moved to the Southern Hemisphere, and the upstream area in the South China Sea is quite dry.</t>
  </si>
  <si>
    <t>[Qian, Jian-Hua] Ctr Climate Res, Singapore, Singapore</t>
  </si>
  <si>
    <t>10.1002/joc.6450</t>
  </si>
  <si>
    <t>WOS:000506866800001</t>
  </si>
  <si>
    <t>Hein, Yarzar; Vijitsrikamol, Kampanat; Attavanich, Witsanu; Janekarnkij, Penporn</t>
  </si>
  <si>
    <t>With the existing state of issues related to global climate change, the accuracy of farmers' perceptions of climate is critically important if they plan to implement appropriate adaptation measures in their farming. This article evaluated if farmers perceive the trends of local climate variability accurately, and was verified by the historical meteorological data analysis. Ordered probit perception models were applied in this study to determine the factors influencing the accuracy of farmer perception. It was observed that farmers' perceptions of the rainfall amount during the early, mid, and late monsoon periods were highly accurate, and they also accurately perceived summer temperature change, but less accuracy of perception was observed of the temperate changes of the winter and monsoon seasons. Access to weekly weather information, participation in agricultural trainings, farming experience, and education level of the farmer were the major factors determining the accuracy of perception in this study. Based on the empirical results, this study suggested policy implications for (a) the locally specified weather information distribution, and (b) integration of weather information into agricultural training programs, which are available to the farming community to enhance the government implantation of the Myanmar Climate Smart Agriculture Strategy and Myanmar Climate Change Master Plan 2018-2030.</t>
  </si>
  <si>
    <t>[Hein, Yarzar] Kasetsart Univ, Grad Sch, Int Program, Philosophy Program Agr &amp; Resource Econ, Bangkok 10900, Thailand; [Hein, Yarzar] Yezin Agr Univ, Dept Agr Econ, Naypyitaw 15013, Myanmar; [Vijitsrikamol, Kampanat; Janekarnkij, Penporn] Kasetsart Univ, Dept Agr &amp; Resource Econ, Bangkok 10900, Thailand; [Attavanich, Witsanu] Kasetsart Univ, Dept Econ, Bangkok 10900, Thailand</t>
  </si>
  <si>
    <t>Kasetsart University; Kasetsart University; Kasetsart University</t>
  </si>
  <si>
    <t>Southeast Asian Regional Center for Graduate Study and Research in Agriculture (SEARCA); Deutscher Akademischer Austauschdienst (DAAD) under the joint scholarship program of DAAD-SEARCA(Deutscher Akademischer Austausch Dienst (DAAD))</t>
  </si>
  <si>
    <t>This research was funded by Southeast Asian Regional Center for Graduate Study and Research in Agriculture (SEARCA) and Deutscher Akademischer Austauschdienst (DAAD), award number 91638482 under the joint scholarship program of DAAD-SEARCA. There is no funding agency for APC.</t>
  </si>
  <si>
    <t>10.3390/cli7050064</t>
  </si>
  <si>
    <t>WOS:000470961700004</t>
  </si>
  <si>
    <t>Xin Kieu-Thi; Hang Vu-Thanh; Truong Nguyen-Minh; Duc Le; Linh Nguyen-Manh; Takayabu, Izuru; Sasaki, Hidetaka; Kitoh, Akio</t>
  </si>
  <si>
    <t>This study uses the non-hydrostatic regional climate model (NHRCM) to simulate and project rainfall and tropical cyclone (TC) activity over Vietnam. The simulated precipitation shows that climatic heavy rainfall centers are well captured in the seasonal march. In near and far future, the projected rainfall by NHRCM using outputs of the Meteorological Research Institute atmospheric general circulation model 3.2 with RCP8.5 scenario will clearly decrease in Northwest and Central Vietnam in June-August, while it will remarkably increase in Northeast and Central Vietnam in September-November. The model underestimates TC number and activity area in the first half of the TC season but slightly overestimates in the second half as compared to the best track. Projected TCs indicate a decrease in both TC number and activity area in near and far future. Moreover, the maximum TC number occurs one month late as compared to the present climate, whereas TC number remarkably decreases in July-August in far future. Rainfall induced by TCs increases in North Vietnam in the projected climate as compared to the baseline period. It also increases in mid-Central Vietnam in near future but decreases in southern Central Vietnam in near and far future. Conversely, non-TC rainfall is likely to decrease in North Vietnam in future and in mid-Central Vietnam in near future but increase in southern Central Vietnam in far future.</t>
  </si>
  <si>
    <t>[Xin Kieu-Thi; Hang Vu-Thanh; Truong Nguyen-Minh] Hanoi Univ Sci, 334 Nguyen Trai, Hanoi, Vietnam; [Duc Le; Linh Nguyen-Manh] Natl Ctr Hydrometeorol Forecasting, Hanoi, Vietnam; [Takayabu, Izuru; Sasaki, Hidetaka] Meteorol Res Inst, 1-1 Nagamine, Tsukuba, Ibaraki 305, Japan; [Kitoh, Akio] Univ Tsukuba, Tsukuba, Ibaraki, Japan</t>
  </si>
  <si>
    <t>Vietnam National University Hanoi; Meteorological Research Institute - Japan; University of Tsukuba</t>
  </si>
  <si>
    <t>Vietnam Ministry of Natural Resources and Environment; SOUSEI Program of the Ministry of Education, Culture, Sports, Science, and Technology (MEXT) of Japan</t>
  </si>
  <si>
    <t>This study is supported by the Vietnam Ministry of Natural Resources and Environment (BDKH-01 Project) and the SOUSEI Program of the Ministry of Education, Culture, Sports, Science, and Technology (MEXT) of Japan. This study is presented in AS-36 of AOGS2014.</t>
  </si>
  <si>
    <t>METEOROLOGICAL SOC JAPAN</t>
  </si>
  <si>
    <t>TOKYO</t>
  </si>
  <si>
    <t>C/O JAPAN METEOROLOGICAL AGENCY 1-3-4 OTE-MACHI, CHIYODA-KU, TOKYO, 100-0004, JAPAN</t>
  </si>
  <si>
    <t>0026-1165</t>
  </si>
  <si>
    <t>2186-9057</t>
  </si>
  <si>
    <t>J METEOROL SOC JPN</t>
  </si>
  <si>
    <t>J. Meteorol. Soc. Jpn.</t>
  </si>
  <si>
    <t>94A</t>
  </si>
  <si>
    <t>10.2151/jmsj.2015-057</t>
  </si>
  <si>
    <t>WOS:000370028800010</t>
  </si>
  <si>
    <t>Sein, Z. M. Mie; Islam, A. R. M. Towfiqul; Maw, K. W.; Moya, T. B.</t>
  </si>
  <si>
    <t>The aim of this paper was to characterize the southwest monsoon onset over Myanmar based on the model. The Regional Climate Model (RegCM3) was run for a period of 10 years (2000-2009) to simulate the meteorological fields which focused on April to July season. The model input data were obtained from the reanalyzed datasets of the National Center for Environmental Prediction (NCEP) and National Centre for Atmospheric Research (NCAR). Grell scheme with Arakawa closure for cumulus parameterization assumption was used for simulation with 45 km horizontal resolution. The results revealed that southwest monsoon onset was confirmed when the prevailing wind direction up to 600 hPa level had shifted from northeasterly to westerly or southwesterly. The southwest monsoon first arrived at southernmost Kawthoung station of Myanmar and progressed through the Deltaic and Central parts until it reached at northernmost Putao station. Over the simulation periods, the southwest monsoon onset progressed from the southernmost to northernmost parts of the country in 19 +/- A 10 days. The position of Intertropical Convergence Zone (ITCZ) appeared (23A degrees N-28A degrees N) over the Northern part of the country before the onset. Furthermore, 500 hPa ridge appeared consistently over the Deltaic area of Myanmar from 6 to 10 days before the monsoon onset. Its position is about 6A degrees to the south of the ITCZ.</t>
  </si>
  <si>
    <t>[Sein, Z. M. Mie; Islam, A. R. M. Towfiqul; Maw, K. W.] Nanjing Univ Informat Sci &amp; Technol, Sch Atmospher Sci, Nanjing 210044, Jiangsu, Peoples R China; [Sein, Z. M. Mie; Maw, K. W.] Dept Meteorol &amp; Hydrol, Nay Pyi Taw, Myanmar; [Islam, A. R. M. Towfiqul] Begum Rokeya Univ, Dept Disaster Management, Rangpur 5400, Bangladesh; [Moya, T. B.] Univ Philippines, Coll Sci, Quezon City 1101, Philippines</t>
  </si>
  <si>
    <t>Nanjing University of Information Science &amp; Technology; University of the Philippines System; University of the Philippines Diliman</t>
  </si>
  <si>
    <t>WMO</t>
  </si>
  <si>
    <t>First author acknowledges the WMO for providing scholarship to carry out this research work. Thanks are due to Prof. Ms. Raquel V. Francisco, College of Science, University of the Philippines, Philippines, for the professional guidance and valuable suggestions that enriched the study. The author also acknowledges Dr. Hrin Nei Thiam, Direction General of Department of Meteorology and Hydrology, Myanmar, for providing data facilities for this work. Special thanks go to Mr. K.D. Sujeewa and Mr. M.D.F. Ramos for being a source of motivation of the study. Thanks are due to the anonymous reviewers for their constructive comments that improved the quality of the paper.</t>
  </si>
  <si>
    <t>10.1007/s00703-015-0386-0</t>
  </si>
  <si>
    <t>WOS:000361476300006</t>
  </si>
  <si>
    <t>Myanmar's climate is heavily influenced by its geographic location and relief. Located between the Indian summer monsoon (ISM) and the East Asian summer monsoon (EASM), Myanmar's climate is distinguished by the alternation of seasons known as the monsoon. The north-south direction of peaks and valleys creates a pattern of alternate zones of heavy and scanty precipitation during both the northeast and southwest monsoons. The majority of the rainfall has come from Myanmar's southwest monsoon (MSwM), which is Myanmar's rainy season (summer in global terms, June-September). This study explained both threshold-based and nonthreshold-based objective definitions of the onset and withdrawal of large-scale MSwM. The seasonal transitions in MSwM circulation and precipitation are convincingly represented by the new index, which is based on change point detection of the atmospheric moisture flow converging in the MSwM region (10-28 N, 92-102 E). A transition in vertically integrated moisture transport (VIMT), the reversal of surface winds, and an increase in precipitation may also be considered when defining MSwM onset objectively. We also define a change point of the MSwM (CPI) index for MSwM onset and withdrawal dates. The climatological mean onset of MSwM is day 135 (May 14), withdrawal is day 278 (October 4), and the total season length is 144 days. We are investigating spatial patterns of rainfall progression at and after the start of the monsoon, rather than transitions within a single region of the MSwM. The local southwest monsoon duration is well correlated with the CPI duration on interannual timescales, particularly in the peak rainfall regions, with a delay (advance) in large-scale onset or withdrawal associated with a delay (advance) of onset or withdrawal by local index. Hence, the next phase of this research is to study the maintenance and break of the monsoon to understand the underlying physical processes governing the monsoon circulation. The results of this study provide a possibility to reconstruct Myanmar's monsoon climate dynamics, and the findings of this study can help unravel many remaining questions regarding the greater Asian monsoon system's variability.</t>
  </si>
  <si>
    <t>[Oo, Kyaw Than] Nanjing Univ Informat Sci &amp; Technol, Nanjing, Peoples R China; [Oo, Kyaw Than] Aviat Weather Serv, Yangon, Myanmar</t>
  </si>
  <si>
    <t>JAN 25</t>
  </si>
  <si>
    <t>10.1155/2023/2346975</t>
  </si>
  <si>
    <t>WOS:000924165500001</t>
  </si>
  <si>
    <t>Dado, Julie Mae B.; Takahashi, Hiroshi G.</t>
  </si>
  <si>
    <t>The study used a 5 km-resolution regional climate model, the Advanced Research Weather Research and Forecasting Model, to quantify the potential impact of sea surface temperature (SST) west of the Philippines on summer monsoon rainfall on the northwestern coast of the country. A set of control simulations (CTL) driven by ERA-Interim reanalysis data and the monthly National Oceanic and Atmospheric Administration Optimum Interpolation SST dataset was performed for the months of June to August of 1982-2012. A second set of simulations driven by climatological SST values was performed for the same period. The difference between these two simulation sets is analyzed to determine the sensitivity of rainfall to interannual variations in local SST, not remote SST, via a regional climate model. The CTL simulations represented spatial and temporal variations in rainfall well, yielding realistic climatological rainfall values with high spatial correlations with observations. The interannual correlation of monthly rainfall over the northwestern region of the Philippines was also high when compared to observations. The results showed that positive SST anomalies west of the Philippines induced positive rainfall anomalies in the northwestern Philippines via an increase in latent heat flux from the sea surface, implying that summer monsoon rainfall in the northwestern Philippines is modulated by interannual variations in SST west of the Philippines. The impact of SST on latent heat flux and rainfall were 20-40%, greatly exceeding the 7% approximation from the Clausius-Clapeyron equation, which can be explained by the enhancement of low-level winds and a weak warming of surface air temperature over the ocean.</t>
  </si>
  <si>
    <t>[Dado, Julie Mae B.; Takahashi, Hiroshi G.] Tokyo Metropolitan Univ, Dept Geog, Minami Osawa 1-1, Hachioji, Tokyo 1920397, Japan; [Takahashi, Hiroshi G.] Japan Agcy Marine Earth Sci &amp; Technol, Kanazawa Ku, 3173-25 Showa Machi, Yokohama, Kanagawa 2360001, Japan</t>
  </si>
  <si>
    <t>Tokyo Metropolitan University; Japan Agency for Marine-Earth Science &amp; Technology (JAMSTEC)</t>
  </si>
  <si>
    <t>Asian Human Resources Fund scholarship from the Tokyo Metropolitan Government; 8th Japan Aerospace Exploration Agency (JAXA) Precipitation Measuring Mission (PMM) Project</t>
  </si>
  <si>
    <t>JM Dado is a recipient of the Asian Human Resources Fund scholarship from the Tokyo Metropolitan Government. This study is also partly supported by the 8th Japan Aerospace Exploration Agency (JAXA) Precipitation Measuring Mission (PMM) Project No. 309.</t>
  </si>
  <si>
    <t>SPRINGEROPEN</t>
  </si>
  <si>
    <t>CAMPUS, 4 CRINAN ST, LONDON, N1 9XW, ENGLAND</t>
  </si>
  <si>
    <t>2197-4284</t>
  </si>
  <si>
    <t>PROG EARTH PLANET SC</t>
  </si>
  <si>
    <t>Prog. Earth Planet. Sci.</t>
  </si>
  <si>
    <t>AUG 15</t>
  </si>
  <si>
    <t>10.1186/s40645-017-0137-6</t>
  </si>
  <si>
    <t>WOS:000407818500001</t>
  </si>
  <si>
    <t>Mie Sein, Zin Mie; Ullah, Irfan; Syed, Sidra; Zhi, Xiefei; Azam, Kamran; Rasool, Ghulam</t>
  </si>
  <si>
    <t>Myanmar is located in a tropical region where temperature rises very fast and hence is highly vulnerable to climate change. The high variability of the air temperature poses potential risks to the local community. Thus, the current study uses 42 synoptic meteorological stations to assess the spatiotemporal changes in air temperature over Myanmar during 1971-2013. The nonparametric sequential Mann-Kendall (SqMK), linear regression, empirical orthogonal function (EOF), Principal Component Analysis (PCA), and composite analysis were used to assess the long-term trends in maximum (Tmax) and minimum (Tmin) temperature series and their possible mechanism over the study region. The results indicate that the trend of Tmax has significantly increased at the rates of 90% in summer season, while the Tmin revealed a substantial positive trend in winter season time series with the magnitude of 30%, respectively. Moreover, during a rapid change of climate (1995-2013) we observed an air temperature increase of 0.7 degrees C. The spatial distributions of EOF revealed relatively warmer temperatures over the whole region except the south in the summer; however, a similar pattern can be seen for the rainy season and winter, implying warming in the central part and cooling in the northern and southern parts. Furthermore, the Indian Ocean Dipole (IOD) influence on air temperature over Myanmar is more prevalent than that of the El Nino Southern Oscillation (ENSO). The result implies that the positive phase of the IOD and negative phase of the Southern Oscillation Index (SOI; El Nino) events led to the higher temperature, resulting in intense climatic extremes (i.e., droughts and heatwaves) over the target region. Therefore, this study's findings can help policymakers and decision-makers improve economic growth, agricultural production, ecology, water resource management, and preserving the natural habitat in the target region.</t>
  </si>
  <si>
    <t>[Mie Sein, Zin Mie; Rasool, Ghulam] Nanjing Univ Informat Sci &amp; Technol, Binjiang Coll, Wuxi 214105, Jiangsu, Peoples R China; [Ullah, Irfan] Nanjing Univ Informat Sci &amp; Technol NUIST, Sch Atmospher Sci, Nanjing 210044, Peoples R China; [Syed, Sidra] Univ Peshawar, Inst Peace &amp; Conflicts Studies, Peshawar 25000, Pakistan; [Zhi, Xiefei] Nanjing Univ Informat Sci &amp; Technol, Collaborat Innovat Ctr Forecast &amp; Evaluat Meteoro, Key Lab Meteorol Disasters, Minist Educ KLME, Nanjing 210044, Peoples R China; [Zhi, Xiefei] Weather Online Inst Meteorol Applicat, Wuxi 214000, Jiangsu, Peoples R China; [Azam, Kamran] Univ Haripur, Dept Management Sci, Khyber Pakhtunkhwa 22780, Pakistan; [Rasool, Ghulam] Zhejiang Univ, Sch Math Sci, Hangzhou 310027, Peoples R China</t>
  </si>
  <si>
    <t>Wuxi University; Nanjing University of Information Science &amp; Technology; University of Peshawar; Nanjing University of Information Science &amp; Technology; Zhejiang University</t>
  </si>
  <si>
    <t>This study was supported by the National (Key) Basic R&amp;D Program of China (Grant No. 2012CB955204).</t>
  </si>
  <si>
    <t>10.3390/cli9020035</t>
  </si>
  <si>
    <t>WOS:000622370800001</t>
  </si>
  <si>
    <t>Le, Phong V. V.; Tan Phan-Van; Mai, Khiem V.; Tran, Duc Q.</t>
  </si>
  <si>
    <t>Drought may have severe societal, economic, and environmental consequences. However, the space-time characteristics of drought over Vietnam remain poorly understood. In this study, we investigate the spatio-temporal variability of drought using the Palmer Drought Severity Index (PDSI) over mainland Vietnam for the 1980-2014 period. Through data analysis at 131 stations, we identified the main characteristics, historical trends, and dominant variability of drought across seven climatic sub-regions in Vietnam. The results show regional patterns of drought duration, inter-arrival time, frequency, and severity, but no consistent trend of drought variation during the study period. Based on the supply and demand concepts of water balance, PDSI captures well the large frequency and severity of drought in some sub-regions that are related to soil moisture deficit associated with high temperature and low rainfall during summer. Moreover, drought over Vietnam was predominantly controlled by climate seasonality. The linkages between drought in Vietnam and large-scale drivers are quite different among areas, suggesting a possibility of early prediction for drought at some sub-regions using ENSO.</t>
  </si>
  <si>
    <t>[Le, Phong V. V.; Tan Phan-Van; Tran, Duc Q.] VNU Univ Sci, Fac Hydrometeorol &amp; Oceanog, 334 Nguyen Trai, Hanoi, Vietnam; [Mai, Khiem V.] Vietnam Inst Meteorol Hydrol &amp; Climate Change, Hanoi, Vietnam</t>
  </si>
  <si>
    <t>NOV 30</t>
  </si>
  <si>
    <t>10.1002/joc.6164</t>
  </si>
  <si>
    <t>WOS:000492898900015</t>
  </si>
  <si>
    <t>Peralta, J. C. Albert C.; Narisma, Gemma Teresa T.; Cruz, Faye Abigail T.</t>
  </si>
  <si>
    <t>Gridded rainfall products could augment the shortage of available rainfall data in archipelagic countries like the Philippines, where weather stations are still sparsely distributed especially over its remote and less-developed islands. However, these products need to be validated first using ground measurements to determine their ability to represent properties of local rainfall. This study compares four high-resolution, gridded datasets-APHRODITEv1101, CHIRPSv2, TRMM 3B42v7, and PERSIANN-CDR-with respect to 49 synoptic weather stations over the Philippines from 1998 to 2005. The performance of these datasets was assessed in terms of bias, distribution, and different statistical error metrics and skill scores across time scales and climate types. Results show that all the datasets were able to capture the basic climatology and to varying extents, spatial patterns of Philippine rainfall. TRMM 3B42v7 has the least overall average monthly bias and most closely resembles the rainfall distribution observed at weather stations, especially dry days and torrential rain days for the whole Philippines. APHRODITEv1101 performs best in terms of error metrics and skill scores but displays consistent underestimates. CHIRPSv2, on the other hand, best captures the seasonal rainfall peaks in the different climate types in the Philippines but is prone to larger errors. Last, PERSIANN-CDR shows generally poor metrics and rainfall distributions, in comparison to the other datasets. These key findings are used to identify possible research applications in the Philippines that are best suited for each dataset.</t>
  </si>
  <si>
    <t>[Peralta, J. C. Albert C.; Narisma, Gemma Teresa T.] Ateneo Manila Univ, Sch Sci &amp; Engn, Dept Phys, Atmospher Sci Program, Quezon City, Philippines; [Peralta, J. C. Albert C.; Narisma, Gemma Teresa T.; Cruz, Faye Abigail T.] Manila Observ, Reg Climate Syst Lab, Quezon City, Philippines</t>
  </si>
  <si>
    <t>Ateneo de Manila University</t>
  </si>
  <si>
    <t>Department of Science and Technology, Philippines through the Students Support Research Fund (SSRF) of the Accelerated S&amp;T Human Resource Development Program (ASTHRDP) of the Science Education Institute (SEI)(Department of Science &amp; Technology (India)Department of Science &amp; Technology (DOST), Philippines); Philippine Council for Industry, Energy and Emerging Technology Research and Development (PCIEERD); Department of Physics, School of Science and Engineering, Ateneo de Manila University</t>
  </si>
  <si>
    <t>This research is supported by the Department of Science and Technology, Philippines through the Students Support Research Fund (SSRF) of the Accelerated S&amp;T Human Resource Development Program (ASTHRDP) of the Science Education Institute (SEI) and the Philippine Council for Industry, Energy and Emerging Technology Research and Development (PCIEERD), and the Department of Physics, School of Science and Engineering, Ateneo de Manila University.</t>
  </si>
  <si>
    <t>10.1175/JHM-D-19-0276.1</t>
  </si>
  <si>
    <t>WOS:000590462700009</t>
  </si>
  <si>
    <t>Chen, Cheng Yee; Singh, Mandeep Jit</t>
  </si>
  <si>
    <t>Tropospheric scintillation is a phenomenon that will cause signal degradation in satellite communication with low fade margin. Few studies of scintillation have been conducted in tropical regions. To analyze tropospheric scintillation, we obtain data from a satellite link installed at Bandung, Indonesia, at an elevation angle of 64.7 degrees and a frequency of 12.247 GHz from 1999 to 2000. The data are processed and compared with the predictions of several well-known scintillation prediction models. From the analysis, we found that the ITU-R model gives the lowest error rate when predicting the scintillation intensity for fade at 4.68%. However, the model should be further tested using data from higher-frequency bands, such as the K and Ka bands, to verify the accuracy of the model.</t>
  </si>
  <si>
    <t>[Chen, Cheng Yee; Singh, Mandeep Jit] Univ Kebangsaan Malaysia, Fac Engn &amp; Built Environm, Dept Elect Elect &amp; Syst Engn, Bangi, Selangor Darul, Malaysia</t>
  </si>
  <si>
    <t>Universiti Kebangsaan Malaysia</t>
  </si>
  <si>
    <t>1880-5981</t>
  </si>
  <si>
    <t>EARTH PLANETS SPACE</t>
  </si>
  <si>
    <t>Earth Planets Space</t>
  </si>
  <si>
    <t>JUL 2</t>
  </si>
  <si>
    <t>10.1186/1880-5981-66-64</t>
  </si>
  <si>
    <t>WOS:000338786500001</t>
  </si>
  <si>
    <t>In comparison to the Northern Hemisphere, especially Europe and North America, there is a scarcity of information regarding the historic weather and climate of Southeast Asia and the Southern Hemisphere in general. The reasons for this are both historic and political, yet that does not mean that such data do not exist. Much of the early instrumental weather records for Southeast Asia stem from the colonial period and, with some countries and regions changing hands between the European powers, surviving information tends to be scattered across the globe making its recovery a long and often arduous task. This paper focuses on data recovery for two countries that were once joined under British governance: Singapore and Malaysia. It will explore the early stage of a project that aims to recover surviving instrumental weather records for both countries from the late 1780s to the 1950s, with early research completed for the Straits Settlements (Singapore, Penang and Malacca) between 1786 and 1917. Taking a historical approach, the main focus here is to explore the types of records available and the circumstances of their production. In so doing, it will consider the potential for inaccuracy, highlight gaps in the record and use historical context to explain how and why these problems and omissions may have occurred. It will also explore the availability of narrative and data evidence to pinpoint extreme periods of weather such as drought or flood and consider the usefulness of historical narrative in identifying and analysing extreme events.</t>
  </si>
  <si>
    <t>[Williamson, Fiona] Singapore Management Univ, Sch Social Sci, Level 4,90 Stamford Rd, Singapore 178903, Singapore</t>
  </si>
  <si>
    <t>Singapore Management University</t>
  </si>
  <si>
    <t>The WRF modelling experiments in this study were performed by Srivatsan V. Raghavan and Liu Senfeng at the Tropical Marine Science Institute (TMSI), National University of Singapore (NUS). The author also wishes to thank Rob Allan of the international ACRE project, UK Met Office (UKMO), Hadley Centre, for commenting on earlier drafts of this article and for assistance in providing images, and Ahmad bin Osman, former research assistant at Singapore Management University, for assisting in the collation of data for the 1877 drought under the grant award MOET1-19-C242-SMU-003.</t>
  </si>
  <si>
    <t>1814-9324</t>
  </si>
  <si>
    <t>1814-9332</t>
  </si>
  <si>
    <t>CLIM PAST</t>
  </si>
  <si>
    <t>Clim. Past.</t>
  </si>
  <si>
    <t>APR 7</t>
  </si>
  <si>
    <t>10.5194/cp-17-791-2021</t>
  </si>
  <si>
    <t>Geosciences, Multidisciplinary; Meteorology &amp; Atmospheric Sciences</t>
  </si>
  <si>
    <t>WOS:000638995500001</t>
  </si>
  <si>
    <t>Cinco, Thelma A.; de Guzman, Rosalina G.; Ortiz, Andrea Monica D.; Delfino, Rafaela Jane P.; Lasco, Rodel D.; Hilario, Flaviana D.; Juanillo, Edna L.; Barba, Rose; Ares, Emma D.</t>
  </si>
  <si>
    <t>An analysis of tropical cyclone (TC) data from 1951 to 2013 in the Philippines revealed that an average of 19.4 TCs enter the Philippine Area of Responsibility (PAR) every year and nine TCs cross the country. Time series analysis of the TC datasets shows no significant trends in the annual number of TCs in PAR but a slightly decreasing trend in the number of landfalling TCs in the Philippines, particularly in the last two decades. However, while the analysis shows fewer typhoons (above 118 kph), more extreme TCs (above 150 kph) have affected the Philippines. The study also confirms that the Northern island of Luzon is most frequently hit by TCs, and that TC-associated rainfall is greatest in this region compared to the southernmost part of the country. The impact of TCs shows a consistently increasing trend in economic losses and damages. Further understanding of past and future trends of TC activity in the Western North Pacific Basin, and the PAR, including the impacts associated with them, will provide valuable insights for climate change adaptation and disaster risk management.</t>
  </si>
  <si>
    <t>[Cinco, Thelma A.; de Guzman, Rosalina G.; Hilario, Flaviana D.; Juanillo, Edna L.; Barba, Rose; Ares, Emma D.] PAGASA, Dept Sci &amp; Technol, Quezon City, Philippines; [Ortiz, Andrea Monica D.; Delfino, Rafaela Jane P.; Lasco, Rodel D.] Oscar M Lopez Ctr Climate Change Adaptat, Pasig, Philippines; [Ortiz, Andrea Monica D.] Disaster Risk Management Fdn OML Ctr Inc, Pasig, Philippines; [Ortiz, Andrea Monica D.] Univ Sheffield, Grantham Ctr Sustainable Futures, Dept Geog, Sheffield, S Yorkshire, England; [Lasco, Rodel D.] Univ Philippines Los Banos, Sch Environm Sci &amp; Management, Los Banos, Philippines; [Lasco, Rodel D.] World Agroforestry Ctr ICRAF, Los Banos, Philippines; [Lasco, Rodel D.] NAST, Dept Sci &amp; Technol, Manila, Philippines</t>
  </si>
  <si>
    <t>Department of Science &amp; Technology (DOST), Philippines; University of Sheffield; University of the Philippines System; University of the Philippines Los Banos; CGIAR; World Agroforestry (ICRAF)</t>
  </si>
  <si>
    <t>Oscar M. Lopez Center for Climate Change Adaptation and Disaster Risk Management Foundation, Inc. (OML Center); Philippine Atmospheric, Geophysical and Astronomical Services Administration (PAGASA)</t>
  </si>
  <si>
    <t>The authors wish to acknowledge the support of the Oscar M. Lopez Center for Climate Change Adaptation and Disaster Risk Management Foundation, Inc. (OML Center) and the Philippine Atmospheric, Geophysical and Astronomical Services Administration (PAGASA). We are also grateful to the valuable comments by the reviewers that led to the improvement of the manuscript.</t>
  </si>
  <si>
    <t>10.1002/joc.4659</t>
  </si>
  <si>
    <t>WOS:000387803000015</t>
  </si>
  <si>
    <t>Drought is a natural hazard with a severe and long-lasting impact on both human and natural systems. Among different drought categories, assessment of meteorological drought is imperative because it is the root cause of other types of drought. In the Philippines, there are limitations (access, availability, and spatial coverage) of long-term climate records to assess drought on the national scale. This paper aims to use the free high spatial resolution and long-term monthly climate data (i.e. rainfall and temperature) from TerraClimate to characterize meteorological drought hazard in the Philippines. The study used two commonly used drought hazard index such as the Standard Precipitation Index, and Standardized Precipitation Evapotranspiration Index to derive different drought characteristics. Based on the results, drought characteristics vary spatially across the country. There are areas in the country where drought duration can last up to 11 months. The magnitude of drought Philippines ranges from 47 to 677 mm with strength of 60 to 800 mm/month. Lastly, this study showed similar results compared to previous drought records and similar studies in the Philippines.</t>
  </si>
  <si>
    <t>[Salvacion, Arnold R.] Univ Philippines Los Banos, Coll Human Ecol, Dept Community &amp; Environm Resource Planning, Los Banos 4031, Laguna, Philippines</t>
  </si>
  <si>
    <t>University of the Philippines System; University of the Philippines Los Banos</t>
  </si>
  <si>
    <t>SPRINGER SINGAPORE PTE LTD</t>
  </si>
  <si>
    <t>#04-01 CENCON I, 1 TANNERY RD, SINGAPORE 347719, SINGAPORE</t>
  </si>
  <si>
    <t>2366-3286</t>
  </si>
  <si>
    <t>2366-3294</t>
  </si>
  <si>
    <t>SPAT INF RES</t>
  </si>
  <si>
    <t>Spat. Inf. Res.</t>
  </si>
  <si>
    <t>10.1007/s41324-021-00402-9</t>
  </si>
  <si>
    <t>Remote Sensing</t>
  </si>
  <si>
    <t>WOS:000651351600001</t>
  </si>
  <si>
    <t>Faikrua, Apiwat; Pimonsree, Sittichai; Wang, Lin; Limsakul, Atsamon; Singhruck, Patama; Dong, Zizhen</t>
  </si>
  <si>
    <t>Summer precipitation in Thailand is a major resource for water and agriculture. Understanding the decadal variations of summer precipitation is useful for water resource management planning for long-term periods. This study investigates decadal changes in summer precipitation in Thailand. An evident increase in summer precipitation was found after the mid-1990s, and the possible causes have been discussed. An analysis of precipitation from observational stations revealed a significant shift in 1994; an increase in summer precipitation can be observed over most of Thailand after 1994. Inspections of the atmospheric circulation revealed cyclonic anomalies over the Indochina Peninsula in the lower troposphere, facilitating enhanced moisture transport towards Thailand. Meanwhile, the anomalous local Hadley circulation over eastern Thailand demonstrated stronger ascending motion after 1994, facilitating enhanced precipitation. The abovementioned changes in the atmospheric circulation and summer precipitation are closely related to the decadal changes in the sea surface temperature over the Atlantic Multidecadal Oscillation.</t>
  </si>
  <si>
    <t>[Faikrua, Apiwat; Pimonsree, Sittichai] Univ Phayao, Sch Energy &amp; Environm, Atmospher Pollut &amp; Climate Change Res Unit, Phayao, Thailand; [Wang, Lin; Dong, Zizhen] Chinese Acad Sci, Inst Atmospher Phys, Ctr Monsoon Syst Res, Beijing, Peoples R China; [Wang, Lin; Dong, Zizhen] Univ Chinese Acad Sci, Coll Earth &amp; Planetary Sci, Beijing, Peoples R China; [Limsakul, Atsamon] Environm Res &amp; Training Ctr, Klong 5, Klongluang, Pathumthani, Thailand; [Singhruck, Patama] Chulalongkorn Univ, Fac Sci, Dept Marine Sci, Bangkok, Thailand</t>
  </si>
  <si>
    <t>University of Phayao; Chinese Academy of Sciences; Institute of Atmospheric Physics, CAS; Chinese Academy of Sciences; University of Chinese Academy of Sciences, CAS; Chulalongkorn University</t>
  </si>
  <si>
    <t>Thailand Research Fund(Thailand Research Fund (TRF)); National Natural Science Foundation of China(National Natural Science Foundation of China (NSFC)); University of Phayao; National Research Council of Thailand(National Research Council of Thailand (NRCT))</t>
  </si>
  <si>
    <t>We thank the three anonymous reviewers for their constructive comments that helped to improve the manuscript. We also thank Dr. Xia Qu for valuable discussions. Part of the work was done during the visit of A. F. to IAP, Beijing. This work was jointly supported by The Thailand Research Fund (Grant no. RDG6030002), National Natural Science Foundation of China (Grant no. 41661144016), University of Phayao (Grant no. RD62010), and National Research Council of Thailand (Grant no. 672108).</t>
  </si>
  <si>
    <t>11-12</t>
  </si>
  <si>
    <t>10.1007/s00382-020-05443-8</t>
  </si>
  <si>
    <t>WOS:000565110600002</t>
  </si>
  <si>
    <t>Duc, Hiep N.; Bang, Ho Q.; Quang, Ngo X.</t>
  </si>
  <si>
    <t>Rainfall in Vietnam is strongly influenced by climate drivers which are caused by anomalies in sea surface temperature (SST), sea level pressure (SLP) or geopotential height in the Pacific and the Indian Ocean. This paper analyses the rainfall records at different sites in various regions of Vietnam to determine the influence of the three major climate drivers, the ENSO (El Nino-Southern Oscillation), IPO (Interdecadal Pacific Oscillation) and IOD (Indian Ocean Dipole) and their interaction on the rainfall at each of these sites. A statistical technique called Bayesian model averaging (BMA) is used to discuss and address the uncertainties problem in model and variable selection when fitting observed rainfall data with climate drivers' indices. The results show that the ENSO, IPO and IOD and their interaction overall have very minor roles in influencing the rainfall in Northern Vietnam but they have some influences on the rainfall in the central and southern parts of Vietnam. Furthermore, seasonality analysis shows the spring rainfall in Vietnam is strongly influenced by the ENSO, IOD and ENSO*IOD interaction, with ENSO*IOD interaction strongest in the north. The situation in summer is similar but the IOD is most dominant compared to the ENSO and ENSO*IOD interaction. In autumn, the IOD and ENSO influences on rainfall are weaker while the IPO has strong influence in the Central and Southern Vietnam and no climate driver has any influence in the north. And during winter, the IPO, ENSO and IPO*ENSO interaction are associated with rainfall variability across Vietnam while the IOD influence is insignificant. The results also confirm the previous studies on the teleconnection roles of SST in the Pacific and Indian Oceans on rainfall variability in Vietnam.</t>
  </si>
  <si>
    <t>[Duc, Hiep N.] Ton Duc Thang Univ, Environm Qual Atmospher Sci &amp; Climate Change Res, 19 Nguyen Huu Tho St,Dist 7, Ho Chi Minh City, Vietnam; [Duc, Hiep N.] Ton Duc Thang Univ, Fac Environm &amp; Labour Safety, Ho Chi Minh City, Vietnam; [Bang, Ho Q.] Vietnam Natl Univ, Inst Environm &amp; Resources, Ho Chi Minh City, Vietnam; [Quang, Ngo X.] Vietnam Acad Sci &amp; Technol, Dept Environm Management &amp; Technol, Inst Trop Biol, Ho Chi Minh City, Vietnam; [Quang, Ngo X.] Vietnam Acad Sci &amp; Technol, Grad Univ Sci &amp; Technol, Hanoi, Vietnam</t>
  </si>
  <si>
    <t>Ton Duc Thang University; Ton Duc Thang University; Vietnam National University Hochiminh City; Vietnam Academy of Science &amp; Technology (VAST); Vietnam Academy of Science &amp; Technology (VAST)</t>
  </si>
  <si>
    <t>Foundation for Science and Technology Development (FOSTECH)</t>
  </si>
  <si>
    <t>Foundation for Science and Technology Development (FOSTECH), Grant/Award Number: FOSTECT.2015.BR.18</t>
  </si>
  <si>
    <t>10.1002/joc.5774</t>
  </si>
  <si>
    <t>WOS:000452432200020</t>
  </si>
  <si>
    <t>Yu, Jianjun; Kumar, Anupam; Pattnayak, Kanhu Charan; Obbard, Jeff; Moise, Aurel Florian</t>
  </si>
  <si>
    <t>Compound weather and climate extremes have amplified impacts on natural and socioeconomic systems across the world, including Singapore. To better understand the spatial and temporal characteristics of compound climate extremes, including concurrent rainfall and wind speed, as well as dry and hot conditions, we analyzed long-term observations from 11 selected meteorological stations over the period 1985-2020. The results revealed that the north and northeastern parts of Singapore were focal points for both types of compound extremes, with a higher frequency of occurrence than the southwest of the island. Concurrent rainfall and wind speed extremes were the most prominent in December and January thanks to the northeast monsoon, while dry and hot extremes were distributed mainly in the inter-monsoon season, with peaks in March and April. A notable upward trend was also detected for mild and moderate levels of both compound climate extremes over time. According to our review of the impacts, Singapore has benefited from investments in enhanced water infrastructure; water resource availability was less affected; and flash floods were not proportionally related to the severity of climate extremes. The forests in the urban landscape of Singapore also exhibit resilience to drought.</t>
  </si>
  <si>
    <t>[Yu, Jianjun; Kumar, Anupam; Pattnayak, Kanhu Charan; Obbard, Jeff; Moise, Aurel Florian] Natl Environm Agcy, Meteorol Serv Singapore, Ctr Climate Res Singapore, Singapore 537054, Singapore</t>
  </si>
  <si>
    <t>Meteorological Service Singapore</t>
  </si>
  <si>
    <t>10.3390/cli11030058</t>
  </si>
  <si>
    <t>WOS:000955425400001</t>
  </si>
  <si>
    <t>Chow, Winston T. L.; Cheong, Brendan D.; Ho, Beatrice H.</t>
  </si>
  <si>
    <t>We investigated flooding patterns in the urbanised city-state of Singapore through a multimethod approach combining station precipitation data with archival newspaper and governmental records; changes in flash floods frequencies or reported impacts of floods towards Singapore society were documented. We subsequently discussed potential flooding impacts in the context of urban vulnerability, based on future urbanisation and forecasted precipitation projections for Singapore. We find that, despite effective flood management, (i) significant increases in reported flash flood frequency occurred in contemporary (post-2000) relative to preceding (1984-1999) periods, (ii) these flash floods coincide with more localised, patchy storm events, (iii) storms in recent years are also more intense and frequent, and (iv) floods result in low human casualties but have high economic costs via insurance damage claims. We assess that Singapore presently has low vulnerability to floods vis-a-vis other regional cities largely due to holistic flood management via consistent and successful infrastructural development, widespread flood monitoring, and effective advisory platforms. We conclude, however, that future vulnerabilities may increase from stresses arising from physical exposure to climate change and from demographic sensitivity via rapid population growth. Anticipating these changes is potentially useful in maintaining the high resilience of Singapore towards this hydrometeorological hazard.</t>
  </si>
  <si>
    <t>[Chow, Winston T. L.; Cheong, Brendan D.; Ho, Beatrice H.] Natl Univ Singapore, Dept Geog, AS2,03-01,1 Arts Link, Singapore 117570, Singapore; [Chow, Winston T. L.] Natl Univ Singapore, Lee Kuan Yew Sch Publ Policy, Inst Water Policy, 469C Bukit Timah Rd,Level 2,Oei Tiong Ham Bldg, Singapore 259772, Singapore</t>
  </si>
  <si>
    <t>National University of Singapore; National University of Singapore</t>
  </si>
  <si>
    <t>NUS(National University of Singapore)</t>
  </si>
  <si>
    <t>A major impetus for this paper stemmed from discussions between the authors with Dr. Alan Ziegler and Dr. Robert Wasson from NUS and Ms. Claire Kennedy (AON Benfield) during the Future Floods Workshop organised by the Faculty of Arts and Social Sciences Environment Cluster (NUS) and AON Benfield in February 2015. The authors sincerely thank these individuals for their suggestions. WTLC's research is supported by the NUS through research Grant R-109-000-162-133.</t>
  </si>
  <si>
    <t>10.1155/2016/7159132</t>
  </si>
  <si>
    <t>WOS:000378699500001</t>
  </si>
  <si>
    <t>Oo, Kyaw Than; Haishan, Chen; Jonah, Kazora</t>
  </si>
  <si>
    <t>The study examines the characteristics and variability of monsoon rainfall in Myanmar, focusing on the relationship between heavy rainfall, floods, and earthquakes, which impact agriculture, hydrology, and the environment. Generally, heavy rainfall can cause flooding, economic losses, and water table changes. Northern Myanmar floods occur mainly during the monsoon season from June to October and can be classified into widespread floods along major rivers like Ayeyarwady, Thanlwin, Chindwin, and Sittoung and flash floods in small streams and rivers. Climate change is expected to increase the frequency and intensity of extreme weather events, including heavy rainfall, which can trigger floods or landslides, which also can in turn cause earthquakes. Heavy rainfall over northern Myanmar and the Sagaing faults, which are the main triggers of earthquakes, has been the subject of several studies. The study uses the Copernicus 5 database of global climate model (GCM) simulations with two scenario analyses on climate change detection and indices (ETCCDI) to study changes in climatic extremes. Results show high intensity in the northern region and monsoon core regions, while the central region shows less intensity. The study also uses intensity-duration-frequency (IDF) curves to analyze the relationship between rainfall duration, intensity, and return time in major risk zones. The study finds that as short duration lengthens, rainfall intensity increases for future rainfall patterns. This information is expected to be convenient for local authorities and flood protection projects in rural and urban basins.</t>
  </si>
  <si>
    <t>[Oo, Kyaw Than; Haishan, Chen; Jonah, Kazora] Nanjing Univ Informat Sci &amp; Technol, Sch Atmospher Sci, Nanjing, Peoples R China; [Oo, Kyaw Than] Aviat Weather Serv, Yangon, Myanmar; [Jonah, Kazora] Rwanda Meteorol Agcy Meteo Rwanda, Kigali, Rwanda</t>
  </si>
  <si>
    <t>Nanjing University of Information Science and Technology (NUIST)(Nanjing University of Information Science &amp; Technology)</t>
  </si>
  <si>
    <t>The author acknowledges the scientists of the ECMFW for supporting ERA5 datasets. The Department of Meteorology and Hydrology (DMH), Myanmar, is also acknowledged for providing the observed rainfall datasets. Also, thanks are due to the Nanjing University of Information Science and Technology (NUIST) for supporting my skills and techniques. I show deep gratitude to Professor Haishan Chen from NUIST, who supervises my PhD study, and Professor Juan Li from NUIST, who supported the basic methods and concepts for this study. Publishing is being carried out using self-funding.</t>
  </si>
  <si>
    <t>1687-885X</t>
  </si>
  <si>
    <t>1687-8868</t>
  </si>
  <si>
    <t>INT J GEOPHYS</t>
  </si>
  <si>
    <t>Int. J. Geophys.</t>
  </si>
  <si>
    <t>DEC 22</t>
  </si>
  <si>
    <t>10.1155/2023/2186857</t>
  </si>
  <si>
    <t>WOS:001131683900001</t>
  </si>
  <si>
    <t>Tropical cyclone (TC)-induced rainfall (TC rain) in the Philippines was investigated using a combination of ground and satellite observations to produce a blended 64-yr precipitation dataset. A total of 1673 TCs were examined using best track data from the Japan Meteorological Agency. Rainfall from 10 0 (; 1110 km) of the TC center was considered as TC-induced rainfall. TC rain contribution is highest in the northern Philippines, particularly along the western coast of Luzon (up to 54%), and lowest in the southern islands of Mindanao (6%). The high TC rain contribution is attributed to the enhancement of the Asian southwest monsoon by TCs located to the northeast of the Philippines. An unsupervised clustering method, k-means clustering, was used to divide the archipelago into four climate subtypes according to monthly rainfall variation. Interannual variability of rainfall from climate clusters with high TC rain contribution generally follows the variability of TC rain. On the other hand, the variability of low TC rain clusters is mainly influenced by El Nino-Southern contribution since 2000. This study hypothesizes that this increasing trend is due to changes in the characteristics of TC steering mechanisms and thermodynamic properties east of the Philippines in the past one and a half decades.</t>
  </si>
  <si>
    <t>[Bagtasa, Gerry] Univ Philippines, Inst Environm Sci &amp; Meteorol, Quezon City, Philippines</t>
  </si>
  <si>
    <t>University of the Philippines System; University of the Philippines Diliman</t>
  </si>
  <si>
    <t>WHATSUP</t>
  </si>
  <si>
    <t>The author would like to acknowledge the generosity of the Oscar M. Lopez Center for Climate Change Adaptation and Disaster Risk Management Foundation, Inc. (OML Center) for supporting the WHATSUP project (NP2013-07UP1). The author would also like to thank the three reviewers for their valuable comments, which helped to improve the quality of the paper.</t>
  </si>
  <si>
    <t>10.1175/JCLI-D-16-0150.1</t>
  </si>
  <si>
    <t>WOS:000401006100006</t>
  </si>
  <si>
    <t>Raghavan, S. V.; Vu, M. T.; Liong, S. Y.</t>
  </si>
  <si>
    <t>A systematic ensemble high resolution climate modelling study over Vietnam has been performed using the PRECIS model developed by the Hadley Center in UK. A 5 member subset of the 17-member Perturbed Physics Ensembles (PPE) of the Quantifying Uncertainty in Model Predictions (QUMP) project were simulated and analyzed. The PRECIS model simulations were conducted at a horizontal resolution of 25 km for the baseline period 1961-1990 and a future climate period 2061-2090 under scenario AlB. The results of model simulations show that the model was able to reproduce the mean state of climate over Vietnam when compared to observations. The annual cycles and seasonal averages of precipitation over different sub-regions of Vietnam show the ability of the model in also reproducing the observed peak and magnitude of monthly rainfall. The climate extremes of precipitation were also fairly well captured. Projections of future climate show both increases and decreases in the mean climate over different regions of Vietnam. The analyses of future extreme rainfall using the STARDEX precipitation indices show an increase in 90th percentile precipitation (P90p) over the northern provinces (15-25%) and central highland (5-10%) and over southern Vietnam (up to 5%). The total number of wet days (Prcp) indicates a decrease of about 5-10% all over Vietnam. Consequently, an increase in the wet day rainfall intensity (SDII), is likely inferring that the projected rainfall would be much more severe and intense which have the potential to cause flooding in some regions. Risks due to extreme drought also exist in other regions where the number of wet days decreases. In addition, the maximum 5 day consecutive rainfall (R5d) increases by 20-25% over northern Vietnam but decreases in a similar range over the central and southern Vietnam. These results have strong implications for the management water resources, agriculture, bio diversity and economy and serve as some useful findings to be considered by the policy makers within a wider range of climate uncertainties. (C) 2016 Elsevier B.V. All rights reserved.</t>
  </si>
  <si>
    <t>[Raghavan, S. V.; Vu, M. T.; Liong, S. Y.] Natl Univ Singapore, Trop Marine Sci Inst, Singapore, Singapore; [Raghavan, S. V.; Vu, M. T.; Liong, S. Y.] SMART, Ctr Environm Sensing &amp; Modeling, Singapore, Singapore; [Raghavan, S. V.; Vu, M. T.; Liong, S. Y.] NUS, Ctr Hazards Res, Dept Civil &amp; Environm Engn, Singapore, Singapore; [Liong, S. Y.] Willis Re Inc, Willis Res Network, London, England</t>
  </si>
  <si>
    <t>National University of Singapore; Singapore-MIT Alliance for Research &amp; Technology Centre (SMART); National University of Singapore</t>
  </si>
  <si>
    <t>10.1016/j.gloplacha.2016.12.003</t>
  </si>
  <si>
    <t>WOS:000393528200009</t>
  </si>
  <si>
    <t>Huang Xiaoyan; He Li; Zhao Huasheng; Huang Ying</t>
  </si>
  <si>
    <t>This study conducted a statistical analysis of the landfalls over China and Vietnam by using the positioning dataset of tropical cyclone (TC) from 1949 to 2014 for 66 years. The climate characteristics of South China Sea-generated tropical cyclones (SCS-G TCs) (105-120 degrees E, 5-20 degrees N) were analyzed; the characteristics that were analyzed include landfall frequency, intensity, average dates of first and last TC in years, landfall site, average latitudes at which the SCS-G TCs land, and time evolution characteristics. Results showed that the annual number of SCS-G TC landfalls over China and Vietnam presented a decreasing linear trend in 66 years from 1949 to 2014. Moreover, the landfall frequency of TCs clearly showed interannual and interdecadal variability. Comparison analysis showed that 152 and 147 landfall occurrences of SCS-G TCs were found over China and Vietnam in 66 years, respectively. The average landfall dates of SCS-G TCs occurred earlier in China than in Vietnam by a month, but both showed normally distributed characteristics and generated source latitude distribution. However, the peak source of landfalls over Vietnam was less than that over China by two latitudes. Furthermore, the largest proportions of SCS-G TCs with landfall occurred over the two countries.</t>
  </si>
  <si>
    <t>[Huang Xiaoyan; He Li; Zhao Huasheng; Huang Ying] Guangxi Res Inst Meteorol Disasters Mitigat, 81 Natl Rd, Nanning 530022, Peoples R China</t>
  </si>
  <si>
    <t>National Natural Science Foundation of China(National Natural Science Foundation of China (NSFC)); Youth Foundation of Guangxi</t>
  </si>
  <si>
    <t>This study was supported by the National Natural Science Foundation of China (Grant Nos. 41575051 and 41465003) and the Youth Foundation of Guangxi (Grant No. 2014GXNSFBA118211).</t>
  </si>
  <si>
    <t>10.1007/s11069-017-2905-4</t>
  </si>
  <si>
    <t>WOS:000406767600021</t>
  </si>
  <si>
    <t>Chhin, Rattana; Shwe, Myint M.; Yoden, Shigeo</t>
  </si>
  <si>
    <t>The time-lagged correlations of monthly precipitation in Myanmar and the Indochina Peninsula (ICP) with several climate indices were investigated by using Global Precipitation Climatology Centre dataset after checking its quality with rain-gauge data. The results showed significant time-lagged correlations of several climate indices related to El Nino-Southern Oscillation and El Nino Modoki with precipitation anomalies in Southern Myanmar during pre-monsoon (April) and post-monsoon (October) months. Composite analysis of extremes and Empirical Orthogonal Function (EOF) analysis on precipitation variations over the whole ICP for these 2 months were carried out. The analyses showed a good association between precipitation in Southern Myanmar and a large-scale precipitation structure that affects the Southern Myanmar and ICP simultaneously during these 2 months. An analysis of moisture flux over a wide area of ICP, including the surrounding seas, showed that the regressed variability of its convergence with the first principal component (PC1) of EOF analysis on precipitation over the whole ICP is statistically significant over the wide area from the Bay of Bengal to Southern ICP and South China Sea for the 2 months. The significant time-lagged correlations were confirmed by regressing sea surface temperature (SST) in the Pacific and Indian Oceans and 850-hPa zonal wind (U850) upon the PC1. We propose an area-averaged SST, U850, or the combination of these variables at each corresponding best location in the equatorial region to the highest correlation searched in this study as a good predictor for long-range statistical prediction of monthly precipitation in the southern part of ICP, particularly for the pre-monsoon month. Using a linear model and the proposed predictors, we demonstrate a successful hindcast in predicting the pre-monsoon and post-monsoon precipitation in the southern part of ICP (south of 20 N) up to 6 and 3 months ahead, respectively.</t>
  </si>
  <si>
    <t>[Chhin, Rattana; Yoden, Shigeo] Kyoto Univ, Dept Geophys, Kyoto, Japan; [Shwe, Myint M.] Dept Meteorol &amp; Hydrol, Naypyitaw, Myanmar</t>
  </si>
  <si>
    <t>Kyoto University</t>
  </si>
  <si>
    <t>Japan Society for the Promotion of Science (JSPS)(Ministry of Education, Culture, Sports, Science and Technology, Japan (MEXT)Japan Society for the Promotion of Science)</t>
  </si>
  <si>
    <t>Japan Society for the Promotion of Science (JSPS), Grant/Award Numbers: JP17H01159, JP24224011</t>
  </si>
  <si>
    <t>JUN 30</t>
  </si>
  <si>
    <t>10.1002/joc.6428</t>
  </si>
  <si>
    <t>WOS:000502465900001</t>
  </si>
  <si>
    <t>Wu, Xinkai; Zhang, Hao; Kodrul, Tatiana M.; Maslova, Natalia P.; Jiang, Songyao; Yin, Qianyi; Quan, Cheng; Jin, Jianhua</t>
  </si>
  <si>
    <t>Fokienia A. Henry &amp; H. H. Thomas is a monotypic genus of the Cupressoideae Rich. ex Sweet (Cupressaceae), native to subtropical evergreen mesophytic forests in South China, northern Laos and Vietnam. The fossil record of Fokienia is very scanty, with only one known occurrence of foliage in the Oligocene of Longjing, Jilin, China. Here we report the fossil foliage of Fokienia discovered in the Miocene Erzitang Formation of the Guiping Basin, South China, which is similar to that of the only extant species Fokienia hodginsii in both macromorphological and epidermal features. This species is the earliest fossil record within the modern distribution area of Fokienia and the only fossil species for which morphology and anatomy have been studied in detail. Fossil evidence suggests that the genus Fokienia was present at middle latitudes of the Northern Hemisphere in the Oligocene and spread to South China during the Miocene. Due to physiological adaptations to warm-wet environments and weak cold tolerance, Fokienia migrated southward, as global climate cooling gradually drove it to extinction in the mid-latitudes. The ecological niche of the extant species, and co-existing plant fossils, suggest that the fossil assemblage represents the remains of an evergreen broad-leaved and conifer mixed forest growing under humid and warm Miocene climate.</t>
  </si>
  <si>
    <t>[Wu, Xinkai; Zhang, Hao; Jiang, Songyao; Yin, Qianyi; Jin, Jianhua] Sun Yat Sen Univ, Sch Ecol, Sch Life Sci, State Key Lab Biocontrol, Guangzhou, Peoples R China; [Wu, Xinkai; Zhang, Hao; Jiang, Songyao; Yin, Qianyi; Jin, Jianhua] Sun Yat Sen Univ, Sch Ecol, Sch Life Sci, Guangdong Prov Key Lab Plant Resources, Guangzhou, Peoples R China; [Kodrul, Tatiana M.] Russian Acad Sci, Geol Inst, Moscow, Russia; [Maslova, Natalia P.] Russian Acad Sci, Borissiak Paleontol Inst, Moscow, Russia; [Quan, Cheng] Changan Univ, Sch Earth Sci &amp; Resources, Xian, Peoples R China</t>
  </si>
  <si>
    <t>Sun Yat Sen University; Sun Yat Sen University; Russian Academy of Sciences; Geological Institute, Russian Academy of Sciences; Russian Academy of Sciences; Paleontological Institute of the Russian Academy of Sciences; Chang'an University</t>
  </si>
  <si>
    <t>National Natural Science Foundation of China(National Natural Science Foundation of China (NSFC)); China Postdoctoral Science Foundation(China Postdoctoral Science Foundation); Fundamental Research Funds for the Central Universities(Fundamental Research Funds for the Central Universities); Russian Foundation for Basic Research (RFBR)(Russian Foundation for Basic Research (RFBR)); State Program</t>
  </si>
  <si>
    <t>This study was supported by the National Natural Science Foundation of China (Grant Nos. 42072020, 42111530024, 41820104002, 41572011), the China Postdoctoral Science Foundation (2021M693589), the Fundamental Research Funds for the Central Universities (2021qntd18), the Russian Foundation for Basic Research (RFBR, Grant No. 21-54-53001, to NM), and the State Program (No. 0135-2019-0045, Geological Institute, Russian Academy of Sciences, to TK).</t>
  </si>
  <si>
    <t>FRONTIERS MEDIA SA</t>
  </si>
  <si>
    <t>LAUSANNE</t>
  </si>
  <si>
    <t>AVENUE DU TRIBUNAL FEDERAL 34, LAUSANNE, CH-1015, SWITZERLAND</t>
  </si>
  <si>
    <t>2296-6463</t>
  </si>
  <si>
    <t>FRONT EARTH SC-SWITZ</t>
  </si>
  <si>
    <t>Front. Earth Sci.</t>
  </si>
  <si>
    <t>JUL 5</t>
  </si>
  <si>
    <t>10.3389/feart.2021.709663</t>
  </si>
  <si>
    <t>WOS:000674267700001</t>
  </si>
  <si>
    <t>Long Trinh-Tuan; Matsumoto, Jun; Thanh Ngo-Duc; Nodzu, Masato I.; Inoue, Tomoshige</t>
  </si>
  <si>
    <t>A comprehensive validation of three satellite precipitation datasets (SPDs), including (1) the Climate Prediction Center Morphing algorithm (CMORPH), (2) Global Satellite Mapping of Precipitation (GSMaP) Reanalysis, and (3) Tropical Rainfall Measuring Mission multi-satellite precipitation analysis (TRMM) 3B42, was conducted using the rain gauge-based Vietnam Gridded Precipitation dataset (VnGP) and rain gauge station data for Central Vietnam. The three SPDs were compared and evaluated for two contrasting topographic regions, i.e., the Vietnam Central Highlands (VCH) and the Vietnam Central Coast (VCC), during the rainy seasons from 2001 to 2010 at different spatial (grid and regional) and temporal (daily and monthly) scales. Widespread heavy rainfall (WHR) days caused by the Northeast Winter Monsoon (NM), the Inter-tropical Convergence Zone (ITCZ), and tropical cyclones (TCs) were also identified, and the accuracies of the SPDs in detecting heavy rainfall during the WHR days were evaluated. TRMM was shown to exhibit advantages over the other SPDs, regardless of the spatial and temporal scales. Although the CMORPH and GSMaP datasets appeared to correlate moderately well with the VnGP dataset and proved able to capture the spatial distribution of rainfall characteristics in the VCC, they significantly underestimated rainfall in the VCH. Regarding the capability to reproduce WHR events, the three SPDs exhibited better performance for TCs and the ITCZ than for the NM. TRMM exhibited the best performance among the three datasets, especially for rainfall thresholds ranging from 25 to 80mmday(-1). The GSMaP and CMORPH biases showed a clear dependence on elevation and zonal wind speed, indicating the need to improve correction methods.</t>
  </si>
  <si>
    <t>[Long Trinh-Tuan; Matsumoto, Jun; Nodzu, Masato I.; Inoue, Tomoshige] Tokyo Metropolitan Univ, Dept Geog, 1-1 Minami Osawa, Hachioji, Tokyo 1920397, Japan; [Long Trinh-Tuan; Thanh Ngo-Duc] USTH, VAST, REMOSAT Lab, Hanoi, Vietnam; [Matsumoto, Jun] Japan Agcy Marine Earth Sci &amp; Technol, Dynam Coupling Ocean Atmosphere Land Res Program, Yokosuka, Kanagawa 2370061, Japan</t>
  </si>
  <si>
    <t>Tokyo Metropolitan University; Vietnam Academy of Science &amp; Technology (VAST); University of Science &amp; Technology of Hanoi (USTH); Japan Agency for Marine-Earth Science &amp; Technology (JAMSTEC)</t>
  </si>
  <si>
    <t>8th JAXA PMM Project; Tokyo Human Resources Fund for City Diplomacy of Tokyo Metropolitan University from Tokyo Metropolitan Government; JSPS KAKENHI(Ministry of Education, Culture, Sports, Science and Technology, Japan (MEXT)Japan Society for the Promotion of ScienceGrants-in-Aid for Scientific Research (KAKENHI)); Vietnam National Foundation for Science and Technology Development (NAFOSTED)(National Foundation for Science &amp; Technology Development (NAFOSTED))</t>
  </si>
  <si>
    <t>LTT, JM, TND, and MIN were supported by the 8th JAXA PMM Project (JX-PSPC-436541, PI No. 204). LTT and JM were also supported by the Tokyo Human Resources Fund for City Diplomacy of Tokyo Metropolitan University received from the Tokyo Metropolitan Government. JM and TI were additionally supported by the JSPS KAKENHI grant number 26220202. TND was supported by the Vietnam National Foundation for Science and Technology Development (NAFOSTED) under grant 105.06-2018.05.</t>
  </si>
  <si>
    <t>JUL 31</t>
  </si>
  <si>
    <t>10.1186/s40645-019-0297-7</t>
  </si>
  <si>
    <t>WOS:000478003500001</t>
  </si>
  <si>
    <t>De Petris, Samuele; Boccardo, Piero; Borgogno-Mondino, Enrico</t>
  </si>
  <si>
    <t>Oil palm is a perennial tree that well fits the humid tropical climate; fresh fruit bunchesare the palm raw fruit for oil mills. Palm oil is the world highest yielding oil crop determining that palms are extensively planted in South-East Asia, especially in Malaysia, Thailand, and Indonesia where plantations have been spreading in response to the increasing market demand. Cultivation of oil palm in tropical countries is an important economic factor, but it has already proved of endangering biodiversity and degrading environment with a global impact related to forest loss. Remote sensing well fits requirements of precision farming that many stakeholders involved in palm oil production are currently approaching to decrease or monitor environmental impacts. In this work, an enhanced vegetation index (EVI) time series of 415 images was obtained from the MODIS Vegetation Index 16 days composite product (MOD13Q1-v5) to explore tropical vegetation changes. The EVI time series covers a period of 18 years; it was processed aiming at mapping new oil palm plantations in the reference period, giving an estimate of their age, production, and economic value. In this work, a new methodology for oil palm detection and characterization was presented based on local EVI temporal profile analysis. Pixel EVI temporal profile proved to be effective in describing both vegetation macro-phenology and forest loss at that position. Consequently, the proposed algorithm looks for abrupt changes along the local EVI time series (sudden decreasing). The minimum EVI value recorded in the detected changing period is assumed as a predictor of the starting date of new plantations, being the latter reasonably related to forest loss and preliminary soil preparation. Starting date is then used by the algorithm to estimate oil palm age and, consequently, the present local (potential) production. Accuracy assessment showed an overall accuracy in new palm oil plantation detection of about 94%. Starting age estimation proved to be accurate enough: 76% of the estimates, in fact, were placed in a range of uncertainty of 1 year.</t>
  </si>
  <si>
    <t>[De Petris, Samuele; Borgogno-Mondino, Enrico] Univ Torino, DISAFA Dept Agr Food &amp; Forestry Sci, Turin, Italy; [Boccardo, Piero] Politecn Torino, DIST Interuniv Dept Reg &amp; Urban Studies &amp; Plannin, Turin, Italy</t>
  </si>
  <si>
    <t>University of Turin; Polytechnic University of Turin</t>
  </si>
  <si>
    <t>OCT 2</t>
  </si>
  <si>
    <t>10.1080/01431161.2019.1584689</t>
  </si>
  <si>
    <t>WOS:000471955100002</t>
  </si>
  <si>
    <t>Ngai, Sheau Tieh; Juneng, Liew; Tangang, Fredolin; Chung, Jing Xiang; Salimun, Ester; Tan, Mou Leong; Amalia, Siti</t>
  </si>
  <si>
    <t>The quantile mapping (QM) bias correction algorithm was applied to bias-correcting the daily rainfall over the Malaysia based on the APHRODITE gridded observed dataset. The quality of the bias correction in reducing the biases of regional climate models in frequency (FREQ), mean intensity (SDII) and 90th percentile (Q90) of the daily rainfall was assessed. The result shows that QM performs well in correcting the rainfall statistics. The QM bias correction method was then applied to seven Regional Climate Models (RCMs) projection output from the CORDEX Southeast Asia (CORDEX-SEA) dataset, to obtain high resolution rainfall change scenarios over the Malaysia, based on the IPCC's representative concentration pathways (RCP) 4.5 and 8.5 scenarios. The ensemble mean of seven RCMs suggests that the future projection expected a decrease in the rainfall frequencies over the Malaysia toward the 21st century for both RCP scenarios. Meanwhile, the rainfall intensity and extremes over the Peninsular Malaysia (East Malaysia) is likely to decrease (increase) especially during the winter (summer and autumn) months by the end of the century. A remarkable decrement of rainfall frequency and extremes was found in western Peninsular Malaysia, with changes of around - 4 to - 8% with respect to the historical period driven by the RCP4.5 and RCP8.5 scenario respectively.</t>
  </si>
  <si>
    <t>[Ngai, Sheau Tieh; Juneng, Liew; Tangang, Fredolin; Chung, Jing Xiang; Salimun, Ester; Amalia, Siti] Univ Kebangsaan Malaysia, Fac Sci &amp; Technol, Dept Earth Sci &amp; Environm, Bangi 43600, Malaysia; [Juneng, Liew; Salimun, Ester] Univ Kebangsaan Malaysia, Fac Sci &amp; Technol, Marine Ecosyst Res Ctr EKOMAR, Bangi 43600, Malaysia; [Tan, Mou Leong] Univ Sains Malaysia, Sch Humanities, Geog Sect, George Town 11800, Malaysia; [Chung, Jing Xiang] Univ Malaysia Terengganu, Inst Oceanog &amp; Environm, Kuala Nerus 21030, Terengganu, Malaysia</t>
  </si>
  <si>
    <t>Universiti Kebangsaan Malaysia; Universiti Kebangsaan Malaysia; Universiti Sains Malaysia; Universiti Malaysia Terengganu</t>
  </si>
  <si>
    <t>Universiti Kebangsaan Malaysia research fund; Malaysian government eScienceFund; Asia-Pacific Network (APN) for Global Change Research fund</t>
  </si>
  <si>
    <t>This research was funded by the Universiti Kebangsaan Malaysia research fund DIP-2019-024, Malaysian government eScienceFund 0401-02-SF1377 and the Asia-Pacific Network (APN) for Global Change Research fund ACRP2014-07CMY-Tangang/ST-2015-003.</t>
  </si>
  <si>
    <t>10.1016/j.atmosres.2020.104926</t>
  </si>
  <si>
    <t>WOS:000527314900002</t>
  </si>
  <si>
    <t>Ibrahim, Kamarulazizi; Shabudin, Ahmad Firdaus Ahmad; Koshy, Kanayathu Chacko; Asrar, Ghassem R.</t>
  </si>
  <si>
    <t>With Malaysia's commitment to both mitigation and adaptation, the 21st Conference of Parties to the United Nations Framework Convention for Climate Change in Paris, 2015, will be both an opportunity to showcase best practices and a forum to promote international ownership of climate challenge before it becomes a catastrophe. Our experience with weather extremes is that the best time to intervene is at the risk level via prevention and preparedness, compared to any wait-and-see approach. As the Honourable Prime Minister of Malaysia, Dato' Sri Mohd Najib Abdul Razak, elaborated during the recent 11th Malaysia Plan presentation to the parliament, such an approach has to be seen as part of adopting green growth and increasing our commitment to long-term sustainability'. Malaysia is also aware that this requires policy support, technological interventions and financial commitment. It is for this reason the Malaysia's pledge at the Copenhagen COP-15 was to reduce its carbon emission by 40% from 2005 levels by 2020, subject to technology transfer and financial support by developed countries. Having achieved a 33% reduction in the last five years, Malaysia is convinced that it can reach the 40% target following an inclusive partnership framework for action.</t>
  </si>
  <si>
    <t>[Ibrahim, Kamarulazizi; Shabudin, Ahmad Firdaus Ahmad; Koshy, Kanayathu Chacko] Univ Sains Malaysia, Ctr Global Sustainabil Studies, Hamzah Sendut Lib, Level 5, George Town, Malaysia; [Asrar, Ghassem R.] Univ Maryland, Pacific Northwest Natl Lab, Joint Global Change Res Inst, College Pk, MD 20742 USA</t>
  </si>
  <si>
    <t>Universiti Sains Malaysia; United States Department of Energy (DOE); Pacific Northwest National Laboratory; University System of Maryland; University of Maryland College Park</t>
  </si>
  <si>
    <t>1947-5705</t>
  </si>
  <si>
    <t>1947-5713</t>
  </si>
  <si>
    <t>GEOMAT NAT HAZ RISK</t>
  </si>
  <si>
    <t>Geomat. Nat. Hazards Risk</t>
  </si>
  <si>
    <t>10.1080/19475705.2016.1155503</t>
  </si>
  <si>
    <t>WOS:000382556200001</t>
  </si>
  <si>
    <t>Pumijumnong, Nathsuda; Muangsong, Chotika; Panthi, Shankar; Buajan, Supaporn; Cai, Binggui; Kulsuwan, Patticha; Kongsombat, Prat</t>
  </si>
  <si>
    <t>Thailand is bounded by the Gulf of Thailand in the Pacific Ocean and the Andaman Sea in the Indian Ocean. Variations in the Thailand monsoon (TM) are strongly influenced by the El Nino-Southern Oscillation (ENSO) and the Indian Ocean Dipole (IOD) phenomenon. The climatology of Thailand is of great importance for un-derstanding seasonal responses to large-scale climatic variations and associated ocean-atmospheric forcing. This study presents the first longest reconstruction (1792-2016 CE) of March-May relative humidity (RH) based on the tree-ring width chronology of Pinus latteri trees from Nan province, northern Thailand. The growth of P. latteri was mainly limited by pre-monsoon RH variability (r = 0.773, p &lt; 0.001, n = 66). The field spatial correlations with the gridded climate datasets demonstrated that the climatic signals retained in our reconstruction repre-sented regional climate variations. Extremely wet years were observed in 1879, 1887, 1908, 1929, 1942, 1974, and 2013 CE, whereas extremely dry years were found in 1795-1796, 1905, 1960, 1992, and 2010 CE. Spectral analysis and spatial correlation analysis revealed pre-monsoon RH variability in the northern Thailand is linked to large-scale ocean-atmospheric circulations, mainly ENSO and IOD activities due to sea surface temperatures variation in the Pacific and Indian Oceans. ENSO-related climate anomalies during the past 225 years were strongly associated in our reconstruction, of which a total of 63% extremely and abnormally wet years occurred during the La Nina events, whereas 59% of extremely and abnormally dry years corresponded to El Nino events. Our reconstruction indicated increasing extreme wet and dry events since 1900 CE attributed to ENSO activities, and thus provide useful insights to understand occurrence of extreme weather events in Thailand climatology.</t>
  </si>
  <si>
    <t>[Pumijumnong, Nathsuda; Buajan, Supaporn] Mahidol Univ, Fac Environm &amp; Resource Studies, Nakhon Pathom 73170, Thailand; [Muangsong, Chotika; Kulsuwan, Patticha; Kongsombat, Prat] Mahidol Univ, Innovat Social &amp; Environm Management, Amnatcharoen Campus, Amnatcharoen 37000, Thailand; [Panthi, Shankar] Chinese Acad Sci, CAS Key Lab Trop Forest Ecol, Xishuangbanna Trop Bot Garden, Mengla 666303, Yunnan, Peoples R China; [Cai, Binggui] Fujian Normal Univ, Key Lab Humid Subtrop Ecogeog Proc, Minist Educ, Fuzhou 350007, Peoples R China; [Cai, Binggui] Fujian Normal Univ, Inst Geog, Fuzhou 350007, Peoples R China</t>
  </si>
  <si>
    <t>Mahidol University; Mahidol University; Chinese Academy of Sciences; Xishuangbanna Tropical Botanical Garden, CAS; Fujian Normal University; Fujian Normal University</t>
  </si>
  <si>
    <t>Mahidol University; National Natural Science Foundation of China(National Natural Science Foundation of China (NSFC)); National Key Research and Development Program of China</t>
  </si>
  <si>
    <t>This research is support by Mahidol University (Basic Research Fund: fiscal year 2022) , grant number BRF1-070/2565 to Pumijumnong, N., Mahidol University (Basic Research Fund: fiscal year 2023) , grant number FF-121/2566 to Muangsong, C., and Mahidol University (Basic Research Fund: fiscal year 2023) , grant number FRB660042/0185 to Pumijumnong, N., the National Natural Science Foundation of China (grant number 41661144021 and 42072213) ; the National Key Research and Development Program of China (2017YFA0603401) to Cai, B.</t>
  </si>
  <si>
    <t>10.1016/j.gloplacha.2023.104277</t>
  </si>
  <si>
    <t>WOS:001102714800001</t>
  </si>
  <si>
    <t>Fosu, Boniface O.; Wang, Shih-Yu Simon</t>
  </si>
  <si>
    <t>The pre-monsoon tropical cyclone (TC) activity and the monsoon evolution in the Bay of Bengal (BoB) are both influenced by the Madden-Julian Oscillation (MJO), but the two do not always occur in unison. This study examines the conditions that allow the MJO to modulate the monsoon onset in Myanmar and TC activity concurrently. Using the APHRODITE gridded precipitation and the ERA-Interim reanalysis datasets, composite evolutions of monsoon rainfall and TC genesis are constructed for the period of 1979-2010. It is found that the MJO exhibits a strong interannual variability in terms of phase and intensity, which in some years modulate the conditions for BoB TCs to shortly precede or form concurrently with the monsoon onset in Myanmar. Such a modulation is absent in years of weaker MJO events. Further understanding of the interannual variability of MJO activity could facilitate the prediction of the monsoon onset and TC formation in the BoB.</t>
  </si>
  <si>
    <t>[Fosu, Boniface O.; Wang, Shih-Yu Simon] Utah State Univ, Dept Plants Soils &amp; Climate, Logan, UT 84322 USA; [Wang, Shih-Yu Simon] Utah State Univ, Utah Climate Ctr, Logan, UT 84322 USA</t>
  </si>
  <si>
    <t>Utah System of Higher Education; Utah State University; Utah System of Higher Education; Utah State University</t>
  </si>
  <si>
    <t>United States Agency for International Development(United States Agency for International Development (USAID)); NASA(National Aeronautics &amp; Space Administration (NASA))</t>
  </si>
  <si>
    <t>We thank Robert Gillies for his insightful suggestions. This study was supported by the United States Agency for International Development grant EEM-A-00-38310-00001 and the NASA Grant NNX13AC37G, and approved by the Utah State University Agricultural Experimental Station.</t>
  </si>
  <si>
    <t>10.1007/s00382-014-2289-z</t>
  </si>
  <si>
    <t>WOS:000356807800010</t>
  </si>
  <si>
    <t>Yang, Wen-Ting; Fu, Shen-Ming; Sun, Jian-Hua; Zheng, Fei; Wei, Jie; Ma, Zheng</t>
  </si>
  <si>
    <t>Presently, satellite-derived precipitation estimates have been widely used as a supplement for real precipitation observation. Detailed evaluations of a satellite precipitation estimate are the prerequisite for using it effectively. On the basis of the daily precipitation observation from 91 rain gauges throughout Thailand during a 15-yr period, this study evaluated the performances of daily precipitation data of Climate Prediction Centre morphing technique (CMORPH) and TRMM (3B42 version 7) in an interpolating-grid-points-into-stations manner. This filled in the deficiencies of the current evaluations of TRMM-3B42v7's performances over Thailand made the first evaluation of CMORPH in this region and showed the first report of relative performances of two datasets. For the entire Thailand, a total of 35 factors (including precipitation intensity, spatial distribution pattern, and duration/interval) were used in the evaluation. It is found that only 12 of them (including annual and monthly variations of precipitation, conditional rain rate in the rainy season, rainfall interval in an entire year, non -precipitation days, etc.) were reproduced credibly (i.e., the relative error was less than 20 %) by the two datasets. Both TRMM-3B42v7 and CMORPH displayed similarly poor performances in representing the intensity and spatial distribution of extreme precipitation. Comparisons based on the 35 factors indicate that TRMM-3B42v7 displayed a better overall performance than CMORPH for the entire Thailand. For each region of Thailand, CMORPH/TRMM-3B42v7 showed different performances in different regions (a total of 19 factors was used). The CMORPH/TRMM-3B42v7 data made credible estimates over all five regions of Thailand in terms of daily precipitation intensity and monthly variation of precipitation, whereas, in terms of precipitation day fraction, conditional rain rate during the dry season, and interval/duration of rainfall events during the rainy season, it showed notable errors in all regions. Overall, TRMM-3B42v7 exhibited superior performances to CMORPH for the North, Northeast, East, and South of Thailand, whereas CMORPH and TRMM3B42v7 displayed similar performances for the Central Thailand.</t>
  </si>
  <si>
    <t>[Yang, Wen-Ting; Sun, Jian-Hua; Wei, Jie; Ma, Zheng] Chinese Acad Sci, Inst Atmospher Phys, Lab Cloud Precipitat Phys &amp; Severe Storms, Beijing, Peoples R China; [Fu, Shen-Ming; Zheng, Fei] Chinese Acad Sci, Int Ctr Climate &amp; Environm Sci, Inst Atmospher Phys, Huayanli 40, Beijing 100029, Peoples R China</t>
  </si>
  <si>
    <t>Chinese Academy of Sciences; Institute of Atmospheric Physics, CAS; Chinese Academy of Sciences; Institute of Atmospheric Physics, CAS</t>
  </si>
  <si>
    <t>National Natural Science Foundation of China(National Natural Science Foundation of China (NSFC)); Key Research Program of Frontier Sciences, CAS; National Key Scientific and Technological Infrastructure project Earth System Science Numerical Simulator Facility</t>
  </si>
  <si>
    <t>The authors thank NASA (National Aeronautics and Space Administration), the NOAA (National Oceanic and Atmospheric Administration), and the TMD (Thailand Meteorological Department) for providing the data. This work was supported by the National Natural Science Foundation of China (Grant No. 41861144015), the Key Research Program of Frontier Sciences, CAS (Grant No. ZDBS-LY-DQC010), the National Natural Science Foundation of China (Grant Nos. 41775046 and 42075002), and the National Key Scientific and Technological Infrastructure project Earth System Science Numerical Simulator Facility.</t>
  </si>
  <si>
    <t>10.2151/jmsj.2021-0741525</t>
  </si>
  <si>
    <t>WOS:000737427900001</t>
  </si>
  <si>
    <t>Li, Renzhi; Huang, He Qing; Wang, Zhonggen; Zhao, Ruxin</t>
  </si>
  <si>
    <t>The impacts of climate and human activities exerted on streamflow over the recent decades in the Lancang-Mekong River Basin (LMRB) have been examined in separate forms and this study performed an integrated quantitative evaluation. Using the meteorological and hydrological data measured in LMRB during 1961-2015, we analyzed the varying trend and abrupt change characteristics of streamflow along the river course, and constructed a SWAT hydrological model to quantitatively evaluate the contributions of climate and human activities by taking into account their spatial heterogeneity. At the yearly timescale, the results show that for significant complex changes in streamflow along the Lancang-Mekong River, the ratios of the contributions of the impacts of human activity (eta(h)) before 2000 to those after 2000 are under 15.2%, 17.5% and 32.4% respectively in the source area above Jiuzou (China), the upper area between Jiuzhou and Yunjinghong (China), and the middle area between Jiuzhou and Vientiane (Laos). In the lower area between Vientiane and Stung Treng (Cambodia), eta(h) was only 22.6% before 2000 and yet dramatically increased to 59.1% after 2000. While the same situation happened at the seasonal time scale, eta(h) has relatively larger values during dry seasons than in wet seasons. In contrast to the gradually increased impacts of human activities, the impacts of climate on streamflow gradually decreased from the upper to the lower areas. Furthermore, the impacts of the changes in land use types account for about 1/3 in the Lancang River Basin and yet reaches more than 1/2 in the Mekong River Basin.</t>
  </si>
  <si>
    <t>[Li, Renzhi; Wang, Zhonggen; Zhao, Ruxin] Minist Emergency Management Peoples Republ China, Natl Inst Nat Hazards, Beijing, Peoples R China; [Li, Renzhi; Wang, Zhonggen] Minist Emergency Management China, Key Lab Cpd &amp; Chained Nat Hazards Dynam, Beijing, Peoples R China; [Huang, He Qing] Chinese Acad Sci, Inst Geog Sci &amp; Nat Resources Res, Beijing, Peoples R China; [Huang, He Qing] Univ Chinese Acad Sci, Beijing, Peoples R China</t>
  </si>
  <si>
    <t>Strategic Priority Research Program of the Chinese Academy of Sciences(Chinese Academy of Sciences); National Natural Science Foundation of China(National Natural Science Foundation of China (NSFC))</t>
  </si>
  <si>
    <t>Funding This research was financially supported by the Strategic Priority Research Program of the Chinese Academy of Sciences (XDA19030204) and National Natural Science Foundation of China (Grant No. 41,561,144,012).</t>
  </si>
  <si>
    <t>JAN 4</t>
  </si>
  <si>
    <t>10.3389/feart.2022.1024037</t>
  </si>
  <si>
    <t>WOS:000919228700001</t>
  </si>
  <si>
    <t>Limsakul, Atsamon; Singhruck, Patama</t>
  </si>
  <si>
    <t>Based on quality-controlled daily station data, long-term trends and variability of total and extreme precipitation indices during 1955-2014 were examined for Thailand. An analysis showed that while precipitation events have been less frequent across most of Thailand, they have become more intense. Moreover, the indices measuring the magnitude of intense precipitation events indicate a trend toward wetter conditions, with heavy precipitation contributing a greater fraction to annual totals. One consequence of this change is the increased frequency and severity of flash floods as recently evidenced in many parts of Thailand. On interannual-to-interdecadal time scales, significant relationships between variability of precipitation indices and the indices for the state of El Nino-Southern Oscillation (ENSO) and Pacific Decadal Oscillation (PDO) were found. These results provide additional evidence that large-scale climate phenomena in the Pacific Ocean are remote drivers of variability in Thailand's total and extreme precipitation. Thailand tended to have greater amounts of precipitation and more extreme events during La Nina years and the PDO cool phase, and vice versa during El Nino years and the PDO warm phase. Another noteworthy finding is that in 2011 Thailand experienced extensive flooding in a year characterized by exceptionally extreme precipitation events. Our results are consistent with the regional studies for the Asia-Pacific Network. However, this study provides a more detailed picture of coherent trends at a station scale and documents changes that have occurred in the twenty-first century, both of which help to inform decisions concerning effective management strategies. (C) 2015 Elsevier B.V. All rights reserved.</t>
  </si>
  <si>
    <t>[Limsakul, Atsamon] Environm Res &amp; Training Ctr, Klongluang 12120, Pathumthani, Thailand; [Singhruck, Patama] Chulalongkorn Univ, Dept Marine Sci, Fac Sci, Bangkok 10330, Thailand</t>
  </si>
  <si>
    <t>Chulalongkorn University</t>
  </si>
  <si>
    <t>International Development Research Centre (IDRC); Thailand Research Fund (TRF)(Thailand Research Fund (TRF))</t>
  </si>
  <si>
    <t>We would like to thank the Thai Meteorological Department for kindly providing valuable daily precipitation data. We also extend our thanks to the editor and three anonymous reviewers for their insightful critiques and constructive comments to substantially improve the quality of the earlier version of the manuscript. This study is a part of the project entitled 'Improving Flood Management Planning in Thailand' funded by International Development Research Centre (IDRC; IDRC Project Number 107094-001), and comprises a portion of research supported by the Thailand Research Fund (TRF).</t>
  </si>
  <si>
    <t>MAR 1</t>
  </si>
  <si>
    <t>10.1016/j.atmosres.2015.10.015</t>
  </si>
  <si>
    <t>WOS:000366879100029</t>
  </si>
  <si>
    <t>Olaguera, Lyndon Mark P.; Matsumoto, Jun; Kubota, Hisayuki; Cayanan, Esperanza O.; Hilario, Flaviana D.</t>
  </si>
  <si>
    <t>This study investigates the climatology of the monsoon break following the onset of the summer rainy season over Luzon Island (120-122.5 degrees E, 13-22 degrees N) in the Philippines from 1979-2017. The first post-onset monsoon break is remarkable in stations located over the north and central Luzon Island and occurs climatologically in early June. Composite analysis of the large-scale circulation features during the monsoon break period shows that this break is associated with the westward extension of the western North Pacific Subtropical High (WNPSH), which weakened the monsoon southwesterlies and induced enhanced low-level divergence over Luzon Island. The westward extension of the WNPSH may be facilitated by the phase change of the boreal summer intraseasonal oscillation (BSISO). About 59% (23/39) of the monsoon break cases occurred when suppressed convection, associated with the dry phases of the BSISO, is apparent over the western North Pacific. This suppressed convection favours the westward expansion of the WNPSH. With the occurrence of the monsoon break in early summer, the seasonal march of the early summer monsoon over the Philippines can be divided into three phases: (1) the monsoon onset phase, which occurs between mid to late May under the influence of the westerly/southwesterly low-level winds, (2) the monsoon break phase, when rainfall decreases over Luzon Island in early June, and (3) the monsoon revival phase, when rainfall increases again due to the intrusion of monsoon southwesterlies over the Philippines. This study highlights the complex features of the summer monsoon onset and the impact of the WNPSH on the local climate of the Philippines in early summer.</t>
  </si>
  <si>
    <t>[Olaguera, Lyndon Mark P.; Matsumoto, Jun] Tokyo Metropolitan Univ, Dept Geog, Tokyo, Japan; [Olaguera, Lyndon Mark P.] Ateneo Manila Univ, Dept Phys, Quezon City, Philippines; [Olaguera, Lyndon Mark P.] Manila Observ, Regional Climate Syst Lab, Ateneo Manila Univ Campus, Quezon City, Philippines; [Matsumoto, Jun; Kubota, Hisayuki] Japan Agcy Marine Earth Sci &amp; Technol, Dynam Coupling Ocean Atmosphere Land Res Program, Yokosuka, Kanagawa, Japan; [Kubota, Hisayuki] Hokkaido Univ, Dept Earth &amp; Planetary Sci, Fac Sci, Sapporo, Hokkaido, Japan; [Cayanan, Esperanza O.; Hilario, Flaviana D.] Philippine Atmospher Geophys &amp; Astron Serv Adm, Dept Sci &amp; Technol, Quezon City, Philippines</t>
  </si>
  <si>
    <t>Tokyo Metropolitan University; Ateneo de Manila University; Japan Agency for Marine-Earth Science &amp; Technology (JAMSTEC); Hokkaido University; Department of Science &amp; Technology (DOST), Philippines</t>
  </si>
  <si>
    <t>Japan International Cooperation Agency; Japan Science and Technology Agency(Japan Science &amp; Technology Agency (JST)); Japan Society for the Promotion of Science(Ministry of Education, Culture, Sports, Science and Technology, Japan (MEXT)Japan Society for the Promotion of Science); Tokyo Metropolitan Government(Tokyo Metropolitan Government); Grants-in-Aid for Scientific Research(Ministry of Education, Culture, Sports, Science and Technology, Japan (MEXT)Japan Society for the Promotion of ScienceGrants-in-Aid for Scientific Research (KAKENHI))</t>
  </si>
  <si>
    <t>Japan International Cooperation Agency; Japan Science and Technology Agency; Japan Society for the Promotion of Science, Grant/Award Numbers: 21684028, 16H03116, 16H04053, 18058043, 19H00562, 26220202, 20K20328, 15KK0030, 25282085; Tokyo Metropolitan Government</t>
  </si>
  <si>
    <t>10.1002/joc.6949</t>
  </si>
  <si>
    <t>WOS:000604423500001</t>
  </si>
  <si>
    <t>Li, R.; Wang, S. S. -Y.; Gillies, R. R.; Buckley, B. M.; Yoon, J. -H.; Cho, C.</t>
  </si>
  <si>
    <t>The analysis of precipitation trends for Vietnam revealed that early-monsoon precipitation has increased over the past three decades but to varying degrees over the northern, central and southern portions of the country. Upon investigation, it was found that the change in early-monsoon precipitation is associated with changes in the low-level cyclonic airflow over the South China Sea and Indochina that is embedded in the large-scale atmospheric circulation associated with a La Nina-like anomalous sea surface temperature pattern with warming in the western Pacific and Indian Oceans and cooling in the eastern Pacific. The Community Climate System Model version 4 (CCSM4) was subsequently used for an attribution analysis. Over northern Vietnam an early-monsoon increase in precipitation is attributed to changes in both greenhouse gases and natural forcing. For central Vietnam, the observed increase in early-monsoon precipitation is reproduced by the simulation forced with greenhouse gases. However, over southern Vietnam the early-monsoon precipitation increase is less definitive where aerosols were seen to be preponderant but natural forcing through the role of the Interdecadal Pacific Oscillation may well be a factor that is not resolved by CCSM4. Increased early-monsoonal precipitation over the coastal lowland and deltas has the potential to amplify economic and human losses.</t>
  </si>
  <si>
    <t>[Li, R.; Wang, S. S. -Y.; Gillies, R. R.; Cho, C.] Utah State Univ, Utah Climate Ctr, Logan, UT 84322 USA; [Li, R.; Wang, S. S. -Y.; Gillies, R. R.; Cho, C.] Utah State Univ, Dept Plants Soils &amp; Climate, Logan, UT 84322 USA; [Buckley, B. M.] Columbia Univ, Lamont Doherty Geol Observ, Palisades, NY 10964 USA; [Yoon, J. -H.] Gwangju Inst Sci &amp; Technol, Sch Earth Sci &amp; Environm Engn, Gwangju, South Korea</t>
  </si>
  <si>
    <t>Utah System of Higher Education; Utah State University; Utah System of Higher Education; Utah State University; Columbia University; Gwangju Institute of Science &amp; Technology (GIST)</t>
  </si>
  <si>
    <t>GIST Research Institute (GRI) Grant - GIST in 2018</t>
  </si>
  <si>
    <t>PREC/L Precipitation data and NCEP Reanalysis data were provided by the NOAA/OAR/ESRL PSD, Boulder, Colorado, USA, from their Web site at http://www.esrl.noaa.gov/psd/. J.-H.Yoon was supported by the GIST Research Institute (GRI) Grant funded by the GIST in 2018. Lamont-Doherty Contribution No. 8209.</t>
  </si>
  <si>
    <t>10.1007/s00382-018-4198-z</t>
  </si>
  <si>
    <t>WOS:000460619200021</t>
  </si>
  <si>
    <t>Le, Tien; Sun, Chayn; Choy, Suelynn; Kuleshov, Yuriy</t>
  </si>
  <si>
    <t>This study contributes to a proof-of-concept comprehensive drought risk assessment for Vietnam by (i) incorporating drought exposure and vulnerability based on specific socio-economic conditions of the regions; and (ii) using satellite data including World Meteorological Organization (WMO) Space-based Weather and Climate Extremes Monitoring (SWCEM) products, and The National Aeronautics and Space Administration (NASA)-Enhanced U.S Department of Agriculture (USDA)'s Soil Moisture Active Passive (SMAP) Global Data for drought hazard assessment. Drought risk assessment which incorporated hazard, exposure and vulnerability components was conducted for 27 provinces from four administrative areas in Vietnam. Drought Hazard Index (DHI) was derived using the Standardised Precipitation Index (SPI), the Vegetation Health Index (VHI), and surface soil moisture (SSM) to take into account the impact of both meteorological and agricultural drought. Drought Exposure Index (DEI) and Drought Vulnerability Index (DVI) were calculated using statistical data of land use and socio-economic characteristics obtained from Vietnam's statistical yearbooks. By combining DHI, DEI and DVI, a composite Drought Risk Index (DRI) was derived for drought risk assessment in the selected provinces for 2020. It was shown that the highest at-risk provinces were in the Mekong River Delta, the agricultural production centre of Vietnam. The South East regions were less impacted by drought compared to other regions. The proposed comprehensive approach to drought risk assessment in Vietnam has potential to contribute to improving drought preparedness and resilience of communities at-risk.</t>
  </si>
  <si>
    <t>[Le, Tien; Sun, Chayn; Choy, Suelynn; Kuleshov, Yuriy] Royal Melbourne Inst Technol RMIT Univ, Sch Sci Geospatial, Melbourne, Vic, Australia; [Kuleshov, Yuriy] Australian Bur Meteorol, Melbourne, Vic, Australia</t>
  </si>
  <si>
    <t>Royal Melbourne Institute of Technology (RMIT); Bureau of Meteorology - Australia</t>
  </si>
  <si>
    <t>JAN 1</t>
  </si>
  <si>
    <t>10.1080/19475705.2021.1998232</t>
  </si>
  <si>
    <t>WOS:000717270100001</t>
  </si>
  <si>
    <t>Hassim, Muhammad E. E.; Timbal, Bertrand</t>
  </si>
  <si>
    <t>Straddling the Asian-Australian monsoon region, the Maritime Continent (MC) experiences substantial rainfall variations from diurnal to interannual and longer time scales. In this study, rainfall over Singapore and the wider MC region are analyzed using objectively identified weather regimes. Eight regional-scale weather regimes are derived by k-means clustering of local vertical profiles of zonal and meridional winds, temperature, and specific humidity extracted over Singapore from ERA-Interim data for the period December 1980-November 2014. The composite synoptic flow and rainfall patterns over the region show that the weather regimes correspond to the seasonal migration of the intertropical convergence zone (ITCZ) across the equator. For Singapore, the regimes depict seasonal rainfall variability by capturing the alternating dry and wet phases of the prevailing local monsoon and transition periods associated with the regional-scale ITCZ movement. Following previous work, the regimes are used to examine the annual rainfall trend by calculating the contributions due to 1) changes in regime frequency, indicating regional-scale circulation changes, and 2) changes in within-regime precipitation, indicating altered thermodynamic conditions. The overall trend observed at Singapore and many other MC locations is overwhelmingly due to changes in within-regime precipitation. However, the overall trend masks the larger contribution resulting from regime frequency changes as these circulation changes tend to offset one another in reality. In many MC areas (including Singapore), summed rainfall changes due to regime frequency changes outweigh those due to changes in within-regime rainfall, when aggregated in an absolute sense.</t>
  </si>
  <si>
    <t>[Hassim, Muhammad E. E.; Timbal, Bertrand] Meteorol Serv Singapore, Ctr Climate Res Singapore, Singapore, Singapore</t>
  </si>
  <si>
    <t>1558-8424</t>
  </si>
  <si>
    <t>1558-8432</t>
  </si>
  <si>
    <t>J APPL METEOROL CLIM</t>
  </si>
  <si>
    <t>J. Appl. Meteorol. Climatol.</t>
  </si>
  <si>
    <t>10.1175/JAMC-D-18-0136.1</t>
  </si>
  <si>
    <t>WOS:000459276200001</t>
  </si>
  <si>
    <t>Shrivastava, Sourabh; Kar, Sarat C.; Sharma, Anu Rani</t>
  </si>
  <si>
    <t>Variation of soil moisture during active and weak phases of summer monsoon JJAS (June, July, August, and September) is very important for sustenance of the crop and subsequent crop yield. As in situ observations of soil moisture are few or not available, researchers use data derived from remote sensing satellites or global reanalysis. This study documents the intercomparison of soil moisture from remotely sensed and reanalyses during dry spells within monsoon seasons in central India and central Myanmar. Soil moisture data from the European Space Agency (ESA)-Climate Change Initiative (CCI) has been treated as observed data and was compared against soil moisture data from the ECMWF reanalysis-Interim (ERA-I) and the climate forecast system reanalysis (CFSR) for the period of 2002-2011. The ESA soil moisture correlates rather well with observed gridded rainfall. The ESA data indicates that soil moisture increases over India from west to east and from north to south during monsoon season. The ERA-I overestimates the soil moisture over India, while the CFSR soil moisture agrees well with the remotely sensed observation (ESA). Over Myanmar, both the reanalysis overestimate soil moisture values and the ERA-I soil moisture does not show much variability from year to year. Day-to-day variations of soil moisture in central India and central Myanmar during weak monsoon conditions indicate that, because of the rainfall deficiency, the observed (ESA) and the CFSR soil moisture values are reduced up to 0.1 m(3)/m(3) compared to climatological values of more than 0.35 m(3)/m(3). This reduction is not seen in the ERA-I data. Therefore, soil moisture from the CFSR is closer to the ESA observed soil moisture than that from the ERA-I during weak phases of monsoon in the study region.</t>
  </si>
  <si>
    <t>[Shrivastava, Sourabh; Kar, Sarat C.] Natl Ctr Medium Range Weather Forecasting, A-50,Sect 62, Noida 201309, India; [Shrivastava, Sourabh; Sharma, Anu Rani] Teri Univ, New Delhi, India</t>
  </si>
  <si>
    <t>Ministry of Earth Sciences (MoES) - India; National Centre for Medium Range Weather Forecasting (NCMRWF); TERI University</t>
  </si>
  <si>
    <t>10.1007/s00704-016-1792-z</t>
  </si>
  <si>
    <t>WOS:000403666400024</t>
  </si>
  <si>
    <t>Hong, Juyoung; Agustin, Wilmer; Yoon, Sanghoo; Park, Jeong-Soo</t>
  </si>
  <si>
    <t>The Philippines is highly vulnerable to the impacts of climate change including increased frequency of extreme weather events such as very heavy rainfall. Extreme rain events have resulted in landslides and floods, accompanied with a loss of life and the deterioration of infrastructure. To project the future changes of extreme precipitation in Philippines, we investigated the observations based on 53 stations and 24 CMIP6 (Coupled Model Inter-Comparison Project Phase 6) models. We applied generalized extreme value (GEV) distribution and multivariate bias-correction to series of annual maximum daily precipitation (AMP1) data acquired from the observations and models under three shared socioeconomic pathway (SSP) scenarios (SSP2-4.5, SSP3-7.0, and SSP5-8.5). We employed a model ensemble method that takes both independence and performance of model into account, which is named as the PI-weighting. To quantify the uncertainty of predicting the future AMP1, variance decomposition method was applied. Return values for 20-year and 50-year as well as the return periods of the AMP1 compared to the past (1975-2014), were estimated for two future time which are period 1 (2021-2060) and period 2 (2061-2100). From this study, we predict that the relative increases of 20-year return value of the AMP1 from the past to the year 2100 be about 8.5% in the SSP2-4.5, 11.6% in the SSP3-7.0, and 17% in the SSP5-8.5 scenarios, respectively, in the spatial median over the Philippines. We also found out that a 1-in-20 year (1-in-50 year) AMP1 observed in the past in the Philippines will likely become a 1-in-16 (1-in-37) year, a 1-in-17 (1-in-32) year, and a 1-in-14 (1-in-31) year event by 2100 under the SSP2-4.5, SSP3-7.0, and SSP5-8.5 scenarios, respectively. We project that heavy rainfall will be more prominent in the northwestern and mid-western part (type I area) and the eastern coast part (type II area) of the Philippines.</t>
  </si>
  <si>
    <t>[Hong, Juyoung; Park, Jeong-Soo] Chonnam Natl Univ, Dept Math &amp; Stat, Gwangju 61186, South Korea; [Agustin, Wilmer] Philippines Atmospher Geophys &amp; Astron Serv Adm, Manila, Philippines; [Yoon, Sanghoo] Daegu Univ, Dept Big Data Sci, Daegu 68453, South Korea</t>
  </si>
  <si>
    <t>Chonnam National University; Daegu University</t>
  </si>
  <si>
    <t>National Research Foundation of Korea(National Research Foundation of Korea); BK21 FOUR - Ministry of Education (MOE); National Research Foundation (NRF) of Korea(National Research Foundation of Korea); U.S. DoE Program for Climate Model Diagnosis and Inter comparison(United States Department of Energy (DOE))</t>
  </si>
  <si>
    <t>The authors would like to thank the reviewers and the editors for their comments and suggestions, which have importantly improved this paper. The authors thank Dr. Yonggwan Shin and Yire Shin who provided valuable help for this study. This study was supported under the framework of international cooperation program managed by the National Research Foundation of Korea (FY2021K2A9A1A01102193),and the BK21 FOUR (No. 5120200913674) funded by the Ministry of Education (MOE) and National Research Foundation (NRF) of Korea .We acknowledge the World Climate Research Program Working Groupon Coupled Modeling, which is responsible for CMIP, and we appreciate the climate modeling groups for producing and making available their model outputs. For CMIP, the U.S. DoE Program for Climate Model Diagnosis and Inter comparison provided coordinating support and led the development of the software infrastructure in partnership with the Global Organization for Earth System Science Portals.</t>
  </si>
  <si>
    <t>10.1016/j.wace.2022.100480December2021;July2022</t>
  </si>
  <si>
    <t>WOS:000827327300001</t>
  </si>
  <si>
    <t>Ngai, Sheau Tieh; Sasaki, Hidetaka; Murata, Akihiko; Nosaka, Masaya; Chung, Jing Xiang; Juneng, Liew; Supari; Salimun, Ester; Tangang, Fredolin</t>
  </si>
  <si>
    <t>The Non-Hydrostatic Regional Climate Model (NHRCM) was used in simulating the present and future rainfall climate over Malaysia under the RCP8.5 scenario in this study. Simulation and projection from 1979 to 2002 for present day and 2070 to 2100 for the end of century were conducted over the Malaysia. The 20 km resolution MRI-AGCM3.2 model simulation from Meteorological Research Institute (MRI) was used as boundary conditions. The objective of this study was to estimate the extreme rainfall projections in Malaysia at 5 km of resolution during the November to February period, representing the northeast monsoon season. Overall, the model was capable to simulate the historical rainfall climatology and distribution, but model tended to underestimate high rainfall frequency and mean rainfall intensity in Malaysia. However, compared with simulations at 25 km, added values have been shown at 5 km resolution. Based on the NHRCM05 simulations, a number of hotspots have been identified with significant projected increases up to 80% for the extreme rainfall indices (R20mm, RX1day, R95pTOT and R99pTOT), 30% increases in mean rainfall intensity (SDII) and 20% for consecutive dry days indices (CDD).</t>
  </si>
  <si>
    <t>[Ngai, Sheau Tieh; Chung, Jing Xiang; Juneng, Liew; Salimun, Ester; Tangang, Fredolin] Univ Kebangsaan Malaysia, Fac Sci &amp; Technol, Dept Earth Sci &amp; Environm, Bangi, Selangor, Malaysia; [Ngai, Sheau Tieh] Sun Yat Sen Univ, Sch Atmospher Sci, Tangjiawan Zhuhai, Guangdong, Peoples R China; [Sasaki, Hidetaka; Murata, Akihiko; Nosaka, Masaya] Meteorol Res Inst, Tsukuba, Ibaraki, Japan; [Chung, Jing Xiang] Univ Malaysia Terengganu, Inst Oceanog &amp; Environm, Terengganu, Malaysia; [Supari] Agcy Meteorol Climatol &amp; Geophys BMKG, Ctr Climate Change Informat, Jakarta, Indonesia; [Tangang, Fredolin] Ramkhamhang Univ, Ctr Reg Climate Change &amp; Renewable Energy RU CORE, Bangkok, Thailand</t>
  </si>
  <si>
    <t>Universiti Kebangsaan Malaysia; Sun Yat Sen University; Meteorological Research Institute - Japan; Universiti Malaysia Terengganu; Indonesian Agency for Meteorology, Climatology &amp; Geophysics; Ramkhamhaeng University</t>
  </si>
  <si>
    <t>Ministry of Education, Culture, Sports, Science and Technology (MEXT) of Japan(Ministry of Education, Culture, Sports, Science and Technology, Japan (MEXT)); MOHE(Ministry of Higher Education &amp; Scientific Research (MHESR)); AsiaPacific Network for Global Change Research (APN) SEACLID/CORDEX-SEA Project</t>
  </si>
  <si>
    <t>This study was funded and conducted under the TOUGOU program of the Ministry of Education, Culture, Sports, Science and Technology (MEXT) of Japan. We acknowledge the Earth Simulator of the Japan Agency for Marine-Earth Science and Technology for providing ES system to perform the high-resolution regional simulations. This study was also supported by MOHE FRGS/1/2017/WAB05/UKM/01/2 funding grant and the AsiaPacific Network for Global Change Research (APN) SEACLID/CORDEX-SEA Project (ARCP2015-04CMY-Tangang, ARCP2014-07CMY-Tangang, ARCP2013-17NMY-Tangang, CRRP2016-02MY-Santisirisomboon) (Funder ID: 100005536). The authors thank Hiroaki Kawase from MRI for his help with scripts used in this study.</t>
  </si>
  <si>
    <t>1349-6476</t>
  </si>
  <si>
    <t>JUN 25</t>
  </si>
  <si>
    <t>10.2151/sola.2020-023</t>
  </si>
  <si>
    <t>WOS:000557475700001</t>
  </si>
  <si>
    <t>Klostermann, Lars; Gischler, Eberhard; Storz, David; Hudson, J. Harold</t>
  </si>
  <si>
    <t>Six Holocene sedimentary events (ranging in age from 420-890, 890-1560, 2040-2340, 2420-3380, 3890-4330, and 5480-5760 yrs BP) have been identified in the lagoon of Rasdhoo Atoll (Maldives; 4 degrees N, 73 degrees W), thereby underlining the importance of atoll lagoons as potential archives of environmental change. Holocene coastal sediments have been studied as archives for past tsunami and storm events but comparable sedimentological studies of mid-ocean atoll lagoons are rare. In ten vibracores covering the past 6.5 kyrs that are characterized by mudstone, wackestone, and floatstone background sedimentation, we found two types of event deposits: (1) several cm thick rudstone layers with redeposited corals like Acropora sp. and Seriatopora sp., which derive from the marginal and/or lagoonal reefs and have been transported into the lagoon and (2) thin (several mm) layers of wackestone, floatstone, and rudstone consisting of reef-derived components like coralline red algae, reef foraminifera (e.g., Amphistegina spp., Calcarina sp.), and redeposited coral fragments. Both types of event layers may be correlated among several cores, which we interpret as tsunami deposits. Five of the six events have temporal counterparts identified at the coasts of Thailand, Sumatra, and India. In the Maldives, close to the equator, no category 1-5 typhoons were recorded, but only tropical depressions and storms as potential triggers of event sedimentation have occurred rarely. Major earthquakes off western Indonesia and generated tsunamis, which potentially reach most parts of the Indian Ocean, are common. (C) 2013 Elsevier B.V. All rights reserved.</t>
  </si>
  <si>
    <t>[Klostermann, Lars; Gischler, Eberhard] Goethe Univ Frankfurt, Inst Geowissensch, D-60438 Frankfurt, Germany; [Storz, David] Biodivers &amp; Climate Res Ctr BiK F Frankfurt, D-60325 Frankfurt, Germany; [Hudson, J. Harold] Reef Tech Inc, Miami, FL 33143 USA</t>
  </si>
  <si>
    <t>Goethe University Frankfurt</t>
  </si>
  <si>
    <t>Deutsche Forschungsgemeinschaft (DFG)(German Research Foundation (DFG)); VFF of Goethe-Universitat</t>
  </si>
  <si>
    <t>This project was funded by the Deutsche Forschungsgemeinschaft (DFG, project Gi 222/18). We also acknowledge financial support from VFF of Goethe-Universitat. Anja Isaack is thanked for helping during sample preparation and laboratory analyses. Stefan Haber and Captain Haneef and his crew assisted during fieldwork. We are grateful to Marc Humblet (Nagoya) and Donald Potts (Santa Cruz, California) for helping during identification of Scleractinian corals. The constructive comments of an anonymous reviewer and editor John Wells helped to improve this contribution.</t>
  </si>
  <si>
    <t>0025-3227</t>
  </si>
  <si>
    <t>1872-6151</t>
  </si>
  <si>
    <t>MAR GEOL</t>
  </si>
  <si>
    <t>Mar. Geol.</t>
  </si>
  <si>
    <t>FEB 1</t>
  </si>
  <si>
    <t>10.1016/j.margeo.2013.11.014</t>
  </si>
  <si>
    <t>Geosciences, Multidisciplinary; Oceanography</t>
  </si>
  <si>
    <t>WOS:000331681400004</t>
  </si>
  <si>
    <t>This study carries out a statistical analysis of high-resolution PSV records for the last similar to 70 ka from three different regions of the Earth. We consider directional and intensity variability in each region on time scales of 10(3)-10(5) years in order to evaluate long-term PSV. We then compare those results with more traditional long-term PSV statistical studies averaged over similar to 10(6) years. Three replicate PSV records from one region (subtropical North Atlantic Ocean) were averaged at overlapping 3 and 9 ka intervals. Variability in both scalar inclination and declination variability and vector angular dispersion are significant and coherent among the three records. The vector dispersion is relatively low for most of the time but contains two relatively narrow intervals (similar to 30-42 and 60-65 ka) of high dispersion. (Vector dispersion in all records was calculated after removing directions with true excursional VGPs, VGPs &lt; 45 degrees N). We have carried out a comparable statistical analysis on two other PSV records from other parts of the Earth (Chile margin; Philippines/Indonesia). The results for these three regions are comparable in their overall style of variability. The scalar directional variability from the Philippines/Indonesia is quite different in detail from the other two regions, as might be expected, but the scalar directional variability between the Western Hemisphere regions is remarkably consistent considering their distance from one another. This may be associated with them being on the same longitude swath and having some coherent dynamo activity occurring along that path. Three magnetic field excursions occur in the study interval. All three excursions are associated with the two highest vector dispersion intervals. Paleointensity records from the three regions were subjected to the same statistical analysis as the directions. These records are all coherent in their pattern of variability. The similarity in paleointensity variability on a global scale is expected even though the detailed scalar directional variability is not coherent on a global scale. The pattern of intensity variability is strongly correlated with the pattern of vector dispersion and excursions on a global scale-high (low) intensity is associated with low (high plus excursions) vector dispersion. The fact that regional directional variability is always larger than normal during low intensity/excursional intervals, even though the effect of true excursional directions was removed, suggests that we need to reevaluate what field variability was like during low intensity/excursional intervals on a global scale and how/why it was different from today's field (last 10(4) years).</t>
  </si>
  <si>
    <t>[Lund, Steve P.] Univ Southern Calif, Dept Earth Sci, Los Angeles, CA 90007 USA</t>
  </si>
  <si>
    <t>University of Southern California</t>
  </si>
  <si>
    <t>USA National Science Foundation(National Science Foundation (NSF))</t>
  </si>
  <si>
    <t>This work has been supported by several grants from the USA National Science Foundation (EAR1547605, NSF-OCE0962385, OCE-0082698, EAR-9980410, EAR-9526940).</t>
  </si>
  <si>
    <t>MAY 4</t>
  </si>
  <si>
    <t>10.3389/feart.2018.00040</t>
  </si>
  <si>
    <t>WOS:000441663900001</t>
  </si>
  <si>
    <t>Magnaye, Angela Monina T.; Narisma, Gemma T.; Cruz, Faye T.; Dado, Julie Mae B.; Tangang, Fredolin; Juneng, Liew; Ngo-Duc, Thanh; Phan-Van, Tan; Santisirisomboon, Jerasorn; Singhruck, Patama; Gunawan, Dodo; Aldrian, Edvin</t>
  </si>
  <si>
    <t>Regional climate simulations from the Southeast Asia Regional Climate Downscaling/Coordinated Regional Climate Downscaling Experiment - Southeast Asia (SEA) indicated model biases in temperature and rainfall over SEA. Given the influence of sea surface temperature (SST) variability on SEA climate, this study examines SST representation in climate models to investigate its potential contribution to the resulting model biases over the Philippines. Observed SST over SEA is first characterized by its spatial patterns and temporal variability. An analysis of the SST representation over SEA and its potential influence on modelled climate over the Philippines in Coupled Model Intercomparison Project Phase 5 (CMIP5) global climate models (GCMs) is then conducted, followed by an assessment of the potential influence of SST representation in CMIP5 GCMs on downscaled regional climate output. Our results show that GCMs with well represented SSTs (i.e., low bias, well captured variability, and pattern) can produce climate simulations well over the Philippines. Whether or not the GCMs with poor SST representation can perform well is inconclusive. During boreal winter (summer), climate variables with high (low) spatial correlation with model SST get poor (better) spatial correlation with observed climate. Over west of the Philippines, where model SST seasonal variability is captured well, models also adequately simulate climate variables. Results suggest that the negative temperature biases, and positive precipitation and wind speed biases, in both GCMs and downscaled simulations, are associated with negative model SST biases. These findings give a better understanding on how SST potentially influences modelled climatology over the Philippines.</t>
  </si>
  <si>
    <t>[Magnaye, Angela Monina T.; Narisma, Gemma T.] Ateneo Manila Univ, Sch Sci &amp; Engn, Phys Dept, Atmospher Sci Program, Quezon City, Philippines; [Magnaye, Angela Monina T.; Narisma, Gemma T.; Cruz, Faye T.; Dado, Julie Mae B.] Manila Observ, Reg Climate Syst Lab, Quezon City, Philippines; [Tangang, Fredolin; Juneng, Liew] Univ Kebangsaan Malaysia, Dept Earth Sci &amp; Environm, Bangi, Malaysia; [Tangang, Fredolin; Santisirisomboon, Jerasorn] Ramkhamhang Univ, Ramkhamhaeng Univ Ctr Reg Climate Change &amp; Renewa, Bangkok, Thailand; [Ngo-Duc, Thanh] Univ Sci &amp; Technol Hanoi, Vietnam Acad Sci &amp; Technol, Dept Space &amp; Applicat, Hanoi, Vietnam; [Phan-Van, Tan] VNU Univ Sci, Dept Meteorol &amp; Climate Change, Hanoi, Vietnam; [Singhruck, Patama] Chulalongkorn Univ, Fac Sci, Dept Marine Sci, Bangkok, Thailand; [Gunawan, Dodo] Agcy Meteorol Climatol &amp; Geophys BMKG, Ctr Climate Change Informat, Jakarta, Indonesia; [Aldrian, Edvin] Agcy Assessment &amp; Applicat Technol BPPT, Jakarta, Indonesia</t>
  </si>
  <si>
    <t>Ateneo de Manila University; Universiti Kebangsaan Malaysia; Ramkhamhaeng University; Vietnam Academy of Science &amp; Technology (VAST); University of Science &amp; Technology of Hanoi (USTH); Vietnam National University Hanoi; Chulalongkorn University; Indonesian Agency for Meteorology, Climatology &amp; Geophysics; National Research &amp; Innovation Agency of Indonesia (BRIN); Agency for the Assessment &amp; Application of Technology (BPPT)</t>
  </si>
  <si>
    <t>Asia-Pacific Network for Global Change Research; Ministry of Higher Education, Malaysia(Ministry of Education, Malaysia); National Foundation for Science and Technology Development; Philippine Council for Industry, Energy, and Emerging Technology Research and Development; Universiti Kebangsaan Malaysia</t>
  </si>
  <si>
    <t>Asia-Pacific Network for Global Change Research, Grant/Award Numbers: ARCP2013-17NMYTangang, ARCP2014-07CMY-Tangang, ARCP2015-04CMY-Tangang; Ministry of Higher Education, Malaysia, Grant/Award Number: FRGS/1/2017/WAB05/UKM/01/2; National Foundation for Science and Technology Development, Grant/Award Number: 105.06-2018.05; Philippine Council for Industry, Energy, and Emerging Technology Research and Development, Grant/Award Number: 2018-03675; Universiti Kebangsaan Malaysia, Grant/Award Numbers: GUP-2019-035, ICONIC-2013-001</t>
  </si>
  <si>
    <t>JUN 15</t>
  </si>
  <si>
    <t>10.1002/joc.7440</t>
  </si>
  <si>
    <t>WOS:000722366800001</t>
  </si>
  <si>
    <t>This study examines the characteristics and trends of extreme rainfall in Northern Vietnam from 1961 to 2018, using daily rainfall data collected from 37 meteorological stations. The study reveals that the average annual rainfall varies significantly across stations, ranging from 1140 mm to 4758 mm. The rainy season accounts for 73% to 92% of the total annual rainfall. Most stations show a declining trend in the annual total rainfall during wet days (PRCPTOT) and the number of wet days (WDAY), while rainfall intensity (SDII) has increased in most stations, particularly during the dry season. This can be attributed to an increase in PRCPTOT and a decrease in WDAY in the dry season. The study also finds a general decreasing trend in the annual maximum 1-day precipitation (RX1day) and consecutive 5-day precipitation (RX5day), as well as for the number of moderate (R16mm) and heavy (R50mm) rainfall days. However, most stations in Northern Vietnam demonstrate no trend in the annual maximum number of consecutive dry days (CDD) and the annual maximum number of consecutive wet days (CWD). Furthermore, the frequency of extreme rainfall events in Northern Vietnam exceeding the 5-year and 10-year return values of 1961-2018 has decreased in recent decades at many stations. Overall, the findings of this study provide insights into the changing patterns of extreme rainfall in Northern Vietnam, with significant implications for climate change adaptation and disaster risk reduction efforts in the region.</t>
  </si>
  <si>
    <t>[Ngo-Duc, Thanh] Univ Sci &amp; Technol Hanoi USTH, VAST, Hanoi, Vietnam</t>
  </si>
  <si>
    <t>Vietnam Academy of Science &amp; Technology (VAST); University of Science &amp; Technology of Hanoi (USTH)</t>
  </si>
  <si>
    <t>Acknowledgements This study is supported by the Vietnam National Foundation for Science and Technology Development (NAFOSTED) under Grant 105.06-2021.14.</t>
  </si>
  <si>
    <t>Publishing House Science and Technology</t>
  </si>
  <si>
    <t>HANOI</t>
  </si>
  <si>
    <t>FLR 3-A16 BUILDING, 18 HOANG QUOC VIET, CAU GIAY, HANOI, VIETNAM</t>
  </si>
  <si>
    <t>0866-7187</t>
  </si>
  <si>
    <t>2615-9783</t>
  </si>
  <si>
    <t>VIETNAM J EARTH SCI</t>
  </si>
  <si>
    <t>Vietnam J. Earth Sci.</t>
  </si>
  <si>
    <t>10.15625/2615-9783/18284</t>
  </si>
  <si>
    <t>WOS:001014952100004</t>
  </si>
  <si>
    <t>Phuong Nguyen-Ngoc-Bich; Tan Phan-Van; Thanh Ngo-Duc; Tue Vu-Minh; Long Trinh-Tuan; Tangang, Fredolin T.; Juneng, Liew; Cruz, Faye; Santisirisomboon, Jerasorn; Narisma, Gemma; Aldrian, Edvin</t>
  </si>
  <si>
    <t>In this study, the projected drought characteristics over Vietnam for the future periods of the middle (2046-2065) and end of the 21st century (2080-2099) were investigated under the Representative Concentration Pathway (RCP) scenarios RCP4.5 and RCP8.5. The drought characteristics (duration, severity, intensity, inter-arrival time, and geographic extent) were estimated based on the Palmer Drought Severity Index (PDSI). The PDSI was calculated using temperature and precipitation data from six regional climate downscaling experiments and their ensemble conducted by the Coordinated Regional Climate Downscaling Experiment-Southeast Asia (CORDEX-SEA) project. Projected changes of drought characteristics in the future periods were determined with respect to those in the baseline period 1986-2005. Results show biases in the regional climate model (RCM) outputs, namely an underestimation of temperature and an overestimation of precipitation, which also affect the representation of drought characteristics by overestimating the PDSI. In terms of projections, substantial increases of drought duration, severity and intensity, and decreases in the inter-arrival time are found over the Red River Delta, northern parts of the North Central sub-region, parts of the Central Highlands and over southern Vietnam. The droughts are projected to be more widespread under scenario RCP8.5 than RCP4.5, especially in southern Vietnam. With the increasing likelihood of droughts in Vietnam as a result of climate change, sustainable water resources management should be taken into account for agriculture, natural ecosystems and social development.</t>
  </si>
  <si>
    <t>[Phuong Nguyen-Ngoc-Bich; Tan Phan-Van] VNU Univ Sci, Fac Hydrometeorol &amp; Oceanog, Hanoi, Vietnam; [Thanh Ngo-Duc; Long Trinh-Tuan] Univ Sci &amp; Technol Hanoi, Vietnam Acad Sci &amp; Technol, REMOSAT Lab, Hanoi, Vietnam; [Tue Vu-Minh] Clemson Univ, Glenn Dept Civil Engn, Clemson, SC USA; [Tangang, Fredolin T.; Juneng, Liew] Univ Kebangsaan Malaysia, Fac Sci &amp; Technol, Dept Earth Sci &amp; Environm, Bangi, Malaysia; [Cruz, Faye; Narisma, Gemma] Manila Observ, Reg Climate Syst Lab, Quezon City, Philippines; [Santisirisomboon, Jerasorn] Ramkhamhang Univ, Ctr Reg Climate Change &amp; Renewable Energy RU CORE, Bangkok, Thailand; [Narisma, Gemma] Ateneo Manila Univ, Phys Dept, Atmospher Sci Program, Quezon City, Philippines; [Aldrian, Edvin] Agcy Assessment &amp; Applicat Technol BPPT, Agcy Assessment &amp; Applicat Technol, Jakarta, Indonesia</t>
  </si>
  <si>
    <t>Vietnam National University Hanoi; Vietnam Academy of Science &amp; Technology (VAST); University of Science &amp; Technology of Hanoi (USTH); Clemson University; Universiti Kebangsaan Malaysia; Ramkhamhaeng University; Ateneo de Manila University; National Research &amp; Innovation Agency of Indonesia (BRIN); Agency for the Assessment &amp; Application of Technology (BPPT)</t>
  </si>
  <si>
    <t>BMKG Research Fund; National Research Council of Thailand(National Research Council of Thailand (NRCT)); Thailand Research Fund(Thailand Research Fund (TRF)); Malaysian MOHE; Universiti Kebangsaan Malaysia; Asia-Pacific Network for Global Change Research; National Foundation for Science and Technology Development (NAFOSTED)(National Foundation for Science &amp; Technology Development (NAFOSTED))</t>
  </si>
  <si>
    <t>BMKG Research Fund, Grant/Award Number: FY 2013-2018; National Research Council of Thailand, Grant/Award Numbers: 2559-226, 2557-73; Thailand Research Fund, Grant/Award Number: RDG5630019; Malaysian MOHE, Grant/Award Number: FRGS/1/2017/WAB05/UKM/01/2; Universiti Kebangsaan Malaysia, Grant/Award Number: ICONIC-2013-001; CORDEX-SEA is funded by the Asia-Pacific Network for Global Change Research, Grant/Award Numbers: ARCP2015-04CMY, ARCP2014-07CMY-, ARCP2013-17NMY; National Foundation for Science and Technology Development (NAFOSTED), Grant/Award Number: 105.06-2019.306</t>
  </si>
  <si>
    <t>10.1002/joc.7150</t>
  </si>
  <si>
    <t>WOS:000646159200001</t>
  </si>
  <si>
    <t>Villafuerte, Marcelino Q., II; Matsumoto, Jun; Kubota, Hisayuki</t>
  </si>
  <si>
    <t>Statistical modelling of extreme values was used to detect potential changes in extreme rainfall in the Philippines and to investigate whether such changes are associated with the rising near-surface global mean temperature and the El Nino-Southern Oscillation (ENSO). The generalized extreme value distribution was formulated to its stationary and non-stationary forms, and then was fitted by the maximum likelihood method to the series of daily rainfall annual maxima (RX1day) spanning 100 years (1911-2010) at 23 meteorological stations across the country. Subsequently, statistically significant changes in extreme rainfall in the country were detected; such changes were further linked to the near-surface global mean temperature and ENSO. Specifically, the study has revealed a country-averaged increase in the median intensity of extreme rainfall by about 4.3% degrees C-1 rise in the near-surface global mean temperature. Furthermore, a seasonal influence of ENSO on extreme rainfall in the Philippines has been shown. In particular, the stations located in the northwest section of the country, where 75-100% of the RX1day occurred in the summer monsoon season (July-September) during the entire period of 1911-2010, showed an average increase in the median intensity of extreme rainfall by about 6.5% degrees C-1 increase in the ENSO index. These findings imply a potential intensification and increase in the occurrence of extreme rainfall into the future as the global mean temperature continues to rise, and such trends should be considered in adaptation strategies to minimize the disasters caused by extreme rainfall events in the Philippines.</t>
  </si>
  <si>
    <t>[Villafuerte, Marcelino Q., II; Matsumoto, Jun] Tokyo Metropolitan Univ, Dept Geog, Grad Sch Urban Environm Sci, Hachioji, Tokyo 1920397, Japan; [Villafuerte, Marcelino Q., II] Philippine Atmospher Geophys &amp; Astron Serv Adm, Climatol &amp; Agrometeorol Div, Quezon City, Philippines; [Matsumoto, Jun; Kubota, Hisayuki] Japan Agcy Marine Earth Sci &amp; Technol, Dept Coupled Ocean Atmosphere Land Proc Res, Yokosuka, Kanagawa 2370061, Japan</t>
  </si>
  <si>
    <t>Green Network of Excellence (GRENE) program; Japanese Ministry of Education, Culture, Sports, Science and Technology (MEXT)(Ministry of Education, Culture, Sports, Science and Technology, Japan (MEXT)); 'Asian Human Resources Fund' scholarship from the Tokyo Metropolitan Government; Grants-in-Aid for Scientific Research(Ministry of Education, Culture, Sports, Science and Technology, Japan (MEXT)Japan Society for the Promotion of ScienceGrants-in-Aid for Scientific Research (KAKENHI))</t>
  </si>
  <si>
    <t>The Green Network of Excellence (GRENE) program and the Grants-in-Aid for Scientific Research 23240122 and 26220202 of the Japanese Ministry of Education, Culture, Sports, Science and Technology (MEXT) supported the recovery and digitization of the pre-1940s rainfall data in the Philippines. We are thankful to Dr Ikumi Akasaka for compiling the rainfall data. The open-source R software was used in the computations and for creating figures. M. Q. Villafuerte II is a recipient of 'Asian Human Resources Fund' scholarship from the Tokyo Metropolitan Government, which was made possible through the program: 'Solutions for the Water-Related Problems in Asian Metropolitan Areas' led by Prof. Akira Kawamura of Tokyo Metropolitan University. We are also grateful to the anonymous reviewers whose useful suggestions led to significant improvement of this article.</t>
  </si>
  <si>
    <t>10.1002/joc.4105</t>
  </si>
  <si>
    <t>WOS:000357737000026</t>
  </si>
  <si>
    <t>Tan, Yi Xun; Ng, Jing Lin; Huang, Yuk Feng</t>
  </si>
  <si>
    <t>Drought indices like Standardized Precipitation Index (SPI) and Standardized Precipitation Evapotranspiration Index (SPEI) are applied to determine the drought occurrence. The drought characteristics are quantified based on the frequency, duration, peak and severity. The application of the two drought indices may provide different accuracy and indication on the drought characteristics. Thus, it is necessary to determine the better drought index for an accurate drought assessment in water resources planning and management. This study assessed the spatiotemporal variation of the drought characteristics in Malaysia based on SPI and SPEI. Furthermore, the novelty of this study is to evaluate the accuracy SPI and SPEI for the historical drought formation under the influence of rainfall and potential evapotranspiration trends. The temporal analysis results indicated the reducing dry conditions for both drought indices except the inland part of East Coast region for Peninsular Malaysia. Additionally, the spatial analysis results showed a higher drought frequency but shorter duration and less severe at the inland part of East Coast Region for Peninsular Malaysia and Northern region of East Malaysia for 1-month and 3-months time scales. Besides, there were lower occurrences of 6-months and 12-months drought with the overall increase in the rainfall trend in Malaysia. For the evaluation of accuracy, the SPEI was deemed more accurate as compared to SPI by achieving a higher true positive rate and negative predictive rate, lower false detection rate, false negative rate, and onset detection. The SPEI also provided a better description of the most severe drought events in year 1997/1998 and year 2015/2016. The outcomes are useful to develop mitigation strategies against the climate change.</t>
  </si>
  <si>
    <t>[Tan, Yi Xun; Ng, Jing Lin] UCSI Univ, Fac Engn Technol &amp; Built Environm, Dept Civil Engn, Kuala Lumpur 56000, Malaysia; [Huang, Yuk Feng] Univ Tunku Abdul Rahman, Lee Kong Chian Fac Engn &amp; Sci, Dept Civil Engn, Selangor, Malaysia</t>
  </si>
  <si>
    <t>UCSI University; Universiti Tunku Abdul Rahman (UTAR)</t>
  </si>
  <si>
    <t>Ministry of Higher Education Malaysia through Fundamental Research Grant Scheme (FRGS)</t>
  </si>
  <si>
    <t>The authors would like to express their gratitude to the Ministry of Higher Education Malaysia for funding this research project through Fundamental Research Grant Scheme (FRGS) with project code: FRGS/1/2021/TK0/UCSI/03/3.</t>
  </si>
  <si>
    <t>1865-0473</t>
  </si>
  <si>
    <t>1865-0481</t>
  </si>
  <si>
    <t>EARTH SCI INFORM</t>
  </si>
  <si>
    <t>Earth Sci. Inform.</t>
  </si>
  <si>
    <t>10.1007/s12145-022-00921-5</t>
  </si>
  <si>
    <t>Computer Science, Interdisciplinary Applications; Geosciences, Multidisciplinary</t>
  </si>
  <si>
    <t>WOS:000906228400001</t>
  </si>
  <si>
    <t>Podrecca, Luca G.; Makarova, Maria; Miller, Kenneth G.; Browning, James, V; Wright, James D.</t>
  </si>
  <si>
    <t>The mid-Atlantic coastal plain (eastern United States) preserves high-resolution records of the Paleocene-Eocene Thermal Maximum (PETM) and attendant carbon isotope excursion (CIE), though preservation is highly variable from site to site. Here, we use a dip transect of expanded (as much as 15 m thick) PETM sections from the New Jersey coastal plain to build a cross-shelf PETM depositional model that explains the variability of these records. We invoke enhanced delivery of fine-grained sediments, due to the rapid environmental changes associated with this hyperthermal event, to explain relatively thick PETM deposits. We utilize delta C-13(bulk), percent CaCO3, and percent coarse fraction (&gt;63 mu m) data, supported by biostratigraphic records, to correlate sites along a paleoslope dip transect. Updip cores from Medford, New Jersey, preserve expanded sections of the initiation of the PETM and the earliest portion of the CIE. Medial sites (Wilson Lake, Millville) preserve an expanded CIE body, and downdip Bass River records the CIE recovery. We interpret this pattern to reflect the progradation of clinoform foresets across the paleoshelf via fluid mud, similar to modern high-sediment-supply rivers and adjacent muddy shelves (e.g., the Amazon, Mahakam [Indonesia], and Ayeyarwady [Myanmar] Rivers). Our subaqueous-clinoform delta model explains the pattern of the CIE records and provides a framework for future PETM studies in the region.</t>
  </si>
  <si>
    <t>[Podrecca, Luca G.; Makarova, Maria; Miller, Kenneth G.; Browning, James, V; Wright, James D.] Rutgers State Univ, Dept Earth &amp; Planetary Sci, Piscataway, NJ 08854 USA; [Podrecca, Luca G.; Makarova, Maria; Miller, Kenneth G.; Browning, James, V; Wright, James D.] Rutgers State Univ, Inst Earth Oceans &amp; Atmospher Sci, Piscataway, NJ 08854 USA; [Podrecca, Luca G.] Northwestern Univ, Dept Earth &amp; Planetary Sci, Evanston, IL 60208 USA</t>
  </si>
  <si>
    <t>Rutgers University System; Rutgers University New Brunswick; Rutgers University System; Rutgers University New Brunswick; Northwestern University</t>
  </si>
  <si>
    <t>U.S. National Science Foundation(National Science Foundation (NSF))</t>
  </si>
  <si>
    <t>We thank the late C. Lombardi, who proposed the possibility of fluid mud deposition on the New Jersey coastal plain during the PETM; the U.S. -Geological Survey drillers, particularly the late J. Grey, for their efforts; the International Ocean Discovery Program for samples from Leg 174AX sites; as well as the anonymous reviewers who, alongside Elizabeth Hajek, contributed feedback that greatly enhanced the strength of this paper. This work was supported by U.S. National Science Foundation grants OCE1657013 (Miller) and OCE14-63759 (Miller and Browning).</t>
  </si>
  <si>
    <t>DEC 1</t>
  </si>
  <si>
    <t>10.1130/G49061.1</t>
  </si>
  <si>
    <t>WOS:000730226600007</t>
  </si>
  <si>
    <t>Trinh-Tuan, Long; Matsumoto, Jun; Tangang, Fredolin T.; Juneng, Liew; Cruz, Faye; Narisma, Gemma; Santisirisomboon, Jerasom; Tan Phan-Van; Gunawan, Dodo; Aldrian, Edvin; Thanh Ngo-Duc</t>
  </si>
  <si>
    <t>The Quantile Mapping (QM) bias correction (BC) technique was applied for the first time to address biases in the simulated precipitation over Vietnam from the Regional Climate Model (RegCM) driven by five Coupled Model Intercomparison Project Phase 5 (CMIP5) Global Climate Model (GCM) products. The QM process was implemented for the period 1986-2005, and subsequently applied to the mid-future period 2046-2065 under both Representative Concentration Pathway (RCP) 4.5 and RCP 8.5. Comparison with the original model outputs during the independent validation period shows a large bias reduction from 45% to 3% over Vietnam and significant improvements in representing precipitation indices (PI) after applying the QM technique. Moreover, the ensemble average of the BC products generally performed better than an individual BC member in capturing the spatial distribution of the PIs. A drier condition with a longer rainfall break, and shorter consecutive rainfall events are anticipated over Northern and Central Vietnam during their respective wet seasons in the mid-future. Furthermore, this study showed that the QM method minimally modified the future changes in PIs over most of Vietnam; thus, these corrected projections could be used in climate impacts and adaptation studies.</t>
  </si>
  <si>
    <t>[Trinh-Tuan, Long; Matsumoto, Jun] Tokyo Metropolitan Univ, Dept Geog, Hachioji, Tokyo, Japan; [Matsumoto, Jun] Japan Agcy Marine Earth Sci &amp; Technol JAMSTEC, Dept Coupled Ocean Atmosphere Land Proc Res D COP, Yokosuka, Kanagawa, Japan; [Tangang, Fredolin T.; Juneng, Liew] Univ Kebangsaan Malaysia, Fac Sci &amp; Technol, Ctr Earth Sci &amp; Environm, Bangi, Selangor, Malaysia; [Tangang, Fredolin T.; Santisirisomboon, Jerasom] Ramkhamhang Univ, Ctr Reg Climate Change &amp; Renewable Energy RU CORE, Bangkok, Thailand; [Cruz, Faye; Narisma, Gemma] Manila Observ, Quezon City, Philippines; [Narisma, Gemma] Ateneo Manila Univ, Phys Dept, Atmospher Sci Program, Quezon City, Philippines; [Tan Phan-Van] VNU Univ Sci, Dept Meteorol &amp; Climate Change, Hanoi, Vietnam; [Gunawan, Dodo] Agcy Meteorol Climatol &amp; Geophys BMKG, Res &amp; Dev Ctr, Jakarta, Indonesia; [Aldrian, Edvin] Agcy Assessment &amp; Applicat Technol BPPT, Jakarta, Indonesia; [Thanh Ngo-Duc] USTH, VAST, Dept Space &amp; Aeronaut, Hanoi, Vietnam</t>
  </si>
  <si>
    <t>Tokyo Metropolitan University; Japan Agency for Marine-Earth Science &amp; Technology (JAMSTEC); Universiti Kebangsaan Malaysia; Ramkhamhaeng University; Ateneo de Manila University; Vietnam National University Hanoi; Indonesian Agency for Meteorology, Climatology &amp; Geophysics; National Research &amp; Innovation Agency of Indonesia (BRIN); Agency for the Assessment &amp; Application of Technology (BPPT); Vietnam Academy of Science &amp; Technology (VAST); University of Science &amp; Technology of Hanoi (USTH)</t>
  </si>
  <si>
    <t>Tokyo Human Resources Fund for City Diplomacy of Tokyo Metropolitan University from the Tokyo Metropolitan Government; Vietnam National Foundation for Science and Technology Development (NAFOSTED)(National Foundation for Science &amp; Technology Development (NAFOSTED)); Asia-Pacific Network for Global Change Research (APN); Universiti Kebangsaan Malaysia; Department of Science and Technology Philippine Council for Industry, Energy, and Emerging Technology Research and Development (DOST-PCIEERD) of the Philippines(Department of Science &amp; Technology (DOST), Philippines)</t>
  </si>
  <si>
    <t>The authors wish to thank the Editor and the two anonymous reviewers for helpful suggestions on improving the manuscript. This study is supported by the Tokyo Human Resources Fund for City Diplomacy of Tokyo Metropolitan University received from the Tokyo Metropolitan Government and by the Vietnam National Foundation for Science and Technology Development (NAFOSTED) under Grant 105.06-2018.05. CORDEX-SEA is funded by the Asia-Pacific Network for Global Change Research (APN) (ARCP2013-17NMY-Tangang/ST-2013-017, ARCP2014-07CMY-Tangang/ST-2015-003, ARCP2015-04CMY-Tangang/ST-2015-003) and Universiti Kebangsaan Malaysia ICONIC-2013-001 grant with additional support from the Department of Science and Technology Philippine Council for Industry, Energy, and Emerging Technology Research and Development (DOST-PCIEERD) of the Philippines.</t>
  </si>
  <si>
    <t>10.2151/sola.2019-001</t>
  </si>
  <si>
    <t>WOS:000456049000001</t>
  </si>
  <si>
    <t>Power, Katherine; Barnett, Jamie; Dickinson, Travis; Axelsson, Josefine</t>
  </si>
  <si>
    <t>Irregular climate events frequently occur in Southeast Asia due to the numerous climate patterns combining. Thailand sits at the confluence of these interactions, and consequently experiences major hydrological events, such as droughts. Proxy data, speleothem records, lake sediment sequences and tree ring chronologies were used to reconstruct paleo drought conditions. These trends were compared with modelled and historic El Nino Southern Oscillation (ENSO) data to assess if the ENSO climate phenomena is causing droughts in Thailand. Drought periods were found to occur both during El Nino events and ENSO neutral conditions. This indicates droughts are not a product of one climate pattern, but likely the result of numerous patterns interacting. There is uncertainty regarding how climate patterns will evolve under climate change, but changes in amplitude and variability could potentially lead to more frequent and wider reaching hydrological disasters. It is vital that policies are implemented to cope with the resulting social and economic repercussions, including diversification of crops and reorganisation of water consumption behaviour in Thailand.</t>
  </si>
  <si>
    <t>[Power, Katherine; Barnett, Jamie; Dickinson, Travis; Axelsson, Josefine] Stockholm Univ, Dept Phys Geog, SE-10691 Stockholm, Sweden; [Axelsson, Josefine] Stockholm Univ, Bolin Ctr Climate Res, SE-10691 Stockholm, Sweden</t>
  </si>
  <si>
    <t>Stockholm University; Stockholm University</t>
  </si>
  <si>
    <t>Swedish Research Council (Vetenskapsradet)(Swedish Research Council)</t>
  </si>
  <si>
    <t>This research has been supported by the the Swedish Research Council (Vetenskapsradet, grant no. 2013-06476 and 2017-04232).</t>
  </si>
  <si>
    <t>2571-550X</t>
  </si>
  <si>
    <t>Quaternary</t>
  </si>
  <si>
    <t>10.3390/quat3020018</t>
  </si>
  <si>
    <t>WOS:000551267300007</t>
  </si>
  <si>
    <t>Dash, Itesh; Nagai, Masahiko; Pal, Indrajit</t>
  </si>
  <si>
    <t>A Multi-Model Ensemble (MME) based seasonal rainfall forecast customization tool called FOCUS was developed for Myanmar in order to provide improved seasonal rainfall forecast to the country. The tool was developed using hindcast data from 7 Global Climate Models (GCMs) and observed rainfall data from 49 meteorological surface observatories for the period of 1982 to 2011 from the Department of Meteorology and Hydrology. Based on the homogeneity in terms of the rainfall received annually, the country was divided into six climatological zones. Three different operational MME techniques, namely, (a) arithmetic mean (AM-MME), (b) weighted average (WA-MME), and (c) supervised principal component regression (PCR-MME), were used and built-in to the tool developed. For this study, all 7 GCMs were initialized with forecast data of May month to predict the rainfall during June to September (JJAS) period, which is the predominant rainfall season for Myanmar. The predictability of raw GCMs, bias-corrected GCMs, and the MMEs was evaluated using RMSE, correlation coefficients, and standard deviations. The probabilistic forecasts for the terciles were also evaluated using the relative operating characteristics (ROC) scores, to quantify the uncertainty in the GCMs. The results suggested that MME forecasts have shown improved performance (RMSE = 1.29), compared to the raw individual models (ECMWF, which is comparatively better among the selected models) with RMSE = 4.4 and bias-corrected RMSE = 4.3, over Myanmar. Specifically, WA-MME (CC = 0.64) and PCR-MME (CC = 0.68) methods have shown significant improvement in the high rainfall (delta) zone compared with WA-MME (CC = 0.57) and PCR-MME (CC = 0.56) techniques for the southern zone. The PCR method suggests higher predictability skill for the upper tercile (ROC = 0.78) and lower tercile categories (ROC = 0.85) for the delta region and is less skillful over lower rainfall zones like dry zones with ROC = 0.6 and 0.63 for upper and lower terciles, respectively. The model is thus suggested to perform relatively well over the higher rainfall (Wet) zones compared to the lower (Dry) zone during the JJAS period.</t>
  </si>
  <si>
    <t>[Dash, Itesh; Nagai, Masahiko; Pal, Indrajit] Asian Inst Technol, Disaster Preparedness Mitigat &amp; Management, Khlong Nueng, Pathum Thani, Thailand; [Nagai, Masahiko] Yamaguchi Univ, Grad Sch Sci &amp; Technol Innovat, Yamaguchi, Japan</t>
  </si>
  <si>
    <t>Asian Institute of Technology; Yamaguchi University</t>
  </si>
  <si>
    <t>DEC 18</t>
  </si>
  <si>
    <t>10.1155/2019/4957127</t>
  </si>
  <si>
    <t>WOS:000522113000002</t>
  </si>
  <si>
    <t>Quang-Van Doan; Dipankar, Anurag; Simon-Moral, Andres; Sanchez, Claudio; Prasanna, Venkatraman; Roth, Matthias; Huang, Xiang-Yu</t>
  </si>
  <si>
    <t>There is still no consensus on the mechanisms that modify precipitation over and around cities, especially for those located in the tropics where convective processes primarily drive rainfall. Here we contribute to the ongoing discussion about the urban-associated precipitation by investigating the urban effect on the diurnal cycle of rainfall over Singapore. We use the urban version of the numerical weather prediction system of the Meteorological Service Singapore (hereafter called uSINGV) at a 300 m horizontal resolution to simulate the rainfall conditions over Singapore and its surroundings during the inter-monsoon period between 2010 and 2014. Two simulations with different land surface conditions are conducted: one with urban areas (i.e. present conditions) and one without urban areas. uSINGV is shown to perform well for rainfall when compared to observations. Comparison between simulations reveals that the urban area is responsible for the formation of a rainfall hot spot over Singapore and Johor Bahru, located at the southern tip of the Malay Peninsula, and the urban effect is accountable for 20-30% of total rainfall during late afternoons and evenings, highlighting a strong urban effect on localized rainfall over a tropical city. Enhancement of convection due to the urban heat island effect, increased frictional convergence due to buildings' drag, the seaward shift of the sea-breeze front, and the increased inflow of boundary-layer moisture by the stronger sea breeze are suggested as most probable reasons for the increased rainfall in the urban area.</t>
  </si>
  <si>
    <t>[Quang-Van Doan; Dipankar, Anurag; Prasanna, Venkatraman; Huang, Xiang-Yu] Meteorol Serv Singapore, Ctr Climate Res Singapore, Singapore, Singapore; [Quang-Van Doan] Univ Tsukuba, Ctr Computat Sci, Tsukuba, Ibaraki, Japan; [Simon-Moral, Andres; Roth, Matthias] Natl Univ Singapore, Dept Geog, Singapore, Singapore; [Sanchez, Claudio] Met Off, Exeter, Devon, England</t>
  </si>
  <si>
    <t>Meteorological Service Singapore; University of Tsukuba; National University of Singapore; Met Office - UK</t>
  </si>
  <si>
    <t>National Environment Agency of Singapore; National University of Singapore(National University of Singapore); JSPS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</si>
  <si>
    <t>Research Collaborative Agreement between the National Environment Agency of Singapore and National University of Singapore, Grant/Award Number: R-109-000-236-490; JSPS KAKENHI, Grant/Award Numbers: JP19H01155, JP20K13258</t>
  </si>
  <si>
    <t>10.1002/qj.3966</t>
  </si>
  <si>
    <t>WOS:000609308700001</t>
  </si>
  <si>
    <t>Nguyen, Kim C.; Katzfey, Jack J.; McGregor, John L.</t>
  </si>
  <si>
    <t>Rainfall over Vietnam is highly variable from north to south, due to the interaction of the monsoonal winds with the terrain. There is high rainfall from April to September, and little rainfall from October to March (except along the central Vietnam coast). In order to study the ability of the Commonwealth Scientific and Industrial Research Organisation stretched-grid Conformal Cubic Atmospheric Model (CCAM) to capture the climatic and interannual variability of rainfall, downscaled simulations at approximately 20 km horizontal resolution over the region were produced for the period 1979-2001. A scale-selective digital filter was used to force the winds, temperature and sea-level pressure from the ERA-Interim reanalysis for length scales greater than about 700 km. For wind and temperature, the forcing is applied for pressure-sigma levels above about 0.9. ERA-Interim sea surface temperatures were used over the oceans. The simulations were primarily validated against the gridded Asian Precipitation Highly Resolved Observational Data Integration Toward Evaluation of the Water Resources rainfall dataset and station observations using standard statistical methods. It was found that CCAM reproduces well the amount and spatial variability of rainfall, with an area-averaged bias for the entire study domain of less than 1 mm day(-1); CCAM is also able to capture the rainfall pattern under different El Nio Southern Oscillation phases reasonably well for the dry season. For interannual variability, the simulation generally performed better for North and Central Vietnam than for South Vietnam, where rainfall variability was overestimated.</t>
  </si>
  <si>
    <t>[Nguyen, Kim C.; Katzfey, Jack J.; McGregor, John L.] Ctr Australian Weather &amp; Climate Res, Aspendale, Vic 3195, Australia</t>
  </si>
  <si>
    <t>Commonwealth Scientific &amp; Industrial Research Organisation (CSIRO)</t>
  </si>
  <si>
    <t>CSIRO-AusAid Alliance to produce high-resolution downscaled future-climate data sets for Vietnam</t>
  </si>
  <si>
    <t>The authors would like to thank Ha Noi University of Science (HUS) and the Institute of Meteorology, Hydrology and Environment (IMHEN) for providing observed station data. The authors are also indebted to the two reviewers for their critical suggestions toward improvements of the manuscript. This project was funded by the CSIRO-AusAid Alliance to produce high-resolution downscaled future-climate data sets for Vietnam.</t>
  </si>
  <si>
    <t>10.1007/s00382-013-1976-5</t>
  </si>
  <si>
    <t>WOS:000339899500017</t>
  </si>
  <si>
    <t>Tan Phan-Van; Thanh Nguyen-Xuan; Hiep Van Nguyen; Laux, Patrick; Ha Pham-Thanh; Thanh Ngo-Duc</t>
  </si>
  <si>
    <t>This study investigates the ability to apply National Centers for Environmental Prediction (NCEP) Climate Forecast System (CFS) products and their downscaling by using the Regional Climate Model version 4.2 (RegCM4.2) on seasonal rainfall forecasts over Vietnam. First, the CFS hindcasts (CFS_Rfc) from 1982 to 2009 are used to assess the ability of the CFS to predict the overall circulation and precipitation patterns at forecast lead times of up to 6 months. Second, the operational CFS forecasts (CFS_Ope) and its RegCM4.2 downscaling (RegCM_CFS) for the period 2012-14 are used to derive seasonal rainfall forecasts over Vietnam. The CFS_Rfc and CFS_Ope are validated against the ECMWF interim reanalysis, the Global Precipitation Climatology Centre (GPCC) analyzed rainfall, and observations from 150 meteorological stations across Vietnam. The results show that the CFS_Rfc can capture the seasonal variability of the Asian monsoon circulation and rainfall distribution. The higher-resolution RegCM_CFS product is advantageous over the raw CFS in specific climatic subregions during the transitional, dry, and rainy seasons, particularly in the northern part of Vietnam in January and in the country's central highlands during July.</t>
  </si>
  <si>
    <t>[Tan Phan-Van; Thanh Nguyen-Xuan; Ha Pham-Thanh] Vietnam Natl Univ Hanoi Univ Sci, Dept Meteorol &amp; Climate Change, Hanoi, Vietnam; [Hiep Van Nguyen] Vietnam Acad Sci &amp; Technol, Inst Geophys, Appl Geophys Ctr, Hanoi, Vietnam; [Laux, Patrick] Karlsruhe Inst Technol, Inst Meteorol &amp; Atmospher Environm Res, Garmisch Partenkirchen, Germany; [Thanh Ngo-Duc] Univ Sci &amp; Technol Hanoi, Vietnam Acad Sci &amp; Technol, Lab Remote Sensing &amp; Modeling Surface &amp; Atmospher, Hanoi, Vietnam</t>
  </si>
  <si>
    <t>Vietnam National University Hanoi; Vietnam Academy of Science &amp; Technology (VAST); Helmholtz Association; Karlsruhe Institute of Technology; Vietnam Academy of Science &amp; Technology (VAST); University of Science &amp; Technology of Hanoi (USTH)</t>
  </si>
  <si>
    <t>Vietnam National Foundation for Science and Technology Development (NAFOSTED)(National Foundation for Science &amp; Technology Development (NAFOSTED)); German Federal Ministry of Education and Research (BMBF)(Federal Ministry of Education &amp; Research (BMBF)); French consortium of the University of Science and Technology of Hanoi (USTH)</t>
  </si>
  <si>
    <t>This research is funded by Vietnam National Foundation for Science and Technology Development (NAFOSTED) under Grant 105.06-2014.44. The authors sincerely thank three anonymous reviewers, as well as Prof. A. H. Fink and Dr. R. van der Linden from Karlsruhe Institute of Technology (KIT), Germany, for their comments and suggestions, which helped us to improve the quality of our manuscript. HPT would like to thank the German Federal Ministry of Education and Research (BMBF) for support in the context of the LUCCi project (Grant 01LL0908C). The REMOSAT support from the French consortium of the University of Science and Technology of Hanoi (USTH) is also acknowledged.</t>
  </si>
  <si>
    <t>0882-8156</t>
  </si>
  <si>
    <t>1520-0434</t>
  </si>
  <si>
    <t>WEATHER FORECAST</t>
  </si>
  <si>
    <t>Weather Forecast.</t>
  </si>
  <si>
    <t>10.1175/WAF-D-17-0098.1</t>
  </si>
  <si>
    <t>WOS:000430805800002</t>
  </si>
  <si>
    <t>Muangsong, Chotika; Cai, Binggui; Pumijumnong, Nathsuda; Hu, Chaoyong; Cheng, Hai</t>
  </si>
  <si>
    <t>Northern Thailand is the most flood-prone region in Thailand during the Indian Ocean Dipole (IOD) and El Nino-Southern Oscillation (ENSO) events. An annual growth rate profile covering the period from 1622 to 2008 AD was derived from the laminated stalagmite NJ-0901 from this area. By comparing stalagmite NJ-0901 to a contemporaneous stalagmite from the same cave and correlating the growth rate of NJ-0901 with meteorological data from the most recent 100 years, the stalagmite record proved to be a paleo-climate proxy of Thailand monsoon (TM) rainfall. This is the first annually laminated speleothem record that has been traced back four centuries. This record provided a long-term perspective and a valuable insight into TM rainfall and allowed us to investigate variations in the monsoon activity that was associated with IOD and ENSO. Our results indicate that both IOD and ENSO are significant climate modes that impact TM rainfall, but the effect of the interaction IOD and ENSO on TM rainfall remains unclear. (c) 2014 Elsevier Ltd and INQUA. All rights reserved.</t>
  </si>
  <si>
    <t>[Muangsong, Chotika] China Univ Geosci, Fac Earth Sci, Wuhan 430074, Peoples R China; [Muangsong, Chotika; Cai, Binggui] Fujian Normal Univ, Coll Geog Sci, Key Lab Humid Subtrop Ecogeog Proc, Minist Educ, Fuzhou 350007, Peoples R China; [Pumijumnong, Nathsuda] Mahidol Univ, Fac Environm &amp; Resource Studies, Nakhon Pathom 73170, Thailand; [Hu, Chaoyong] China Univ Geosci, State Key Lab Biogeol &amp; Environm Geol, Wuhan 430074, Peoples R China; [Cheng, Hai] Xi An Jiao Tong Univ, Inst Global Environm Change, Xian 710049, Peoples R China; [Cheng, Hai] Univ Minnesota, Dept Earth Sci, Minneapolis, MN 55455 USA</t>
  </si>
  <si>
    <t>China University of Geosciences; Fujian Normal University; Mahidol University; China University of Geosciences; Xi'an Jiaotong University; University of Minnesota System; University of Minnesota Twin Cities</t>
  </si>
  <si>
    <t>Thailand Research Fund (TRF)(Thailand Research Fund (TRF)); National Basic Research Program(National Basic Research Program of China); Natural Science Foundation of China(National Natural Science Foundation of China (NSFC))</t>
  </si>
  <si>
    <t>This research was funded under a project of Interactions between humans and their environments in highland Pang Ma Pha, Mae Hong son Province by the Thailand Research Fund (TRF) (Grant No. RDG55H0006), the National Basic Research Program (award numbers 2010CB950101), and Natural Science Foundation of China (award number 41072134 to B. Cai and 41230524 to H. Cheng). We thank the anonymous reviewers for their helpful comments.</t>
  </si>
  <si>
    <t>1040-6182</t>
  </si>
  <si>
    <t>1873-4553</t>
  </si>
  <si>
    <t>QUATERN INT</t>
  </si>
  <si>
    <t>Quat. Int.</t>
  </si>
  <si>
    <t>OCT 28</t>
  </si>
  <si>
    <t>10.1016/j.quaint.2014.08.037</t>
  </si>
  <si>
    <t>WOS:000344950900011</t>
  </si>
  <si>
    <t>Dang-Quang Nguyen; Renwick, James; McGregor, James</t>
  </si>
  <si>
    <t>This study characterizes rainfall and temperature variability for the whole of Vietnam and for climate sub-regions over 40years from 1971 to 2010. Vietnam's average temperature has increased at a rate of 0.26 +/- 0.10 degrees C per decade since the 1970s, approximately twice the rate of global warming over the same period. The rate of increase is greater in winter than in summer. Except for the Central Highland, annual average temperatures in southern regions are increasing more rapidly than in the North. The increases in temperatures are statistically significant in most sub-regions; however this is not the case for rainfall. The locations of climate boundaries between sub-regions are also discussed and suggestions for repositioning of these are made. Temperature and rainfall variability are shown to be linked to El Nino-Southern Oscillation on both national and sub-regional scale. This relationship is stronger in lower latitudes and in winter.</t>
  </si>
  <si>
    <t>[Dang-Quang Nguyen; Renwick, James; McGregor, James] Victoria Univ Wellington, SGEES, Wellington, New Zealand; [Dang-Quang Nguyen; Renwick, James] Natl Inst Water &amp; Atmospher Res, Dept Climate Variabil &amp; Change, Wellington, New Zealand</t>
  </si>
  <si>
    <t>Victoria University Wellington; National Institute of Water &amp; Atmospheric Research (NIWA) - New Zealand</t>
  </si>
  <si>
    <t>New Zealand Aid Programme, Ministry of Foreign Affairs and Trade</t>
  </si>
  <si>
    <t>The lead author was fully funded by New Zealand Aid Programme, Ministry of Foreign Affairs and Trade under the supervisors of Victoria University of Wellington (VUW) and National Institute of Water Atmospheric Research (NIWA), New Zealand. We thank Vietnam National Centre for Hydro-meteorological Forecasting and Japanese Meteorological Agency for allowing us to access and use their latest re-analysis and observational records. Thanks also go to Professor Euan Smith, School of Geography, Environment, and Earth Sciences, VUW for his invaluable comments on estimating the trends in climate studies. Thanks to Dr. Janet Bradford-Grieve for editorial support.</t>
  </si>
  <si>
    <t>10.1002/joc.3684</t>
  </si>
  <si>
    <t>WOS:000329287800020</t>
  </si>
  <si>
    <t>Gallo, Florian; Daron, Joseph; Macadam, Ian; Cinco, Thelma; Villafuerte, Marcelino, II; Buonomo, Erasmo; Tucker, Simon; Hein-Griggs, David; Jones, Richard G.</t>
  </si>
  <si>
    <t>The Philippines is one of the most exposed countries in the world to tropical cyclones. In order to provide information to help the country build resilience and plan for a future under a warmer climate, we build on previous research to investigate implications of future climate change on tropical cyclone activity in the Philippines. Experiments were conducted using three regional climate models with horizontal resolutions of approximately 12 km (HadGEM3-RA) and 25 km (HadRM3P and RegCM4). The simulations are driven by boundary data from a subset of global climate model simulations from the CMIP5 ensemble. Here we present the experimental design, the methodology for selecting CMIP5 models, the results of the model validation, and future projections of changes to tropical cyclone frequency and intensity by the mid-21st century. The models used are shown to represent the key climatological features of tropical cyclones across the domain, including the seasonality and general distribution of intensities, but issues remain in resolving very intense tropical cyclones and simulating realistic trajectories across their life-cycles. Acknowledging model inadequacies and uncertainties associated with future climate model projections, the results show a range of plausible changes with a tendency for fewer but slightly more intense tropical cyclones. These results are consistent with the basin-wide results reported in the IPCC AR5 and provide clear evidence that the findings from these previous studies are applicable in the Philippines region.</t>
  </si>
  <si>
    <t>[Gallo, Florian; Daron, Joseph; Buonomo, Erasmo; Tucker, Simon; Hein-Griggs, David; Jones, Richard G.] Met Off, Exeter, Devon, England; [Macadam, Ian] UNSW Sydney, ARC Ctr Excellence Climate Extremes, Sydney, NSW, Australia; [Cinco, Thelma; Villafuerte, Marcelino, II] Philippine Atmospher Geophys &amp; Astron Serv Adm, Quezon City, Philippines; [Hein-Griggs, David] Univ Exeter, Exeter, Devon, England</t>
  </si>
  <si>
    <t>Met Office - UK; University of New South Wales Sydney; University of Exeter</t>
  </si>
  <si>
    <t>UK Department for International Development</t>
  </si>
  <si>
    <t>10.1002/joc.5870</t>
  </si>
  <si>
    <t>WOS:000461606600003</t>
  </si>
  <si>
    <t>Nguyen Thi Tuyet; Ngo Duc Thanh; Phan Van Tan</t>
  </si>
  <si>
    <t>The study examined the performance of six regional climate experiments conducted under the framework of the Southeast Asia Regional Climate Downscaling/Coordinated Regional Climate Downscaling Experiment-Southeast Asia (SEACLID/CORDEX-SEA) project and their ensemble product (ENS) in simulating temperature at 2 m (T2m) and rainfall (R) in seven climatic sub-regions of Vietnam. The six experiments were named following the names of their driving Global Climate Models (GCMs), i.e., CNRM, CSIRO, ECEA, GFDL, HADG and MPI. The observation data for the period 1986-2005 from 66 stations in Vietnam were used to compare with the model outputs. Results showed that cold biases were prominent among the experiments and ENS well reproduced the seasonal cycle of temperature in the Northeast, Red River Delta, North Central and Central Highlands regions. For rainfall, all the experiments showed wet biases and CSIRO exhibited the best. A scoring system was elaborated to objectively rank the performance of the experiments and the ENS experiment was reported to be the best.</t>
  </si>
  <si>
    <t>[Nguyen Thi Tuyet] Vietnam Inst Dev Strategies, Dept Infrastruct &amp; Urban Dev Strategies, Minist Planning &amp; Investment, Hanoi, Vietnam; [Ngo Duc Thanh] Univ Sci &amp; Technol Hanoi USTH, VAST, REMOSAT Lab, Hanoi, Vietnam; [Phan Van Tan] VNU Univ Sci, Dept Meteorol &amp; Climate Change, Hanoi, Vietnam</t>
  </si>
  <si>
    <t>Vietnam Academy of Science &amp; Technology (VAST); University of Science &amp; Technology of Hanoi (USTH); Vietnam National University Hanoi</t>
  </si>
  <si>
    <t>This study is supported by the Vietnam National Foundation for Science and Technology Development (NAFOSTED) under Grant 105.06-2018.05. We acknowledge the SEACLID/CORDEX-SEA members for producing and making their model outputs available.</t>
  </si>
  <si>
    <t>VIETNAM ACAD SCIENCE &amp; TECHNOLOGY-VAST</t>
  </si>
  <si>
    <t>10.15625/0866-7187/41/4/14259</t>
  </si>
  <si>
    <t>WOS:000530922800006</t>
  </si>
  <si>
    <t>Cinco, Thelma A.; de Guzman, Rosalina G.; Hilario, Flaviana D.; Wilson, David M.</t>
  </si>
  <si>
    <t>Observed daily precipitation and near surface air temperature data from 34 synoptic weather stations in the Philippines for the period 1951-2010 were subjected to trend analysis which revealed an overall warming tendency compared to the normal mean values for the period 1961-1990. This warming trend can be observed in the annual mean temperatures, daily minimum mean temperatures and to a lesser extent, daily maximum mean temperatures. Precipitation and temperature extremes for the period 1951-2010 were also analysed relative to the mean 1961-1990 baseline values. Some stations (Cotabato, Iloilo, Laoag and Tacloban,) show increases in both frequency and intensity of extreme daily rainfall events which are significant at the 95% level with none of the stations showing decreasing trends. The frequency of daily temperature maximum above the 99th percentile (hot days) and nights at the 1st percentile (cold nights) suggests that both days and nights in particular are becoming warmer. Such indicators of a warming trend and increase in extreme events in the Philippines are discussed in the context of similar national, regional (Asia Pacific) and global studies. The relevance of such empirically based climatology studies, particularly for nations such as the Philippines which are increasingly vulnerable to the multiple impacts of global climate change, is also considered. (C) 2014 Elsevier B.V. All rights reserved.</t>
  </si>
  <si>
    <t>[Cinco, Thelma A.; de Guzman, Rosalina G.; Hilario, Flaviana D.] PAGASA, Quezon City, Manila, Philippines; [Wilson, David M.] Univ Philippines, Los Banos, Laguna, Philippines; [Wilson, David M.] Int Ctr Res Agroforestry, Los Banos, Laguna, Philippines; [Wilson, David M.] Oscar M Lopez Ctr Climate Change Adaptat, Quezon City, Philippines; [Wilson, David M.] Disaster Risk Management Fdn, Quezon City, Philippines</t>
  </si>
  <si>
    <t>University of the Philippines System; University of the Philippines Los Banos; University of the Philippines Open University; CGIAR; World Agroforestry (ICRAF)</t>
  </si>
  <si>
    <t>Government of Spain through the United Nations Development Program (UNDP) Philippines; UN agency (UNEP); UN agency (FAO); UN agency (WHO); UN agency (UN Habitat); Oscar M. Lopez Center for Climate Change Adaptation and Disaster Risk Management Foundation</t>
  </si>
  <si>
    <t>The data used in this research was gathered from PAGASA's historical records and analysed, in part with the support of the Government of the Philippines and the Millennium Development Goal Fund (MDGF) 1656 Strengthening the Philippines Institutional Capacity to Adapt to Climate Change, a three-year programme funded by the Government of Spain through the United Nations Development Program (UNDP) Philippines and other UN agencies (UNEP, FAO, WHO, UN Habitat). The authors also wish to acknowledge the support of the Oscar M. Lopez Center for Climate Change Adaptation and Disaster Risk Management Foundation.</t>
  </si>
  <si>
    <t>AUG-SEP</t>
  </si>
  <si>
    <t>10.1016/j.atmosres.2014.03.025</t>
  </si>
  <si>
    <t>WOS:000337983100002</t>
  </si>
  <si>
    <t>Tan, Mou Leong; Juneng, Liew; Tangang, Fredolin T.; Chung, Jing Xiang; Firdaus, R. B. Radin</t>
  </si>
  <si>
    <t>Understanding the changes in temperature extremes is important for managing and coping with the risks associated with regional climate change. However, the climatological characteristics of temperature extremes and their variabilities is still not adequately studies in Malaysia. This study evaluates the spatial and temporal variations of temperature extremes over Malaysia for the period 1985-2018. This study includes four phases: (a) collection, quality control and homogeneity analysis of temperature data; (b) general (TXmean, TNmean, TMmean and DTR), warm (TXx, TNx, TX90p and TN90p) and cool (TXn, TNn, TX10p and TN10p) temperature extreme indices calculations; (c) trend analysis of temperature extremes using the Mann-Kendall and Sens's slope test; and (d) analyses of correlations between temperature extremes and El Nino-Southern Oscillation (ENSO). The results indicate a warming of surface temperature across Malaysia, particularly in Peninsular Malaysia. In general, TXmean, TNmean and TMmean increased significantly at 5% significance level by 0.12 degrees C/decade, 0.27 degrees C/decade and 0.17 degrees C/decade, respectively. A significant decreasing trend in DTR by 0.12 degrees C/decade is seen, which is related to the higher increasing rate of TNmean. All of the warm extreme indices, TXx, TNx, TX90p and TN90p presents significant increasing trends by 0.19 degrees C/decade, 0.28 degrees C/decade, 2.86%/decade and 3.08%/decade, respectively. For the cool extreme indices, TX10p and TN10p decreased significantly by 0.95%/decade and 3.18%/decade, respectively, though the trend in TXn by 0.11 degrees C/decade is not statistically significant. The only cool index presenting a significant increasing trend is TNn by 0.44 degrees C/decade, indicating a reduction of cool nights. Besides that, major cities in the northern and western parts of Peninsular Malaysia generally exhibit a higher warming trend compared to rural and highland area. These are possibly related to the intensified urban heat island effect under the rapid urbanization. This study also found that the ENSO affected warm extreme indices much stronger than cool extreme indices in Malaysia.</t>
  </si>
  <si>
    <t>[Tan, Mou Leong] Univ Sains Malaysia, Sch Humanities, Geog Sect, George Town 11800, Malaysia; [Juneng, Liew; Tangang, Fredolin T.] Univ Kebangsaan Malaysia, Fac Sci &amp; Technol, Ctr Earth Sci &amp; Environm, Bangi, Malaysia; [Chung, Jing Xiang] Univ Malaysia Terengganu, Inst Oceanog &amp; Environm, Terengganu, Malaysia; [Chung, Jing Xiang] Univ Malaysia Terengganu, Fac Sci &amp; Marine Environm, Kuala Nerus, Malaysia; [Firdaus, R. B. Radin] Univ Sains Malaysia, Sch Social Sci, George Town, Malaysia</t>
  </si>
  <si>
    <t>Universiti Sains Malaysia; Universiti Kebangsaan Malaysia; Universiti Malaysia Terengganu; Universiti Malaysia Terengganu; Universiti Sains Malaysia</t>
  </si>
  <si>
    <t>Ministry of Higher Education Malaysia(Ministry of Education, Malaysia); Universiti Kebangsaan Malaysia; Universiti Sains Malaysia(Universiti Sains Malaysia)</t>
  </si>
  <si>
    <t>Ministry of Higher Education Malaysia, Grant/Award Numbers: FRGS (203. PHUMANITI.6711695), NEWTON-NERC/203.PHUMANITI.6780001; Universiti Kebangsaan Malaysia, Grant/Award Number: DIP-2019-024 and GUP-2019035; Universiti Sains Malaysia, Grant/Award Number: 1001/PSOSIAL/8016055</t>
  </si>
  <si>
    <t>10.1002/joc.6864</t>
  </si>
  <si>
    <t>WOS:000579031900001</t>
  </si>
  <si>
    <t>Toe, Mya Thandar; Kanzaki, Mamoru; Lien, Tsung-Hsun; Cheng, Ke-Sheng</t>
  </si>
  <si>
    <t>Myanmar (Burma) is traditionally an agriculture-based country. However, irrigation is not available in most of its agricultural lands. This study focuses on the Central Dry Zone (CDZ), which is the driest part of Myanmar. Exploratory data analysis, semivariogram analysis and modeling, K-means cluster analysis and principal component analysis were conducted in this study to investigate the general CDZ climatology. The spatial and temporal rainfall variation patterns of different scales, including daily, event-scale and monthly rainfall are studied. A climatological monsoon break divides the wet season into two peaks. The monsoon break is the result of different climate dynamics -May-to-June period monsoon southwesterly and Augustto-October period tropical cyclone vorticity. Rainfall stations in different clusters identified by the K-means cluster analysis reflect the orographic effect and different climate dynamics, which influence the spatial and temporal rainfall variation patterns in the CDZ. Principal component analysis results for average monthly rainfall reveals that the first principal component mainly explains the spatial variabilities in average monthly rainfall in the CDZ. The second principal component explains the seasonal (temporal) variation in average monthly rainfall. It was found that during the wet season, spatial rainfall variations in the CDZ are more significant than the seasonal (temporal) rainfall variation. Understanding the spatial and temporal variability in CDZ rainfall can provide valuable information on potential water availability in both the time and spatial domains, which will then enable making sound cropland planning and forest management decisions.</t>
  </si>
  <si>
    <t>[Toe, Mya Thandar; Kanzaki, Mamoru] Kyoto Univ, Grad Sch Agr, Kyoto, Japan; [Lien, Tsung-Hsun; Cheng, Ke-Sheng] Natl Taiwan Univ, Dept Bioenvironm Syst Engn, Taipei, Taiwan; [Cheng, Ke-Sheng] Natl Taiwan Univ, Master Program Stat, Taipei, Taiwan</t>
  </si>
  <si>
    <t>Kyoto University; National Taiwan University; National Taiwan University</t>
  </si>
  <si>
    <t>JSPS KAKENHI Grant(Ministry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</si>
  <si>
    <t>This work was supported by JSPS KAKENHI Grant Number 23248055. The authors are grateful to Professor Eiji Nawata for sharing the fund. We also thank the Central Dry Zone Greening Department, Myanmar for supporting the rainfall data. The editor and anonymous reviewers are appreciated for their helpful comments and suggestions.</t>
  </si>
  <si>
    <t>SPRINGERNATURE</t>
  </si>
  <si>
    <t>1017-0839</t>
  </si>
  <si>
    <t>2311-7680</t>
  </si>
  <si>
    <t>TERR ATMOS OCEAN SCI</t>
  </si>
  <si>
    <t>Terr. Atmos. Ocean. Sci.</t>
  </si>
  <si>
    <t>10.3319/TAO.2016.02.15.01(Hy)</t>
  </si>
  <si>
    <t>Geosciences, Multidisciplinary; Meteorology &amp; Atmospheric Sciences; Oceanography</t>
  </si>
  <si>
    <t>WOS:000407102500021</t>
  </si>
  <si>
    <t>Kim, So-Hee; Ahn, Joong-Bae; Sun, Jianqi</t>
  </si>
  <si>
    <t>This study develops a statistical-dynamical seasonal typhoon forecast model (SDTFM) that utilizes the statistical correlation between East Asia (EA) tropical cyclone (TC) landfall and atmospheric circulation predicted by a coupled general circulation model for seasonal prediction and its predictability is verified. A total of 40 ensemble members produced through different data assimilation and time-lag methods introduced as a way to reduce the initial condition error and model uncertainty enabled the development of the new SDTFM. According to the results, the SDTFM developed in this study showed significant predictability in TC landfall prediction when using the month of May for the initial conditions for the entire East Asia (EEA) and its three sub-domains: Northern East Asia (NEA), Middle East Asia (MEA), and Southern East Asia (SEA). The predicted TC season is July-September (JAS), and only for SEA, including South China, the Philippines, and Vietnam, it is July-November (JASON) considering the relatively long landfall period. The models developed for each domain significantly predict the interannual variability of TC landfall at the 99% confidence level. The cross-validated results are still significant at the 99% confidence level in NEA and SEA and the 95% confidence level in MEA and EEA.</t>
  </si>
  <si>
    <t>[Kim, So-Hee] Pusan Natl Univ, BK21 Sch Earth &amp; Environm Syst, Dept Atmospher Sci, Busan, South Korea; [Ahn, Joong-Bae] Pusan Natl Univ, Dept Atmospher Sci, 2 Busandaehak Ro 63Beon Gil, Busan, South Korea; [Sun, Jianqi] Chinese Acad Sci, Nansen Zhu Int Res Ctr NZC, Inst Atmospher Phys, Beijing, Peoples R China</t>
  </si>
  <si>
    <t>Pusan National University; Pusan National University; Chinese Academy of Sciences; Institute of Atmospheric Physics, CAS</t>
  </si>
  <si>
    <t>Cooperative Research Program for Agriculture Science &amp; Technology Development(Rural Development Administration (RDA), Republic of Korea)</t>
  </si>
  <si>
    <t>Cooperative Research Program for Agriculture Science &amp; Technology Development, Grant/Award Number: PJ01489102</t>
  </si>
  <si>
    <t>10.1002/joc.7382</t>
  </si>
  <si>
    <t>WOS:000697226300001</t>
  </si>
  <si>
    <t>Li, Jie; Wang, Jinliang; Zhang, Jun; Zhang, Jianpeng; Kong, Han</t>
  </si>
  <si>
    <t>The China-Myanmar Economic Corridor (CMEC) is a flagship project of the Belt and Road Initiative (BRI), which have made a major breakthrough from conceptual planning to actual construction in 2020, and subsequent construction activities will have a definite impact on local vegetation. To provide scientific support for vegetation conservation and sustainable development of the CMEC, statistical methods such as Morlet wavelet analysis, Mann-Kendall mutation test, Sen's slope estimator, Mann-Kendall trend test, and coefficient of variation were adopted to analyze the spatio-temporal changes in vegetation coverage; Hurst analysis was adopted to further predicted likely future development trends. The results suggested that: (1) The CMEC experienced an overall increasing Fractional Vegetation Cover (FVC) at a rate of 0.21%/yr from 2000 to 2019; 2005 was the mutation year when FVC changed from a slow increase to a significant increase. The FVC changes was mainly controlled by a 12-month oscillation period. The seasonal average FVC increase was slightly different, which were ranked in descending order, as winter (0.29%) &gt; autumn (0.17%) &gt; summer (0.14%) = spring (0.14%). The increasing trend in autumn and winter exceeded those in spring and summer, particularly after 2018. (2) The area with an increasing trend in FVC was five times of those with a decreasing trend (-49.40% VS - 9.97%). The former was mainly clustered in the Dehong Dai and Jingpo, China, central and southern part of sub-region Myanmar; whereas the latter primarily distributed in main urban zones such as Mangshi, Ruili, Mandalay, and Yangon. Above areas where FVC changes significantly were affected by human activities such as afforestation, agriculture and construction, and the fluctuation of FVC changes was strong in the short term. (3) Future changes in FVC indicated that - 88.08% of the CMEC will show a stable and positive trend, mainly agglomerated in forest and farmland zones. However, it is expected that vegetation coverage in main urban zones and several unused land zones formed by farmland degradation will experience further decrease, and the conservation of vegetation in these regions should be a focus during the construction of the CMEC.</t>
  </si>
  <si>
    <t>[Li, Jie; Wang, Jinliang; Zhang, Jianpeng; Kong, Han] Yunnan Normal Univ, Fac Geog, Kunming 650500, Yunnan, Peoples R China; [Li, Jie; Wang, Jinliang; Zhang, Jianpeng] Key Lab Resources &amp; Environm Remote Sensing Univ, Kunming 650500, Yunnan, Peoples R China; [Li, Jie; Wang, Jinliang; Zhang, Jianpeng] Ctr Geospatial Informat Engn &amp; Technol Yunnan Pro, Kunming 650500, Yunnan, Peoples R China; [Zhang, Jun] Yunnan Univ, Sch Earth Sci, Kunming 650504, Yunnan, Peoples R China</t>
  </si>
  <si>
    <t>Yunnan Normal University; Yunnan University</t>
  </si>
  <si>
    <t>Multi-government International Science and Technology Innovation Cooperation Key Project of National Key Research and Development Program of China; Young academic Academic and technical Technical leaders Leaders Project of Yunnan Province; Program for Innovative Research Team (in Science and Technology) in the University of Yunnan Province, IRTSTYN</t>
  </si>
  <si>
    <t>This work was supported by the Multi-government International Science and Technology Innovation Cooperation Key Project of National Key Research and Development Program of China for theEnvironmental monitoring and assessment of land use/land cover change impact on ecological security using geospatial technologies (grant number: 2018YFE0184300) ; the Young academic Academic and tech-nical Technical leaders Leaders Project of Yunnan Province [grant number: 2008PY056] ; and the Program for Innovative Research Team (in Science and Technology) in the University of Yunnan Province, IRTSTYN.</t>
  </si>
  <si>
    <t>1569-8432</t>
  </si>
  <si>
    <t>1872-826X</t>
  </si>
  <si>
    <t>INT J APPL EARTH OBS</t>
  </si>
  <si>
    <t>Int. J. Appl. Earth Obs. Geoinf.</t>
  </si>
  <si>
    <t>10.1016/j.jag.2021.102378</t>
  </si>
  <si>
    <t>WOS:000685552600001</t>
  </si>
  <si>
    <t>Koike, Toshio; Koudelova, Petra; Jaranilla-Sanchez, Patricia Ann; Bhatti, Asif Mumtaz; Nyunt, Cho Thanda; Tamagawa, Katsunori</t>
  </si>
  <si>
    <t>This paper introduces the process of development and practical use implementation of an advanced river management system for supporting integrated water resources management practices in Asian river basins under the framework of GEOSS Asia water cycle initiative (AWCI). The system is based on integration of data from earth observation satellites and in-situ networks with other types of data, including numerical weather prediction model outputs, climate model outputs, geographical information, and socio-economic data. The system builds on the water and energy budget distributed hydrological model (WEB-DHM) that was adapted for specific conditions of studied basins, in particular snow and glacier phenomena and equipped with other functions such as dam operation optimization scheme and a set of tools for climate change impact assessment to be able to generate relevant information for policy and decision makers. In situ data were archived for 18 selected basins at the data integration and analysis system of Japan (DIAS) and demonstration projects were carried out showing potential of the new system. It included climate change impact assessment on hydrological regimes, which is presently a critical step for sound management decisions. Results of such three case studies in Pakistan, Philippines, and Vietnam are provided here.</t>
  </si>
  <si>
    <t>[Koike, Toshio; Koudelova, Petra; Jaranilla-Sanchez, Patricia Ann; Bhatti, Asif Mumtaz; Tamagawa, Katsunori] Univ Tokyo, Dept Civil Engn, River &amp; Environm Engn Lab, Bunkyo Ku, Tokyo 1138656, Japan; [Nyunt, Cho Thanda] Hiroshima Univ, Dept Civil &amp; Environm Engn, Hydraul Engn Lab, Higashihiroshima 7398527, Japan</t>
  </si>
  <si>
    <t>University of Tokyo; Hiroshima University</t>
  </si>
  <si>
    <t>Asia Pacific Network for Global Change Research (APN)</t>
  </si>
  <si>
    <t>The authors express great appreciations to the Asia Pacific Network for Global Change Research (APN) for financial support of the AWCI activities through several projects funded under the APN programmes. The authors wish to also acknowledge continued collaboration and data support provided by the AWCI International Coordination Group members.</t>
  </si>
  <si>
    <t>SCIENCE PRESS</t>
  </si>
  <si>
    <t>16 DONGHUANGCHENGGEN NORTH ST, BEIJING 100717, PEOPLES R CHINA</t>
  </si>
  <si>
    <t>1674-7313</t>
  </si>
  <si>
    <t>1869-1897</t>
  </si>
  <si>
    <t>SCI CHINA EARTH SCI</t>
  </si>
  <si>
    <t>Sci. China-Earth Sci.</t>
  </si>
  <si>
    <t>10.1007/s11430-014-5004-3</t>
  </si>
  <si>
    <t>WOS:000347720400008</t>
  </si>
  <si>
    <t>Takahashi, Hiroshi G.; Dado, Julie Mae B.</t>
  </si>
  <si>
    <t>We offer a new perspective on a relationship between sea surface temperature (SST) over the windward region of the Philippines and rainfall in the western Philippines during the Asian summer monsoon season, which has been known as the negative correlation, using observational daily SST, rainfall, and atmospheric circulation datasets. This study focuses on the local SST effect rather than the remote effect. A warmer local SST results in greater rainfall over the western Philippines under similar monsoon westerlies conditions, particularly during moderate and relatively stronger monsoon regimes. This result is obtained after selecting only the moderate or relatively stronger monsoon days, because the positive effect of SST on rainfall is masked by the apparent negative correlation between SST and rainfall. The warmer SSTs being associated with less rainfall correspond to weaker cooling by weaker monsoon westerlies and the cooler SSTs being associated with more rainfall correspond to stronger cooling by stronger monsoon westerlies. The cooler SSTs are the result of stronger monsoon cooling and are not the cause of the greater rainfall, which is the apparent statistical relationship. This also implies that the monsoon westerly is the primary driver of the variation in rainfall in this region. We conclude that the local SST makes a positive contribution toward rainfall, although it does not primarily control rainfall. This conclusion can be applicable to coastal regions where, climatologically, rainfall is controlled by winds from the ocean.</t>
  </si>
  <si>
    <t>[Takahashi, Hiroshi G.] Tokyo Metropolitan Univ, Dept Geog, 1-1 Minamioosawa, Hachioji, Tokyo 1920397, Japan; [Takahashi, Hiroshi G.] Japan Agcy Marine Earth Sci &amp; Technol JAMSTEC, Yokohama, Kanagawa, Japan; [Dado, Julie Mae B.] Tokyo Metropolitan Univ, Dept Geog, Hachioji, Tokyo, Japan; [Dado, Julie Mae B.] Reg Climate Syst Lab, Manila Observ, Manila, Philippines</t>
  </si>
  <si>
    <t>Tokyo Metropolitan University; Japan Agency for Marine-Earth Science &amp; Technology (JAMSTEC); Tokyo Metropolitan University</t>
  </si>
  <si>
    <t>8th Japan Aerospace Exploration Agency (JAXA) Precipitation Measuring Mission (PMM); JSPS KAKENHI(Ministry of Education, Culture, Sports, Science and Technology, Japan (MEXT)Japan Society for the Promotion of ScienceGrants-in-Aid for Scientific Research (KAKENHI)); Asian Human Resources Fund scholarship from Tokyo Metropolitan Government</t>
  </si>
  <si>
    <t>The authors would like to thank Dr. Shoichi Shige for handling this manuscript and the two anonymous reviewers for their scientific and constructive comments. This study is partly supported by the 8th Japan Aerospace Exploration Agency (JAXA) Precipitation Measuring Mission (PMM) Project No. 309 and JSPS KAKENHI Grant Number JP16K16349. JM Dado is a recipient of the Asian Human Resources Fund scholarship from the Tokyo Metropolitan Government. The authors would like to thank Ms. Nozomi Kamizawa for her valuable comments for this note.</t>
  </si>
  <si>
    <t>10.2151/jmsj.2018-031</t>
  </si>
  <si>
    <t>WOS:000436626600003</t>
  </si>
  <si>
    <t>Thao, Nguyen Thi Thanh; Khoi, Dao Nguyen; Xuan, Tran Thanh; Tychon, Bernard</t>
  </si>
  <si>
    <t>In recent years, droughts have strongly affected the Central Highlands of Vietnam and have resulted in crop damage, yield decline, and serious water shortage. This study investigated the livelihood vulnerability of five communities of farmers who are exposed to droughts in one of the more vulnerable regions of Vietnam-Dak Nong Province. A survey of 250 households was conducted in the five communities to collect data on the region's sociodemographic profile, livelihood systems, social networks, health status, food and water security, drought conditions, and climate variability. Data were aggregated using a livelihood vulnerability index and the IPCC vulnerability index. The survey results indicate that Quang Phu community is the most vulnerable of the study's communities, followed by Nam N'dir, Dak Nang, Duc Xuyen, and Dak D'ro in descending order of vulnerability. Water availability and livelihood strategies are the most important variables in determining the vulnerability of the five surveyed communities. In order to reduce vulnerability to droughts, water management practices and livelihood diversification in farming and nonfarming activities are recommended for the study area.</t>
  </si>
  <si>
    <t>[Thao, Nguyen Thi Thanh; Tychon, Bernard] Univ Liege, B-6700 Arlon, Belgium; [Thao, Nguyen Thi Thanh] Ind Univ Ho Chi Minh City, Inst Environm Sci Engn &amp; Management, Ho Chi Minh City, Vietnam; [Khoi, Dao Nguyen] Duy Tan Univ, Inst Res &amp; Dev, Da Nang, Vietnam; [Khoi, Dao Nguyen] Vietnam Natl Univ Ho Chi Minh City, Univ Sci, Fac Environm, Ho Chi Minh City, Vietnam; [Xuan, Tran Thanh] Nguyen Tat Thanh Univ, NTT Inst Hitechnol, Ho Chi Minh City, Vietnam</t>
  </si>
  <si>
    <t>University of Liege; Industrial University of Ho Chi Minh City; Duy Tan University; Vietnam National University Hochiminh City; Nguyen Tat Thanh University (NTTU)</t>
  </si>
  <si>
    <t>10.1007/s13753-019-00230-4</t>
  </si>
  <si>
    <t>WOS:000511709200012</t>
  </si>
  <si>
    <t>Zhang, Long; Ma, Tianfang; Yoon, Sun-Kwon; Lee, Taesam; Kim, Jong-Suk; Chen, Jie; Xiong, Lihua</t>
  </si>
  <si>
    <t>The region of Asia, which is surrounded by the western North Pacific (WNP), is one of the areas most affected by tropical cyclones (TCs). Since the 20th century, the characteristics and regional impact of TCs in this area have changed significantly, possibly due to global warming. However, the relationships between changes in the translation speed of TCs, poleward migration and TC-induced rainfall in the WNPs have not been well investigated. Using daily precipitation and TC data from 1979 to 2020, this diagnostic study explored the poleward migration of TCs, changes in their TC translation speeds and the effects of TCs on countries along the Pacific Rim. Over the 42-year study period, TCs experienced a decrease in intensity, lifespan, frequency and translation speeds and a northwestward migration in the genesis position, recurving position and tracks. However, the intensity and lifespan of high-intensity TCs, which are defined as those with intensities exceeding 75% of all TCs, have increased significantly. Consequently, daily maximum precipitation of TCs decreased significantly with a t value ranging from 0.294 to 0.442 for the M-K test on inland China, the Philippines and Myanmar, but increased significantly with a t value ranging from -0.410 to -0.615 in coastal areas of East Asia, especially China and northern Kalimantan Island, as confirmed by the distribution of TC-induced precipitation. Our findings indicate that coastal East Asian countries are becoming increasingly vulnerable to high-intensity TCs.</t>
  </si>
  <si>
    <t>[Zhang, Long; Ma, Tianfang; Kim, Jong-Suk; Chen, Jie; Xiong, Lihua] Wuhan Univ, State Key Lab Water Resources &amp; Hydropower Engn Sc, Wuhan, Peoples R China; [Yoon, Sun-Kwon] Seoul Inst Technol, Dept Safety &amp; Disaster Prevent Res, Seoul, South Korea; [Lee, Taesam] Gyeongsang Natl Univ, Dept Civil Engn, ERI, Jinju, South Korea; [Kim, Jong-Suk] Wuhan Univ, Sch Water Resources &amp; Hydropower Engn, Dept Hydrol &amp; Water Resources, Wuhan 430072, Peoples R China</t>
  </si>
  <si>
    <t>Wuhan University; Gyeongsang National University; Wuhan University</t>
  </si>
  <si>
    <t>National Natural Science Foundation of China(National Natural Science Foundation of China (NSFC)); Seoul Institute of Technology (SIT)</t>
  </si>
  <si>
    <t>National Natural Science Foundation of China, Grant/Award Number: U2240201;Seoul Institute of Technology (SIT), Grant/Award Number: 2021-AB-008</t>
  </si>
  <si>
    <t>10.1002/joc.8078</t>
  </si>
  <si>
    <t>WOS:000974305700001</t>
  </si>
  <si>
    <t>Tierra, Maria Czarina M.; Bagtasa, Gerry</t>
  </si>
  <si>
    <t>Tropical cyclones (TCs) that undergo rapid intensification (RI), defined as the upper 95th percentile increase of TC maximum winds in a 24-hr period, are likely to pose a bigger threat to affected countries in the western North Pacific (WNP). In the Philippines, of the 522 TCs that made landfall from 1951 to 2020, 146 TCs (28%) underwent RI. The majority (82%) of these RI TCs made landfall with at least typhoon intensity, in contrast, only 12% of landfalling non-RI TCs were typhoons. As the region in the WNP basin where most TC RI occurs (bounded by 123 degrees-140 degrees E and 10 degrees-20 degrees N) is located just to the east of the Philippines, TC RI is typically followed by landfall in the Philippines, many of which do so at their peak intensity. Consequently, results suggest that TCs undergoing RI have a larger impact on the country. Comparison of socioeconomic data between landfalling RI and non-RI TCs showed that the former tend to have larger impacts in terms of population affected and number of deaths. Hence, determining TC RI at its onset can aid in the early warning of impending TC intensification. In this study, we explored the use of infrared brightness temperature (Bt) satellite data in the identification of TC RI onset. The 10.4 mu m window band of the Himawari-8 satellite was used to measure the amount of active convection that typically occurs before or during the onset of TC RI. RI onset is determined if 100% of pixels within a 50 km radius from the TC centre have Bt &lt;= 225 K. Assessment of satellite Bt data that fit this set of criteria followed by 25 and 35 kt RI in the next 24 hr have positive Pierce skill scores of 0.47 and 0.48, respectively, false alarm ratio of 0.13-0.20, and probability of false detection of 0.02-0.03.</t>
  </si>
  <si>
    <t>[Tierra, Maria Czarina M.; Bagtasa, Gerry] Univ Philippines, Inst Environm Sci &amp; Meteorol, Quezon City 1101, Philippines; [Tierra, Maria Czarina M.] Geophys &amp; Astron Serv Adm, Philippine Atmospher, Quezon City, Philippines</t>
  </si>
  <si>
    <t>Department of Science and Technology - Accelerated Science and Technology Human Resource Development Program (DOST-ASTHRDP, Philippines)(Department of Science &amp; Technology (DOST), Philippines)</t>
  </si>
  <si>
    <t>The authors would like to express their gratitude to Dr. Gay Perez, Dr. Olivia Cabrera, and Dr. Prisco Nilo for their inputs in this study. We would also like to thank the Department of Science and Technology - Accelerated Science and Technology Human Resource Development Program (DOST-ASTHRDP, Philippines) for supporting the first author's Master's program and the DOST Grants-In-Aid (DOST-GIA) through the Understanding Lightning and Thunderstorm (ULAT) Project.</t>
  </si>
  <si>
    <t>10.1002/joc.7696</t>
  </si>
  <si>
    <t>WOS:000800682100001</t>
  </si>
  <si>
    <t>Shawki, Dilshad; Field, Robert D.; Tippett, Michael K.; Saharjo, Bambang Hero; Albar, Israr; Atmoko, Dwi; Voulgarakis, Apostolos</t>
  </si>
  <si>
    <t>We conducted a case study of National Centers for Environmental Prediction Climate Forecast System version 2 seasonal model forecast performance over Indonesia in predicting the dry conditions in 2015 that led to severe fire, in comparison to the non-El Nino dry season conditions of 2016. Forecasts of the Drought Code (DC) component of Indonesia's Fire Danger Rating System were examined across the entire equatorial Asia region and for the primary burning regions within it. Our results show that early warning lead times of high observed DC in September and October 2015 varied considerably for different regions. High DC over Southern Kalimantan and Southern New Guinea were predicted with 180 day lead times, whereas Southern Sumatra had lead times of up to only 60 days, which we attribute to the absence in the forecasts of an eastward decrease in Indian Ocean sea surface temperatures. This case study provides the starting point for longer-term evaluation of seasonal fire danger rating forecasts over Indonesia. Plain Language Summary During the 2015 El Nino, drier-than-normal conditions led to human-caused fires getting out of control over Indonesia's fire prone regions in Sumatra and Kalimantan, and on the island of New Guinea. Recent analyses have shown that the 2015 CO2-equivalent biomass burning emissions for all of Indonesia were in between the 2013 annual fossil fuel CO2 emissions of Japan and India. Millions of people were exposed to hazardous air quality levels for weeks, and, at its peak, a plume of pollution from the fires stretched halfway around the world at the equator. In this study, we examined how far in advance the dangerously dry conditions could have been anticipated over different fire prone regions. We used forecasts from a coupled atmosphere-ocean model to compute 180-day forecasts of a fire danger indicator used by the Indonesian government. We found that dry conditions could have been anticipated at least 60 days in advance over Sumatra, and at least 180 days in advance over Kalimantan and New Guinea. Our analysis serves as the starting point for the development of early warning systems for fire managers in Indonesia.</t>
  </si>
  <si>
    <t>[Shawki, Dilshad; Voulgarakis, Apostolos] Imperial Coll London, Dept Phys, London, England; [Shawki, Dilshad] Imperial Coll London, Blackett Lab, London, England; [Field, Robert D.] NASA, Goddard Inst Space Studies, New York, NY 10025 USA; [Field, Robert D.; Tippett, Michael K.] Columbia Univ, Dept Appl Phys &amp; Appl Math, New York, NY 10027 USA; [Tippett, Michael K.] King Abdulaziz Univ, Dept Meteorol, Ctr Excellence Climate Change Res, Jeddah, Saudi Arabia; [Saharjo, Bambang Hero] Bogor Agr Univ, Fac Forestry, Bogor, Indonesia; [Albar, Israr] Minist Environm &amp; Forestry, Directorate Gen Climate Change, Jakarta, Indonesia; [Atmoko, Dwi] Indonesian Agcy Meteorol Climatol &amp; Geophys, Jakarta, Indonesia</t>
  </si>
  <si>
    <t>Imperial College London; Imperial College London; National Aeronautics &amp; Space Administration (NASA); NASA Goddard Space Flight Center; Goddard Institute for Space Studies; Columbia University; King Abdulaziz University; Bogor Agricultural University; Ministry of Environment &amp; Forestry; Indonesian Agency for Meteorology, Climatology &amp; Geophysics</t>
  </si>
  <si>
    <t>NASA Precipitation Measurement Missions Science Team; NASA Modeling and Analysis Program(National Aeronautics &amp; Space Administration (NASA)); European Commission's Marie Curie Actions International Research Staff Exchange Scheme (IRSES)(Marie Curie Actions); Columbia University; Grantham Institute for Climate Change and the Environment; Office of Naval Research(United States Department of DefenseUnited States NavyOffice of Naval Research); NOAA's Climate Program Office's Modeling, Analysis, Predictions, and Projections program</t>
  </si>
  <si>
    <t>All data used in the analysis can be obtained by contacting the corresponding author or from the NASA Center for Climate Simulation (ftp.nccs.nasa.gov,user: GlobalFWI, no password). R. F. was supported by the NASA Precipitation Measurement Missions Science Team and the NASA Modeling and Analysis Program. D. S. and A. V. wish to thank the European Commission's Marie Curie Actions International Research Staff Exchange Scheme (IRSES) for funding D. S.'s placement at NASA GISS and Columbia University (grant PIRSES-GA-2013-612671) and the Grantham Institute for Climate Change and the Environment for ongoing financial support. M. K. T. was partially supported by the Office of Naval Research (N00014-12-1-0911 and N00014-16-1-2073) and by NOAA's Climate Program Office's Modeling, Analysis, Predictions, and Projections program award NA14OAR4310184.</t>
  </si>
  <si>
    <t>0094-8276</t>
  </si>
  <si>
    <t>1944-8007</t>
  </si>
  <si>
    <t>GEOPHYS RES LETT</t>
  </si>
  <si>
    <t>Geophys. Res. Lett.</t>
  </si>
  <si>
    <t>10.1002/2017GL073660</t>
  </si>
  <si>
    <t>WOS:000413921300053</t>
  </si>
  <si>
    <t>Thi Bach Thuong Vo; Wassmann, Reiner; Van Trinh Mai; Duong Quynh Vu; Thi Phuong Loan Bui; Thi Hang Vu; Quang Hieu Dinh; Bui Tan Yen; Asch, Folkard; Sander, Bjoern Ole</t>
  </si>
  <si>
    <t>Rice production is a significant source of greenhouse gas (GHG) emissions in the national budget of many Asian countries, but the extent of emissions varies strongly across agro-environmental zones. It is important to understand these differences in order to improve the national GHG inventory and effectively target mitigation options. This study presents a meta-analysis of CH4 database emission factors (EFs) from 36 field sites across the rice growing areas of Vietnam and covering 73 cropping seasons. The EFs were developed from field measurements using the closed chamber technique. The analysis for calculating baseline EFs in North, Central and South Vietnam in line with the Intergovernmental Panel on Climate Change (IPCC) Tier 2 methodology was specified for the three cropping seasons being early-(E), mid-(M) and late-year (L) seasons. Calculated average CH(4)EFs are given in kg ha(-1) d(-1) and reflect the distinct seasons in North (E: 2.21; L: 3.89), Central (E: 2.84; M+L: 3.13) and South Vietnam (E: 1.72; M: 2.80; L: 3.58). Derived from the available data of the edapho-hydrological zones of the Mekong River Delta, season-based EFs are more useful than zone-based EFs. In totality, these average EFs indicate an enormous variability of GHG emissions in Vietnamese rice production and represent much higher values than the IPCC default. Seasonal EFs from Vietnam exceeded IPCC defaults given for Southeast Asia corresponding to 160% (E), 240% (M) and 290% (L) of the medium value, respectively.</t>
  </si>
  <si>
    <t>[Thi Bach Thuong Vo; Wassmann, Reiner; Bui Tan Yen; Sander, Bjoern Ole] Int Rice Res Inst, Los Banos 4031, Philippines; [Thi Bach Thuong Vo; Asch, Folkard] Univ Hohenheim, Inst Agr Sci Trop, D-70593 Stuttgart, Germany; [Thi Bach Thuong Vo] Cuu Long Rice Res Inst, Can Tho 94000, Vietnam; [Wassmann, Reiner] Karlsruhe Inst Technol, D-82467 Garmisch Partenkirchen, Germany; [Van Trinh Mai; Duong Quynh Vu; Thi Phuong Loan Bui; Thi Hang Vu; Quang Hieu Dinh] Inst Agr Environm, Hanoi 10000, Vietnam</t>
  </si>
  <si>
    <t>CGIAR; International Rice Research Institute (IRRI); University Hohenheim; Helmholtz Association; Karlsruhe Institute of Technology</t>
  </si>
  <si>
    <t>CGIAR Research Program on Rice(CGIAR); CGIAR Research Program on Climate Change, Agriculture and Food Security (CCAFS)(CGIAR); CGIAR(CGIAR); Vietnamese Ministry of Natural Resources and Environment (MONRE); project Climate Change Affecting Land Use in the Mekong Delta: Adaptation of Rice-based Cropping Systems; Climate and Clean Air Coalition (CCAC)</t>
  </si>
  <si>
    <t>This work was in part supported by the CGIAR Research Programs on Rice (http://ricecrp.org/) and on Climate Change, Agriculture and Food Security (CCAFS) which is carried out with support from CGIAR Trust Fund Donors and through bilateral funding agreements. For details please visit https://ccafs.cgiar.org/donors.The study is partially based on data from the project Research/Developing national emission factors for rice and upland crops mainly for GHG inventory and to develop mitigation options in Agriculture sector, Code: BDKH.21/16-20 funded by the Vietnamese Ministry of Natural Resources and Environment (MONRE). Other data stems from the project Climate Change Affecting Land Use in the Mekong Delta: Adaptation of Rice-based Cropping Systems (SMCN/2009/021). T.B.T. Vo is a PhD scholar of the German Academic Exchange Service (DAAD). The position of B.O. Sander at IRRI was supported by the Climate and Clean Air Coalition (CCAC, DTIE14-EN040). The views expressed in this document cannot be taken to reflect the official opinions of these organizations.</t>
  </si>
  <si>
    <t>10.3390/cli8060074</t>
  </si>
  <si>
    <t>WOS:000551179500005</t>
  </si>
  <si>
    <t>Racoma, Bernard Alan B.; Klingaman, Nicholas P.; Holloway, Christopher E.; Schiemann, Reinhard K. H.; Bagtasa, Gerry</t>
  </si>
  <si>
    <t>The Philippines is exposed to tropical cyclones (TCs) throughout the year due to its location in the western North Pacific. While these TCs provide much-needed precipitation for the country's hydrological cycle, extreme precipitation from TCs may also cause damaging hazards such as floods and landslides. This study examines the relationship between TC extreme precipitation and TC characteristics, including movement speed, intensity and season, for westward-moving TCs crossing Luzon, northern Philippines. We measure extreme precipitation by the weighted precipitation exceedance (WPE), calculated against a 95th percentile threshold, which considers both the magnitude and spatial extent of TC-related extreme precipitation. WPE has a significant, moderate positive relationship with TC intensity with a non-significant, weak negative relationship with movement speed. When TCs are classified by intensity 1 day before landfall (or pre-landfall), Typhoons (1-min maximum sustained wind speed &gt;= 64 knots) tend to yield higher WPE than non-Typhoons (&lt;64 knots). On the other hand, when TCs are classified by pre-landfall speed, slow TCs (movement speed &lt;11.38 knots) tend to yield higher WPE than fast TCs (movement speed &gt;= 11.38 knots). However, the relationship between pre-landfall TC intensity and WPE is more pronounced during June-September while there is no significant difference between the WPE of the southwest monsoon (June-September) and northeast monsoon (October-December) seasons. These results suggest that it is important to consider the pre-landfall cyclone movement speed, intensity and season to anticipate extreme precipitation of incoming TCs. A decision table considering these factors is devised to aid in TC extreme precipitation forecasting.</t>
  </si>
  <si>
    <t>[Racoma, Bernard Alan B.; Holloway, Christopher E.] Univ Reading, Dept Meteorol, Reading, Berks, England; [Racoma, Bernard Alan B.; Bagtasa, Gerry] Univ Philippines, Inst Environm Sci &amp; Meteorol, P Velasquez St, Quezon City 1101, National Capita, Philippines; [Klingaman, Nicholas P.; Schiemann, Reinhard K. H.] Univ Reading, Natl Ctr Atmospher Sci, Dept Meteorol, Reading, Berks, England</t>
  </si>
  <si>
    <t>University of Reading; University of the Philippines System; University of the Philippines Diliman; University of Reading; UK Research &amp; Innovation (UKRI); Natural Environment Research Council (NERC); NERC National Centre for Atmospheric Science</t>
  </si>
  <si>
    <t>Natural Environment Research Council(UK Research &amp; Innovation (UKRI)Natural Environment Research Council (NERC)); National Centre for Atmospheric Science Atmospheric Hazards in Development Countries: Risk Assessment and Early Warning (ACREW) programme; NERC(UK Research &amp; Innovation (UKRI)Natural Environment Research Council (NERC))</t>
  </si>
  <si>
    <t>Independent Research Fellowship from the Natural Environment Research Council and by the National Centre for Atmospheric Science Atmospheric Hazards in Development Countries: Risk Assessment and Early Warning (ACREW) programme. Grant/Award Number: NE/L010976/1.</t>
  </si>
  <si>
    <t>10.1002/joc.7416</t>
  </si>
  <si>
    <t>WOS:000711230600001</t>
  </si>
  <si>
    <t>Licht, A.; Kelson, J.; Bergel, S.; Schauer, A.; Petersen, S., V; Capirala, A.; Huntington, K. W.; Dupont-Nivet, G.; Win, Zaw; Aung, Day Wa</t>
  </si>
  <si>
    <t>Pedogenic carbonate is widespread at mid latitudes where warm and dry conditions favor soil carbonate growth from spring to fall. The mechanisms and timing of pedogenic carbonate formation are more ambiguous in the tropical domain, where long periods of soil water saturation and high soil respiration enhance calcite dissolution. This paper provides stable carbon, oxygen and clumped isotope values from Quaternary and Miocene pedogenic carbonates in the tropical domain of Myanmar, in areas characterized by warm (&gt;18 degrees C) winters and annual rainfall up to 1,700 mm. We show that carbonate growth in Myanmar is delayed to the driest and coldest months of the year by sustained monsoonal rainfall from mid spring to late fall. The range of isotopic variability in Quaternary pedogenic carbonates can be solely explained by temporal changes of carbonate growth within the dry season, from winter to early spring. We propose that high soil moisture year-round in the tropical domain narrows carbonate growth to the driest months and makes it particularly sensitive to the seasonal distribution of rainfall. This sensitivity is also enabled by high winter temperatures, allowing carbonate growth to occur outside the warmest months of the year. This high sensitivity is expected to be more prominent in the geological record during times with higher temperatures and greater expansion of the tropical realm. Clumped isotope temperatures, delta C-13 and delta O-18 values of tropical pedogenic carbonates are impacted by changes of both rainfall seasonality and surface temperatures; this sensitivity can potentially be used to track past tropical rainfall distribution.</t>
  </si>
  <si>
    <t>[Licht, A.] Aix Marseille Univ, Coll France, CEREGE, INRAE,IRD,CNRS, Aix En Provence, France; [Licht, A.; Bergel, S.; Schauer, A.; Capirala, A.; Huntington, K. W.] Univ Washington, Dept Earth &amp; Space Sci, Seattle, WA 98195 USA; [Kelson, J.; Petersen, S., V] Univ Michigan, Dept Earth &amp; Environm Sci, Ann Arbor, MI 48109 USA; [Dupont-Nivet, G.] CNRS, Geosci Rennes, Rennes, France; [Dupont-Nivet, G.] Univ Rennes 1, Rennes, France; [Dupont-Nivet, G.] Univ Potsdam, Inst Geowissensch, Potsdam, Germany; [Win, Zaw] Shwebo Univ, Geol Dept, Shwebo, Myanmar; [Aung, Day Wa] Univ Yangon, Dept Geol, Yangon, Myanmar</t>
  </si>
  <si>
    <t>Universite PSL; College de France; Centre National de la Recherche Scientifique (CNRS); Aix-Marseille Universite; INRAE; Institut de Recherche pour le Developpement (IRD); University of Washington; University of Washington Seattle; University of Michigan System; University of Michigan; Centre National de la Recherche Scientifique (CNRS); Universite de Rennes; Universite de Rennes; University of Potsdam; University of Yangon</t>
  </si>
  <si>
    <t>University of Washington(University of Washington); European Research Council(European Research Council (ERC))</t>
  </si>
  <si>
    <t>This study was financially supported by the University of Washington and European Research Council consolidator grant MAGIC 649081. We thank L. Burgener, J. Harle, S. Shekut, C. Bourgeois, Kyi Kyi Thein, Hnin Hnin Swe, Myat Kay Thi, A. Gough, D. Perez-Pinedo, J. Westerweel, and P. Roperch for prolific discussions and assistance in the field and lab.</t>
  </si>
  <si>
    <t>1525-2027</t>
  </si>
  <si>
    <t>GEOCHEM GEOPHY GEOSY</t>
  </si>
  <si>
    <t>Geochem. Geophys. Geosyst.</t>
  </si>
  <si>
    <t>10.1029/2021GC009929</t>
  </si>
  <si>
    <t>WOS:000823306600001</t>
  </si>
  <si>
    <t>Fan, Yi; Li, Jiayao; Zhu, Shoupeng; Li, Huixin; Zhou, Botao</t>
  </si>
  <si>
    <t>As one of the most populated agricultural habitats in the world, Southeast Asia has been highly exposed to extremes of weather and climate, posing great importance to figure out the trend and variability characteristics of extremes over there. The annual extreme precipitation and temperature over Southeast Asia during 1981-2017 are analyzed in this study using datasets based on daily observations derived from thousands of meteorological stations. Results show that the wet extremes decrease over the areas surrounding the South China Sea and increase over the south of the Philippines and Indonesia with the most significant trends detected over the east of Indochina and New Guinea. Extreme high temperatures decrease significantly over the middle of New Guinea and increase over Indochina, Sumatra, Java, and Kalimantan. Moreover, empirical orthogonal function (EOF) analyses show that the first principal components for most precipitation extremes are characterized by significant decadal changes relevant to the Atlantic Multidecadal Oscillation and Pacific Decadal Oscillation, and the second principal components exhibit significant interannual variability associated with oceanic systems such as El Nino-Southern Oscillation (ENSO). As for temperature extremes, the leading EOF modes show non-significant trends or decadal variations, but significant interannual variations related to ENSO and the Indian Ocean Dipole are detected.</t>
  </si>
  <si>
    <t>[Fan, Yi; Li, Jiayao; Li, Huixin; Zhou, Botao] Nanjing Univ Informat Sci &amp; Technol, Collaborat Innovat Ctr Forecast &amp; Evaluat Meteoro, Minist Educ, Key Lab Meteorol Disaster,Sch Atmospher Sci, Nanjing 210044, Peoples R China; [Zhu, Shoupeng] China Meteorol Adm, Key Lab Transportat Meteorol, Nanjing Joint Inst Atmospher Sci, Nanjing 210041, Peoples R China</t>
  </si>
  <si>
    <t>Nanjing University of Information Science &amp; Technology; China Meteorological Administration</t>
  </si>
  <si>
    <t>National Natural Science Foundation of China(National Natural Science Foundation of China (NSFC)); Natural Science Foundation of the Jiangsu Higher Education Institutions of China(National Natural Science Foundation of China (NSFC)); Natural Science Foundation of Jiangsu Province(Natural Science Foundation of Jiangsu Province); Startup Foundation for Introducing Talent of NUIST</t>
  </si>
  <si>
    <t>This work is jointly supported by Grants from the National Natural Science Foundation of China (Grants 42025502; 42105030; 42005015), the Natural Science Foundation of the Jiangsu Higher Education Institutions of China (21KJB170005) and the Natural Science Foundation of Jiangsu Province (BK20200814). We also thank the support from the Startup Foundation for Introducing Talent of NUIST.</t>
  </si>
  <si>
    <t>10.1007/s00703-022-00913-6</t>
  </si>
  <si>
    <t>WOS:000832685400001</t>
  </si>
  <si>
    <t>Nikonovas, Tadas; Spessa, Allan; Doerr, Stefan H.; Clay, Gareth D.; Mezbahuddin, Symon</t>
  </si>
  <si>
    <t>Recurrent extreme landscape fire episodes associated with drought events in Indonesia pose severe environmental, societal and economic threats. The ability to predict severe fire episodes months in advance would enable relevant agencies and communities to more effectively initiate fire-preventative measures and mitigate fire impacts. While dynamic seasonal climate predictions are increasingly skilful at predicting fire-favourable conditions months in advance in Indonesia, there is little evidence that such information is widely used yet by decision makers. In this study, we move beyond forecasting fire risk based on drought predictions at seasonal timescales and (i) develop a probabilistic early fire warning system for Indonesia (ProbFire) based on a multilayer perceptron model using ECMWF SEAS5 (fifth-generation seasonal forecasting system) dynamic climate forecasts together with forest cover, peatland extent and active-fire datasets that can be operated on a standard computer; (ii) benchmark the performance of this new system for the 2002-2019 period; and (iii) evaluate the potential economic benefit of such integrated forecasts for Indonesia. ProbFire's event probability predictions outperformed climatology-only based fire predictions at 2- to 4-month lead times in south Kalimantan, south Sumatra and south Papua. In central Sumatra, an improvement was observed only at a 0-month lead time, while in west Kalimantan seasonal predictions did not offer any additional benefit over climatologyonly-based predictions. We (i) find that seasonal climate forecasts coupled with the fire probability prediction model confer substantial benefits to a wide range of stakeholders involved in fire management in Indonesia and (ii) provide a blueprint for future operational fire warning systems that integrate climate predictions with non-climate features.</t>
  </si>
  <si>
    <t>[Nikonovas, Tadas; Spessa, Allan; Doerr, Stefan H.] Swansea Univ, Dept Geog, Swansea SA2 8PP, W Glam, Wales; [Clay, Gareth D.] Univ Manchester, Dept Geog, Manchester M13 9PL, Lancs, England; [Mezbahuddin, Symon] Univ Alberta, Dept Renewable Resources, Edmonton, AB T6G 2E3, Canada</t>
  </si>
  <si>
    <t>Swansea University; University of Manchester; University of Alberta</t>
  </si>
  <si>
    <t>UK's National Environment Research Council - Newton Fund on behalf of UK Research Innovation; Indonesia Endowment Fund for Education(Ministry of Research and Technology of the Republic of Indonesia (RISTEK)); Indonesian Science Fund; NERC(UK Research &amp; Innovation (UKRI)Natural Environment Research Council (NERC))</t>
  </si>
  <si>
    <t>This study forms part of the Towards a Fire Early Warning System for Indonesia (ToFEWSI) project, which is funded through the UK's National Environment Research Council - Newton Fund on behalf of UK Research &amp; Innovation as well as through the Indonesia Endowment Fund for Education and the Indonesian Science Fund.</t>
  </si>
  <si>
    <t>FEB 4</t>
  </si>
  <si>
    <t>10.5194/nhess-22-303-2022</t>
  </si>
  <si>
    <t>WOS:000758077000001</t>
  </si>
  <si>
    <t>Nguyen-Thuy, Huong; Ngo-Duc, Thanh; Trinh-Tuan, Long; Tangang, Fredolin; Cruz, Faye; Phan-Van, Tan; Juneng, Liew; Narisma, Gemma; Santisirisomboon, Jerasorn</t>
  </si>
  <si>
    <t>This study uses six regional climate model (RCM) experiments from the Coordinated Regional Climate Downscaling Experiment-Southeast Asia (CORDEX-SEA) and their driving global climate models (GCM) to investigate the model performance and the time of emergence (ToE) of temperature and precipitation over Vietnam and its seven sub-climatic regions. A simple delta (multiplicative) bias correction (BC) method has been applied to the model temperature (precipitation). Results show clear added values of the BC downscaled products compared to their driving GCMs, particularly for temperature. The projected trends of RCM temperature during 2006-2100 under two representative concentration pathway (RCP) RCP4.5 and RCP8.5 scenarios are similar to those of their driving GCMs. Consequently, the RCM-based ToE and GCM-based ToE are generally consistent for temperature, occurring in the beginning of the 21st century. The earliest and latest ToE occur in summer and winter, respectively. The seasonal differentiation for temperature-ToEs is stronger in the northern areas compared to the southern areas of Vietnam. The ToE difference between two RCPs increases from the south to the north. As for precipitation, ToE occurs quite late, in the latter half of the 21st century at the earliest. Results from ToE estimations also indicate an opposite precipitation trend between the GCMs and RCMs. The largest difference is in summer over the southern region of Vietnam. The opposite trend between the GCM and RCM precipitation under a similar increasing temperature implies the uncertainty in assessing the impact of warming on hydrological cycles in Vietnam.</t>
  </si>
  <si>
    <t>[Nguyen-Thuy, Huong; Ngo-Duc, Thanh; Trinh-Tuan, Long] Univ Sci &amp; Technol Hanoi USTH, Vietnam Acad Sci &amp; Technol VAST, REMOSAT Lab, Hanoi, Vietnam; [Nguyen-Thuy, Huong] Nara Womens Univ, Nara, Japan; [Tangang, Fredolin; Juneng, Liew] Univ Kebangsaan Malaysia, Fac Sci &amp; Technol, Dept Earth Sci &amp; Environm, Bangi, Selangor, Malaysia; [Cruz, Faye; Narisma, Gemma] Manila Observ, Reg Climate Syst Lab, Quezon City, Philippines; [Phan-Van, Tan] VNU Univ Sci, Fac Hydrol Meteorol &amp; Oceanog, Hanoi, Vietnam; [Narisma, Gemma] Ateneo Manila Univ, Phys Dept, Atmospher Sci Program, Quezon City, Philippines; [Santisirisomboon, Jerasorn] Ramkhamhang Univ, Ctr Reg Climate Change &amp; Renewable Energy RU CORE, Bangkok, Thailand</t>
  </si>
  <si>
    <t>Vietnam Academy of Science &amp; Technology (VAST); University of Science &amp; Technology of Hanoi (USTH); Nara Womens University; Universiti Kebangsaan Malaysia; Vietnam National University Hanoi; Ateneo de Manila University; Ramkhamhaeng University</t>
  </si>
  <si>
    <t>Vietnam National Foundation for Science and Technology Development (NAFOSTED)(National Foundation for Science &amp; Technology Development (NAFOSTED)); Asia-Pacific Network for Global Change Research; Universiti Kebangsaan Malaysia; MOHE(Ministry of Higher Education &amp; Scientific Research (MHESR)); Department of Science and Technology - Philippine Council for Industry, Energy, and Emerging Technology Research and Development (DOST-PCIEERD) of the Philippines(Department of Science &amp; Technology (DOST), Philippines)</t>
  </si>
  <si>
    <t>We thank the reviewers for their constructive comments. This study is supported by the Vietnam National Foundation for Science and Technology Development (NAFOSTED) under Grant 105.06-2018.05. The SEACLID/CORDEX-SEA project is funded by the Asia-Pacific Network for Global Change Research (APN-ARCP2013-17NMY-Tangang, ARCP2014-07CMY-Tangang, ARCP2015-04CMY-Tangang), Universiti Kebangsaan Malaysia grant (ICONIC-2013-001) and MOHE (FRGS/1/2017/WAB05/UKM/01/2) with support from the Department of Science and Technology - Philippine Council for Industry, Energy, and Emerging Technology Research and Development (DOST-PCIEERD) of the Philippines.</t>
  </si>
  <si>
    <t>10.1002/joc.6897</t>
  </si>
  <si>
    <t>WOS:000590127100001</t>
  </si>
  <si>
    <t>Shrestha, Badri Bhakta; Kawasaki, Akiyuki</t>
  </si>
  <si>
    <t>Because property damage and loss of life owing to floods have increased in many countries in recent years, accurate assessment of flood risk is urgently needed for effective flood management. Improving the assessment of flood risk requires considering the impact of dam operation for flood control because dams and reservoirs play important roles in the assessment of flood hazards and associated damage. However, the impact of dam operation on flood hazards and associated damage was not considered well in previous assessments of flood risk. This paper focused on the quantitative assessment of flood hazard and risk, including the effectiveness of dam operation for flood prevention. The grid-based approach integrating the following was applied for analysis: (i) a hydrological-hydraulic model, (ii) a method considering the dam operation for flood control, and (iii) an assessment of flood damage. To assess the risk, flood characteristics were computed using the rainfall-runoff-inundation hydrological-hydraulic model, and flood damage was estimated by integrating the flood characteristics, flood damage curves, exposure characteristics, and property values. The risk was assessed by focusing on flood damage to residential buildings and assets and agricultural sectors for the largest recent floods and flood events with different return periods. This study considered the Bago River Basin of Myanmar. Results show that the dam operation for flood control in the study area reduces the flood inundation area by approximately 10% and flood damage to buildings, assets, and agriculture by approximately 40%, 60%, and 10%, respectively.</t>
  </si>
  <si>
    <t>[Shrestha, Badri Bhakta; Kawasaki, Akiyuki] Univ Tokyo, Dept Civil Engn, Tokyo, Japan</t>
  </si>
  <si>
    <t>University of Tokyo</t>
  </si>
  <si>
    <t>Data Integration and Analysis System (DIAS) - Japanese Ministry of Education, Culture, Sports, Science and Technology (MEXT), Japan; Japan Society for the Promotion of Science (JSPS) KAKENHI(Ministry of Education, Culture, Sports, Science and Technology, Japan (MEXT)Japan Society for the Promotion of ScienceGrants-in-Aid for Scientific Research (KAKENHI)); Japan Science and Technology Agency (JST)/Japan International Cooperation Agency (JICA), Science and Technology Research Partnership for Sustainable Development Program (SATREPS); Water Cycle Data Integrator, Academic-Industry Collaboration Program, The University of Tokyo, Japan; Yangon Technological University; Grants-in-Aid for Scientific Research(Ministry of Education, Culture, Sports, Science and Technology, Japan (MEXT)Japan Society for the Promotion of ScienceGrants-in-Aid for Scientific Research (KAKENHI))</t>
  </si>
  <si>
    <t>This research was supported by the Data Integration and Analysis System (DIAS) project funded by the Japanese Ministry of Education, Culture, Sports, Science and Technology (MEXT), Japan. This research was partially supported by Japan Society for the Promotion of Science (JSPS) KAKENHI Grant Number 17H06116; Japan Science and Technology Agency (JST)/Japan International Cooperation Agency (JICA), Science and Technology Research Partnership for Sustainable Development Program (SATREPS); and the Water Cycle Data Integrator, Academic-Industry Collaboration Program, The University of Tokyo, Japan. The authors would also like to thank the Yangon Technological University and other related organizations in Myanmar for supporting the research in many ways.</t>
  </si>
  <si>
    <t>2212-4209</t>
  </si>
  <si>
    <t>INT J DISAST RISK RE</t>
  </si>
  <si>
    <t>Int. J. Disaster Risk Reduct.</t>
  </si>
  <si>
    <t>10.1016/j.ijdrr.2020.101707</t>
  </si>
  <si>
    <t>WOS:000599710300002</t>
  </si>
  <si>
    <t>The aim of this study was to assess the effects of El Nino and the Southern Oscillation (ENSO) on the temperature in southern Vietnam (TSV) and to establish a new ENSO index for the study area (named southern Vietnam Enso Index, VEI). Data used in this study included TSV, sea surface temperature (SST) in Nino regions, sea level pressure (SLP) at Tahiti and Darwin, and ENSO indices. The results showed that, among all ENSO indices, the oceanic Nino Index (ONI) and Japan Meteorological Agency ENSO index (JEI) gave a better correlation with TSV, but their correlation coefficients (R) were relatively low. That may suggest that these indices could be used with low efficiency for climate monitoring and prediction. The VEI was built based on the pair of SST in Nino 3.4 and Nino.West, which gained a higher correlation coefficient with the temperature in southern Vietnam in comparison with other ENSO indices. The lag time between VEI and TSV was about 5 months, which was one month longer than the one between ONI and TSV. Moreover, analyzing the temperature difference between the warm and cold phases also indicated that using VEI led to a higher contrast than using ONI. In brief, the newly established VEI could be more suitable for the study area.</t>
  </si>
  <si>
    <t>[Van Viet, Luong] Ind Univ Ho Chi Minh City, Inst Environm Sci Engn &amp; Management, 12 Nguyen Bao,Ward 4, Ho Chi Minh City, Vietnam</t>
  </si>
  <si>
    <t>Industrial University of Ho Chi Minh City</t>
  </si>
  <si>
    <t>10.1007/s00704-021-03591-3</t>
  </si>
  <si>
    <t>WOS:000630856000001</t>
  </si>
  <si>
    <t>Thanh, Nguyen T.; Cuong, Hoang D.; Hien, Nguyen X.; Kieu, Chanh</t>
  </si>
  <si>
    <t>Estimating an upper bound for tropical cyclone (TC) intensity in a given environment is important for TC intensity forecasts and risk management. While theoretical limits for the TC maximum potential intensity have been well examined in previous studies, the actual maximum intensity (V-max) that a TC attains in real atmospheric conditions varies from basin to basin and is subject to much more uncertainties. This study examines different empirical relationships between sea surface temperature (SST) and V-max in the South China Sea that affect Vietnam's coastal region. Using different SST datasets and the TC intensity record from 1982 to 2016, it is shown that V-max in this area increases slower than the typical linear or exponential function form found in previous studies. Such different dependence of V-max on SST in the South China Sea is due to the narrow range of SST variation in this region, which is between 24 and 30 degrees C as compared to the range of 15 and 30 degrees C used in previous studies. An alternative functional form based on the natural logarithm of SST is then proposed, which captures better the characteristics of the actual TC maximum intensity in Vietnam's coastal region. Examination of the variability of V-max also indicates an uptrend of the TC maximum intensity over last 30 years in the South China Sea, which has a potentially large effect on Vietnam's coastal region. This increase of V-max is consistent with the warmer trend of the SST as projected in the Fifth Assessment by the Intergovernmental Panel on Climate Change (IPCC).</t>
  </si>
  <si>
    <t>[Thanh, Nguyen T.; Hien, Nguyen X.] Vietnam Inst Meteorol Hydrol &amp; Climate Change, Nguyen Chi Thanh Rd, Hanoi 10000, Vietnam; [Cuong, Hoang D.] Natl Ctr Hydrometeorol Forecasting, Hanoi, Vietnam; [Kieu, Chanh] Indiana Univ, Dept Earth &amp; Atmospher Sci, Bloomington, IN USA</t>
  </si>
  <si>
    <t>Indiana University System; Indiana University Bloomington</t>
  </si>
  <si>
    <t>Indiana University; Office of Naval Research(United States Department of DefenseUnited States NavyOffice of Naval Research); U.S. Department of Defense (DOD)(United States Department of Defense)</t>
  </si>
  <si>
    <t>Indiana University, Grant/Award Number: Grand Challenge Initiatives; Office of Naval Research, Grant/Award Number: N000141812588</t>
  </si>
  <si>
    <t>APR</t>
  </si>
  <si>
    <t>10.1002/joc.6348</t>
  </si>
  <si>
    <t>WOS:000492754200001</t>
  </si>
  <si>
    <t>Kubota, Hisayuki; Shirooka, Ryuichi; Matsumoto, Jun; Cayanan, Esperanza O.; Hilario, Flaviana D.</t>
  </si>
  <si>
    <t>The long-term variability of Philippine summer monsoon onset from 1903 to 2013 was investigated. The onset date is defined by daily rainfall data at eight stations in the northwestern Philippines. Summer monsoons tended to start earlier in May after the mid-1990s. Other early onset periods were found during the 1900s, 1920s, and 1930s, and an interdecadal variability of summer monsoon onset was identified. Independent surface wind data observed by ships in the South China Sea (SCS) revealed prevailing westerly wind in May during the early monsoon onset period. To identify atmospheric structures that trigger Philippine summer monsoon onset, we focused on the year 2013, conducting intensive upper-air observations. Tropical cyclone (TC) Yagi traveled northward in the Philippine Sea (PS) in 2013 and triggered the Philippine monsoon onset by intensifying moist low-level southwesterly wind in the southwestern Philippines and intensifying low-level southerly wind after the monsoon onset in the northwestern Philippines. The influence of TC was analyzed by the probability of the existence of TC in the PS and the SCS since 1951, which was found to be significantly correlated with the Philippine summer monsoon onset date. After the mid-1990s, early monsoon onset was influenced by active TC formation in the PS and the SCS. However, the role of TC activity decreased during the late summer monsoon periods. In general, it was found that TC activity in the PS and the SCS plays a key role in initiating Philippine summer monsoon onset.</t>
  </si>
  <si>
    <t>[Kubota, Hisayuki] Hokkaido Univ, Fac Sci, Kita Ku, Kita 10 Nishi 8, Sapporo, Hokkaido 0600810, Japan; [Shirooka, Ryuichi; Matsumoto, Jun] Japanese Agcy Marine Earth Sci &amp; Technol, JAMSTEC, DCOP, Dept Coupled Ocean Atmosphere Land Proc Res, Yokosuka, Kanagawa, Japan; [Matsumoto, Jun] Tokyo Metropolitan Univ, Grad Sch Urban Environm Sci, Dept Geog, Tokyo, Japan; [Cayanan, Esperanza O.; Hilario, Flaviana D.] PAGASA, Quezon City, Philippines</t>
  </si>
  <si>
    <t>Hokkaido University; Japan Agency for Marine-Earth Science &amp; Technology (JAMSTEC); Tokyo Metropolitan University</t>
  </si>
  <si>
    <t>Global Environment Research Fund from the Ministry of the Environment Japan; Data Integration &amp; Analysis System, Green Network of Excellence (GRENE); Program for Risk Information on Climate Change (SOUSEI); Japanese Society for the Promotion of Science (JSPS)(Ministry of Education, Culture, Sports, Science and Technology, Japan (MEXT)Japan Society for the Promotion of Science); Science and Technology Research Partnership for Sustainable Development (SATREPS); Japanese Science and Technology Agency (JST)(Japan Science &amp; Technology Agency (JST)); Japanese International Cooperation Agency (JICA); Grants-in-Aid for Scientific Research(Ministry of Education, Culture, Sports, Science and Technology, Japan (MEXT)Japan Society for the Promotion of ScienceGrants-in-Aid for Scientific Research (KAKENHI))</t>
  </si>
  <si>
    <t>JM and HK were supported by the Global Environment Research Fund from the Ministry of the Environment Japan B-061, the Data Integration &amp; Analysis System, Green Network of Excellence (GRENE), the Program for Risk Information on Climate Change (SOUSEI), and Grant-in-Aid for Scientific Research (No. 25282085, 15KK0030; PI HK), (No. 2024007, 23240122, and 26220202; PI: JM), No. 16H04053, No. 16H03116 and Young Scientific Research (No. 21684028; PI HK), funded by the Japanese Society for the Promotion of Science (JSPS). This research was also supported by the Science and Technology Research Partnership for Sustainable Development (SATREPS), the Japanese Science and Technology Agency (JST), and the Japanese International Cooperation Agency (JICA).</t>
  </si>
  <si>
    <t>SEP 27</t>
  </si>
  <si>
    <t>10.1186/s40645-017-0138-5</t>
  </si>
  <si>
    <t>WOS:000412211800001</t>
  </si>
  <si>
    <t>Alsepan, Givo; Minobe, Shoshiro</t>
  </si>
  <si>
    <t>Regional-scale precipitation responses over Indonesia to major climate modes in the tropical Indo-Pacific Oceans, namely canonical El Nino, El Nino Modoki, and the Indian Ocean dipole (IOD), and how the responses are related to large-scale moisture convergences are investigated. The precipitation responses, analyzed using a high-spatial-resolution (0.5 degrees x 0.5 degrees) terrestrial precipitation dataset for the period 1960-2007, exhibit differences between the dry (July-September) and wet (November-April) seasons. Canonical El Nino strongly reduces precipitation in central to eastern Indonesia from the dry season to the early wet season and northern Indonesia in the wet season. El Nino Modoki also reduces precipitation in central to eastern Indonesia during the dry season, but conversely increases precipitation in western Indonesia in the wet season. Moisture flux analysis indicates that corresponding to the dry (wet) season precipitation reduction due to the canonical El Nino and El Nino Modoki anomalous divergence occurs around the southern (northern) edge of the convergence zone when one of the two edges is located near the equator (10 degrees S-15 degrees N) associated with their seasonal migration. This largely explains the seasonality and regionality of precipitation responses to canonical El Nino and El Nino Modoki. IOD reduces precipitation in southwestern Indonesia in the dry season, associated with anomalous moisture flux divergence. The seasonality of precipitation response to IOD is likely to be controlled by the seasonality of local sea surface temperature anomalies in the eastern pole of the IOD.</t>
  </si>
  <si>
    <t>[Alsepan, Givo; Minobe, Shoshiro] Hokkaido Univ, Dept Nat Hist Sci, Grad Sch Sci, Sapporo, Hokkaido, Japan; [Minobe, Shoshiro] Hokkaido Univ, Dept Earth &amp; Planetary Sci, Fac Sci, Sapporo, Hokkaido, Japan</t>
  </si>
  <si>
    <t>Hokkaido University; Hokkaido University</t>
  </si>
  <si>
    <t>Indonesian Endowment Fund for Education (LPDP); Ministry of Education, Culture, Sports, Science, and Technology (MEXT) of Japan(Ministry of Education, Culture, Sports, Science and Technology, Japan (MEXT)); Japan Society for the Promotion of Science (JSPS) KAKENHI(Ministry of Education, Culture, Sports, Science and Technology, Japan (MEXT)Japan Society for the Promotion of ScienceGrants-in-Aid for Scientific Research (KAKENHI))</t>
  </si>
  <si>
    <t>GA was supported by the Indonesian Endowment Fund for Education (LPDP) in providing a scholarship for the master's program (PRJ-255/LPDP/2016) and by the scholarship for foreign student offered by Ministry of Education, Culture, Sports, Science, and Technology (MEXT) of Japan for the doctoral program. SM was supported by the Japan Society for the Promotion of Science (JSPS) KAKENHI (19H05704). APHRODITE data were provided by theResearch Institute for Humanity and Nature and the Meteorological Research Institute of Japan Meteorological Agency from their website at http://www.chikyu.ac.jp/precip/.JRA-55 data, the reanalysis product of the Japan Meteorological Agency, were downloaded from http://jra.kishou.go.jp/.We thank the Hadley Centre, United Kingdom Met Office, for the HadISST data.</t>
  </si>
  <si>
    <t>45 BEACON ST, BOSTON, MA 02108-3693, UNITED STATES</t>
  </si>
  <si>
    <t>10.1175/JCLI-D-19-0811.1</t>
  </si>
  <si>
    <t>WOS:000537891600018</t>
  </si>
  <si>
    <t>Tangang, Fredolin; Farzanmanesh, Raheleh; Mirzaei, Ali; Supari; Salimun, Ester; Jamaluddin, Ahmad Fairudz; Juneng, Liew</t>
  </si>
  <si>
    <t>This study investigates the El Nino-Southern Oscillation (ENSO)-related seasonal variations in precipitation extremes based on the observed daily precipitation dataset of 23 meteorological stations in Malaysia, spanning a period of 46 years from 1966 to 2011. The extreme indices were a subset of the Expert Team for Climate Change Detection and Indices (ETCCDI) that covers the duration, frequency and intensity aspects of precipitation extremes. Seasonal composites of 'El Nino minus neutral' and 'La Nina minus neutral' years of these indices were computed based on El Nino and La Nina occurrences during the period. The results showed that the ENSO-related variations in precipitation extremes were generally coherent with the variations in total precipitation. Generally, dry (wet) precipitation extremes tended to enhance during El Nino (La Nina); however, this was dependent on season and location. The El Nino and La Nina influences on precipitation extremes were not entirely linear. While the impacts of El Nino and La Nina were generally opposite for most locations and seasons, there were cases where both exerted in-phase influences. The impacts were also dependent on the intensity of the event itself. While the El Nino impacts were generally coherent across different intensities, La Nina can have entirely different impacts among different categories. During December-January-February (DJF), strong (moderate) La Nina caused a significant decrease (increase) in wet precipitation extremes over the Peninsular Malaysia. This was related to the broadening (narrowing and westward displacement) of the anomalous cyclonic circulation over the western north Pacific during strong (moderate) La Nina. Hence, the likelihood for widespread flooding over the east coast of the Peninsular Malaysia during DJF increases during moderate but not during strong La Nina events.</t>
  </si>
  <si>
    <t>[Tangang, Fredolin; Farzanmanesh, Raheleh; Mirzaei, Ali; Supari; Salimun, Ester; Jamaluddin, Ahmad Fairudz; Juneng, Liew] Univ Kebangsaan Malaysia, Fac Sci &amp; Technol, Sch Environm &amp; Nat Resource Sci, Bangi 43600, Selangor, Malaysia; [Supari] Indonesia Agcy Meteorol Climatol &amp; Geophys BMKG, Ctr Climate Change Informat, Jakarta, Indonesia; [Jamaluddin, Ahmad Fairudz] Malaysian Meteorol Dept, Petaling Jaya, Malaysia</t>
  </si>
  <si>
    <t>Universiti Kebangsaan Malaysia; Indonesian Agency for Meteorology, Climatology &amp; Geophysics</t>
  </si>
  <si>
    <t>Universiti Kebangsaan Malaysia; Asia Pacific Network for Global Change Research</t>
  </si>
  <si>
    <t>This research was funded by the Universiti Kebangsaan Malaysia (ICONIC-2013-001 and AP-2013-005) and the Asia Pacific Network for Global Change Research (ARCP2013-17NMY-Tangang/ST-2013-017, ACRP2014 -07CMY-Tangang/ARCP2015-04CMY-Tangang/ST-2015 -003). The authors are grateful to the Malaysian Meteorological Department for providing daily precipitation data.</t>
  </si>
  <si>
    <t>10.1002/joc.5032</t>
  </si>
  <si>
    <t>WOS:000417298600048</t>
  </si>
  <si>
    <t>Metropolitan Manila, the Philippines, is a megacity with a population of 12.9 million people. Unabated urbanization and disorganized infrastructure build-up, coupled with a large urban poor population have made many of its population vulnerable to climate change. This study presents the 118-year urban climate and extreme weather events of Metropolitan Manila. Daily average and minimum temperature are on the rise comparable to countrywide trends. Consequently, there are more warm and less cold nights. Total annual precipitation is also increasing at a rate of 77.99 mm/decade. Decreasing simple daily intensity index implies that higher observed precipitation is due to the increase in wet days count rather than intensity. Tropical cyclones (TCs) are critical in producing most extreme rainfall events in the metropolis. Extreme precipitation is induced either by a TC's immediate rainbands or remote precipitation effects by enhancing the prevailing summer monsoon flow. TC-induced rain modulates annual rainfall variability and is estimated to contribute 45.2% to Metropolitan Manila mean total rainfall.</t>
  </si>
  <si>
    <t>University of the Philippines OVPAA</t>
  </si>
  <si>
    <t>University of the Philippines OVPAA, Grant/Award Number: EIDR-C06-004</t>
  </si>
  <si>
    <t>10.1002/joc.6267</t>
  </si>
  <si>
    <t>WOS:000483180900001</t>
  </si>
  <si>
    <t>Zhang, Lu; Guo, Huadong; Li, Xinwu; Wang, Liyan</t>
  </si>
  <si>
    <t>The Tonle Sap Lake (TSL), located in Cambodia, is the largest freshwater lake in Southeast Asia and has significant ecological, economic, and sociocultural value. The TSL's ecosystems have been affected by climate change and an increasing amount of human activity in recent years. Considering that the TSL area is often covered by clouds, particularly in the rainy season, synthetic aperture radar (SAR) data are suitable for assessing the ecosystems in this great lake, as SAR enables weather- and cloud-independent observations. In this study, we investigated the capability of the RADARSAT-2 Wide Fine (WF) mode dual-polarization SAR data with a scene size of 170x150km (azimuthxrange) and a resolution of 7.6x5.2m to study TSL's ecosystem, by analysing the usefulness of backscattering coefficients and scattering mechanism-related parameters in identifying artificial targets and different land-cover types. The results of this study demonstrate the applicability of RADARSAT-2 WF-mode SAR data in the study of TSL's ecosystems.</t>
  </si>
  <si>
    <t>[Zhang, Lu; Guo, Huadong; Li, Xinwu; Wang, Liyan] Chinese Acad Sci, Inst Remote Sensing &amp; Digital Earth, Key Lab Digital Earth Sci, Beijing 100190, Peoples R China</t>
  </si>
  <si>
    <t>Chinese Academy of Sciences; The Institute of Remote Sensing &amp; Digital Earth, CAS</t>
  </si>
  <si>
    <t>Natural Science Foundation of China(National Natural Science Foundation of China (NSFC)); State Key Programme of National Natural Science of China</t>
  </si>
  <si>
    <t>This research was supported by the Natural Science Foundation of China [grant number 41001268]; State Key Programme of National Natural Science of China [grant number 61132006].</t>
  </si>
  <si>
    <t>10.1080/01431161.2014.890301</t>
  </si>
  <si>
    <t>WOS:000333875100008</t>
  </si>
  <si>
    <t>Villafuerte, Marcelino Q., II; Matsumoto, Jun; Akasaka, Ikumi; Takahashi, Hiroshi G.; Kubota, Hisayuki; Cinco, Thelma A.</t>
  </si>
  <si>
    <t>Owing to the increasing concerns about climate change due to the recent extreme rainfall events in the Philippines, long-term trends and variability in rainfall extremes in the country are investigated using 60-year (1951-2010) daily rainfall data from 35 meteorological stations. Rainfall extremes are described using seven extreme precipitation indices (EPI) that characterize daily rainfall in terms of intensity, accumulation, and duration on a seasonal perspective. The nonparametric Mann-Kendall test is employed in combination with the moving blocks bootstrapping technique to detect significant trends in EPI. The results suggest a tendency toward a drying condition for the dry season, January-March (JFM), as indicated by statistically significant decreasing trends in seasonal wet days total rainfall (PCPTOT) associated with increasing trends in maximum length of dry spell (LDS). In contrast, statistically significant increasing trends in maximum 5-day rainfall (RX5day) and decreasing trends in LDS denote a wetting condition during the July-September (JAS) season, particularly at stations located in the northwest and central Philippines. The trends obtained are further assessed by examining the longer time series of EPI at four meteorological stations (Aparri, Dagupan, Iloilo, and Masbate) that have rainfall data from 1911 to 2010. The longer historical data revealed that the trends obtained in the shorter period (1951-2010) could either be consistent with the continuous long-term trends, as observed in RX5day during JAS at Aparri and Masbate, or represent interdecadal variability as was observed at Dagupan and Iloilo. The long-term (1911-2010) southwestward extension of the western North Pacific subtropical high associated with a weakening of the 850-hPa westerly wind over the South China Sea partly provides a possible cause of the trends in EPI during JAS, whereas the weakening of the East Asian winter monsoon contributed somewhat to the trends obtained during JFM. Furthermore, interannual variations in EPI are found to be influenced greatly by the El Nino-Southern Oscillation (ENSO). Composite analyses suggest that El Nino (La Nina) events are associated with statistically significant drier (wetter) conditions over the Philippines, especially during the seasons close to ENSO mature stage. (C) 2013 Elsevier B.V. All rights reserved.</t>
  </si>
  <si>
    <t>[Villafuerte, Marcelino Q., II; Matsumoto, Jun; Akasaka, Ikumi; Takahashi, Hiroshi G.] Tokyo Metropolitan Univ, Dept Geog, Grad Sch Urban Environm Sci, Tokyo 158, Japan; [Villafuerte, Marcelino Q., II; Cinco, Thelma A.] Philippine Atmospher Geophys &amp; Astron Serv Adm, Quezon City, Philippines; [Matsumoto, Jun; Takahashi, Hiroshi G.; Kubota, Hisayuki] Japan Agcy Marine Earth Sci &amp; Technol, Yokosuka, Kanagawa 2370061, Japan</t>
  </si>
  <si>
    <t>Japanese Ministry of Education, Culture, Sports, Science and Technology (MEXT)(Ministry of Education, Culture, Sports, Science and Technology, Japan (MEXT)); Hydrospheric Atmospheric Research Center, Nagoya University, Japan; Tokyo Metropolitan Government(Tokyo Metropolitan Government); Grants-in-Aid for Scientific Research(Ministry of Education, Culture, Sports, Science and Technology, Japan (MEXT)Japan Society for the Promotion of ScienceGrants-in-Aid for Scientific Research (KAKENHI))</t>
  </si>
  <si>
    <t>We thank Dr. Esperanza Cayanan of PAGASA for her assistance in the rainfall data acquisition. We deeply appreciate the help of Drs. Xiaolan Wang and Yang Feng in using the RHtests for daily precipitation. The Green Network of Excellence (GRENE) program and a Grant-in-Aid for Scientific Research (no. 23240122) from the Japanese Ministry of Education, Culture, Sports, Science and Technology (MEXT) supported the recovery and digitization of the pre-1940s rainfall data in the Philippines. This work was also supported by cooperative research with the Hydrospheric Atmospheric Research Center, Nagoya University, Japan. The freely distributed software (Rand GrADS) were used in our computations and for creating figures. M. Q. Villafuerte II was the recipient of an Asian Human Resources Fund scholarship provided by the Tokyo Metropolitan Government. We are also grateful to the reviewers for their constructive comments and helpful suggestions that led to a significantly improved paper.</t>
  </si>
  <si>
    <t>10.1016/j.atmosres.2013.09.021</t>
  </si>
  <si>
    <t>WOS:000329554100001</t>
  </si>
  <si>
    <t>Zhang, Binghua; Zhang, Li; Guo, Huadong; Leinenkugel, Patrick; Zhou, Yu; Li, Li; Shen, Qian</t>
  </si>
  <si>
    <t>The Lower Mekong Basin (LMB) has a typical monsoon climate, with high temperatures and an uneven distribution of precipitation throughout the year. This climate, combined with the geographic position of the LMB, has led to an increase in the frequency of extreme weather events over last decade. However, few previous studies have used remote-sensing data to investigate the impact of such weather events, particularly severe droughts, on biological productivity in the LMB. To address this, we assessed the impact of drought on vegetation productivity in the LMB during 2000-2011 using MOD17 products. Several drought events were identified during this period. Of these, the most severe occurred during 2005 and 2010, although the 2005 drought was both more extensive and more intense. Net primary productivity (NPP) exhibited considerable variation during 2000-2011: the droughts in 2005 and 2010 reduced NPP by 14.7% and 8.4%, respectively. The impact of drought on NPP in 2005 was much greater than that in 2010, likely owing to the longer duration and larger deficit of precipitation in 2005 (which lasted from winter 2004 to spring 2005). Our results demonstrate that severe drought had a greater impact on NPP than mild drought, especially for forests, woodlands, and shrublands. Comparatively, little variation in NPP was found for croplands, even under drought conditions, which were attributed to the wide use of irrigation and the exploitation of water sources during drought periods. Moreover, multi-season croplands in Vietnam experienced only a small reduction in gross primary productivity (GPP) in 2005 compared to one-season croplands in Cambodia, which can be related to the shorter growing periods of the former impacted by droughts.</t>
  </si>
  <si>
    <t>[Zhang, Binghua; Zhang, Li; Guo, Huadong; Zhou, Yu; Shen, Qian] Chinese Acad Sci, Inst Remote Sensing &amp; Digital Earth, Key Lab Digital Earth Sci, Beijing 100094, Peoples R China; [Zhang, Binghua] Univ Chinese Acad Sci, Coll Resources &amp; Environm, Beijing 100049, Peoples R China; [Leinenkugel, Patrick] DLR, German Earth Observat Ctr, DFD, German Remote Sensing Data Ctr, D-82234 Oberpfaffenhofen, Wessling, Germany; [Li, Li] Shandong Agr Univ, Coll Informat Sci &amp; Engn, Tai An 271018, Shandong, Peoples R China</t>
  </si>
  <si>
    <t>Chinese Academy of Sciences; The Institute of Remote Sensing &amp; Digital Earth, CAS; Chinese Academy of Sciences; University of Chinese Academy of Sciences, CAS; Helmholtz Association; German Aerospace Centre (DLR); Shandong Agricultural University</t>
  </si>
  <si>
    <t>International Cooperation and Exchanges NSFC; National Natural Science Foundation of China(National Natural Science Foundation of China (NSFC))</t>
  </si>
  <si>
    <t>This work was supported by International Cooperation and Exchanges NSFC [grant number 41120114001]; National Natural Science Foundation of China under [grant number 41271372].</t>
  </si>
  <si>
    <t>10.1080/01431161.2014.890298</t>
  </si>
  <si>
    <t>WOS:000333875100006</t>
  </si>
  <si>
    <t>Ibarra, Daniel E.; David, Carlos Primo C.; Tolentino, Pamela Louise M.</t>
  </si>
  <si>
    <t>Even in relatively wet tropical regions, seasonal fluctuations in the water cycle affect the consistent and reliable supply of water for urban, industrial, and agricultural uses. Historic streamflow monitoring datasets are crucial in assessing our ability to model and subsequently plan for future hydrologic changes. In this technical note, we evaluate a new observation-based global product of monthly runoff (GRUN; Ghiggi et al., 2019) for 55 small tropical catchments in the Philippines with at least 10 years of data, extending back to 1946 in some cases. Since GRUN did not use discharge data from the Philippines to train or calibrate their models, the data presented in this study, 11 915 monthly data points, provide an independent evaluation of this product. We demonstrate across all observations a significant but weak correlation (r(2) = 0:372) between the GRUN-predicted values and observed river discharge, as well as somewhat skillful prediction (volumetric efficiency = 0.363 and log(Nash-Sutcliffe efficiency) = 0.453). GRUN performs best among catchments located in climate types III (no pronounced maximum rainfall with short dry season) and IV (evenly distributed rainfall, no dry season). There was a weak negative correlation between volumetric efficiency and catchment area, and there was a positive correlation between volumetric efficiency and mean observed runoff. Further, analysis for individual rivers demonstrates systematic biases (over- and underestimation) of baseflow during the dry season and underprediction of peak flow during some wet months for most catchments. To correct for underprediction during wet months, we applied a log-transform bias correction which greatly improves the nationwide root mean square error between GRUN and the observations by an order of magnitude (2.648 mm d(-1) vs. 0.292 mm d(-1)). This technical note demonstrates the importance of performing such corrections when determining the proportional contribution of smaller catchments or tropical islands such as the Philippines to global tabulations of discharge. These results also demonstrate the potential use of GRUN and future data products of this nature after consideration and correction of systematic biases to (1) assess trends in regional-scale runoff over the past century, (2) validate hydrologic models for unmonitored catchments in the Philippines, and (3) assess the impact of hydrometeorological phenomena to seasonal water supply in this wet but drought-prone archipelago.</t>
  </si>
  <si>
    <t>[Ibarra, Daniel E.] Univ Calif Berkeley, Dept Earth &amp; Planetary Sci, Berkeley, CA 94720 USA; [Ibarra, Daniel E.] Brown Univ, Inst Brown Environm &amp; Soc, Providence, RI 02912 USA; [Ibarra, Daniel E.] Brown Univ, Dept Earth Environm &amp; Planetary Sci, Providence, RI 02912 USA; [David, Carlos Primo C.; Tolentino, Pamela Louise M.] Univ Philippines, Natl Inst Geol Sci, Quezon City 1101, Philippines</t>
  </si>
  <si>
    <t>University of California System; University of California Berkeley; Brown University; Brown University; University of the Philippines System; University of the Philippines Diliman</t>
  </si>
  <si>
    <t>DOST-PCIEERD project; DOST-PCIEERD Balik Scientist award; UC Berkeley Miller Institute; UC President's Postdoctoral Fellowship</t>
  </si>
  <si>
    <t>This project was partially supported through the DOST-PCIEERD project entitled, Catchment Susceptibility to Hydrometeorological Events supporting Tolentino and David, and a DOST-PCIEERD Balik Scientist award to Ibarra. Ibarra is funded by the UC Berkeley Miller Institute and UC President's Postdoctoral Fellowship.</t>
  </si>
  <si>
    <t>1027-5606</t>
  </si>
  <si>
    <t>1607-7938</t>
  </si>
  <si>
    <t>HYDROL EARTH SYST SC</t>
  </si>
  <si>
    <t>Hydrol. Earth Syst. Sci.</t>
  </si>
  <si>
    <t>MAY 26</t>
  </si>
  <si>
    <t>10.5194/hess-25-2805-2021</t>
  </si>
  <si>
    <t>WOS:000656492800002</t>
  </si>
  <si>
    <t>Hoa Vo Van; Tien Du Duc; Hung Mai Khanh; Hole, Lars Robert; Duc Tran Anh; Huyen Luong Thi Thanh; Quan Dang Dinh</t>
  </si>
  <si>
    <t>This study verified the seasonal six-month forecasts for winter temperatures for northern Vietnam in 1998-2018 using a regional climate model (RegCM4) with the boundary conditions of the climate forecast system Version 2 (CFSv2) from the National Centers for Environmental Prediction (NCEP). First, different physical schemes (land-surface process, cumulus, and radiation parameterizations) in RegCM4 were applied to generate 12 single forecasts. Second, the simple ensemble forecasts were generated through the combinations of those different physical formulations. Three subclimate regions (R1, R2, R3) of northern Vietnam were separately tested with surface observations and a reanalysis dataset (Japanese 55-year reanalysis (JRA55)). The highest sensitivity to the mean monthly temperature forecasts was shown by the land-surface parameterizations (the biosphere atmosphere transfer scheme (BATS) and community land model version 4.5 (CLM)). The BATS forecast groups tended to provide forecasts with lower temperatures than the actual observations, while the CLM forecast groups tended to overestimate the temperatures. The forecast errors from single forecasts could be clearly reduced with ensemble mean forecasts, but ensemble spreads were less than those root-mean-square errors (RMSEs). This indicated that the ensemble forecast was underdispersed and that the direct forecast from RegCM4 needed more postprocessing.</t>
  </si>
  <si>
    <t>[Hoa Vo Van] Vietnam Meteorol &amp; Hydrol Adm, Northern Delta Reg Hydrometeorol Ctr, 2-62 Nguyen Chi Thanh Str, Hanoi 100000, Vietnam; [Tien Du Duc; Hung Mai Khanh; Huyen Luong Thi Thanh; Quan Dang Dinh] Vietnam Natl Ctr Hydrometeorol Forecasting, 8 Phao Dai Lang Str, Hanoi 100000, Vietnam; [Hole, Lars Robert] Norwegian Meteorol Inst, N-5007 Bergen, Norway; [Duc Tran Anh] Karlsruhe Inst Technol, Inst Meteorol &amp; Climate Res, D-82467 Garmisch Partenkirchen, Germany</t>
  </si>
  <si>
    <t>Norwegian Meteorological Institute; Helmholtz Association; Karlsruhe Institute of Technology</t>
  </si>
  <si>
    <t>Ministry of Natural Resources and Environment; Norwegian Agency for Development Cooperation(Norwegian Agency for Development Cooperation - NORAD); Norwegian Ministry of Foreign Affairs</t>
  </si>
  <si>
    <t>This research was supported by the Ministry of Natural Resources and Environment through national project The impact of climate change on abnormal cold surge and heatwave in winter at northern Vietnam mountain areas to serve for socioeconomic development (code: BDKH.25/16-20). L.R. Hole was sponsored by the Norwegian Agency for Development Cooperation and the Norwegian Ministry of Foreign Affairs. Authors would like to thank anonymous reviewers for their comments and suggestions, which helped to improve our manuscript.</t>
  </si>
  <si>
    <t>10.3390/cli8060077</t>
  </si>
  <si>
    <t>WOS:000551179500002</t>
  </si>
  <si>
    <t>Li, Xian-Xiang; Koh, Tieh-Yong; Panda, Jagabandhu; Norford, Leslie K.</t>
  </si>
  <si>
    <t>The effect of urbanization and urbanization pattern on the thermal environment and local rainfall is investigated in the tropical coastal city, Singapore. The Weather Research and Forecasting (WRF) model is employed with 5 one-way nested domains and the highest horizontal resolution is 300 m. The urban effect is taken into account by a single-layer urban canopy model. Several scenarios with idealized urbanization patterns are designed and simulated for an ensemble of 28 members. In the asymmetric urbanization scenarios, in which either the southern or northern part of Singapore is urbanized while the other part is forest, the magnitude of urban heat island (UHI) intensity is higher than that in the symmetric urbanization scenario, in which the urban and forest land use is homogeneously distributed in Singapore. The anthropogenic heat (AH) associated with the urban areas will exacerbate the UHI intensity. Most of the rainfall in the examined cases occurs from late morning to afternoon when the sea breeze blows northeastward. The results suggest that sea breezes have stronger influence on the rainfall than the urbanization pattern since the downwind part always gets more rainfall than the upwind part. The urbanization and associated AH can have two opposite effects on the rainfall amount: increasing rainfall through increasing buoyancy by AH and decreasing rainfall through reducing evaporation by converting greenery to impervious surfaces. The ultimate effect is dependent on the relative strength of these two influences.</t>
  </si>
  <si>
    <t>[Li, Xian-Xiang] Singapore Alliance Res &amp; Technol, CENSAM, Singapore, Singapore; [Koh, Tieh-Yong] SIM Univ, UniSIM Coll, Singapore, Singapore; [Panda, Jagabandhu] Natl Inst Technol Rourkela, Dept Earth &amp; Atmospher Sci, Rourkela, India; [Norford, Leslie K.] MIT, Dept Architecture, 77 Massachusetts Ave, Cambridge, MA 02139 USA</t>
  </si>
  <si>
    <t>Singapore University of Social Sciences (SUSS); National Institute of Technology (NIT System); National Institute of Technology Rourkela; Massachusetts Institute of Technology (MIT)</t>
  </si>
  <si>
    <t>Singapore National Research Foundation (NRF) through the Singapore-MIT Alliance for Research and Technology (SMART) Center for Environmental Sensing and Modeling (CENSAM)(National Research Foundation, Singapore)</t>
  </si>
  <si>
    <t>This project was funded by Singapore National Research Foundation (NRF) through the Singapore-MIT Alliance for Research and Technology (SMART) Center for Environmental Sensing and Modeling (CENSAM). The land use/land cover data for Singapore were purchased from Center of Remote Imaging, Sensing and Processing (CRISP), National University of Singapore. The rainfall gauge data were obtained through collaboration with Meteorological Service Singapore (MSS). The input and output data (excluding the purchased data) used in the studies are available from the corresponding author upon request (lixx@smart.mit.edu), provided that they are used solely for academic research purpose.</t>
  </si>
  <si>
    <t>2169-897X</t>
  </si>
  <si>
    <t>2169-8996</t>
  </si>
  <si>
    <t>J GEOPHYS RES-ATMOS</t>
  </si>
  <si>
    <t>J. Geophys. Res.-Atmos.</t>
  </si>
  <si>
    <t>MAY 16</t>
  </si>
  <si>
    <t>10.1002/2015JD024452</t>
  </si>
  <si>
    <t>WOS:000379715800001</t>
  </si>
  <si>
    <t>Shin, Yonghee; Lee, Eun-Jeong; Im, Eun-Soon; Jung, Il-Won</t>
  </si>
  <si>
    <t>Rice (Oryza sativa L.) is a very important staple crop, as it feeds more than half of the world's population. Numerous studies have focused on the negative impacts of climate change on rice production. However, there is little debate on which region of the world is more vulnerable to climate change and how adaptation to this change can mitigate the negative impacts on rice production. We investigated the impacts of climate change on rice yield, based on simulations combining a global crop model, M-GAZE, and Coupled Model Intercomparison Project Phase 5 (CMIP5) multi-model projections. Our focus was the impact of mitigating emission forcings (representative concentration pathway RCP 4.5 vs. RCP 8.5) and autonomous adaptation (i.e., changing crop variety and planting date) on rice yield. In general, our results showed that climate change due to anthropogenic warming leads to a significant reduction in rice yield. However, autonomous adaptation provides the potential to reduce the negative impact of global warming on rice yields in a spatially distinct manner. The adaptation was less beneficial for countries located at a low latitude (e.g., Cambodia, Thailand, Brazil) compared to mid-latitude countries (e.g., USA, China, Pakistan), as regional climates at the lower latitudes are already near the upper temperature thresholds for acceptable rice growth. These findings suggest that the socioeconomic effects from rice production in low-latitude countries can be highly vulnerable to anthropogenic global warming. Therefore, these countries need to be accountable to develop transformative adaptation strategies, such as adopting (or developing) heat-tolerant varieties, and/or improve irrigation systems and fertilizer use efficiency.</t>
  </si>
  <si>
    <t>[Shin, Yonghee; Lee, Eun-Jeong] APEC Climate Ctr, Climate Applicat Dept, Busan, South Korea; [Im, Eun-Soon] Hong Kong Univ Sci &amp; Technol, Dept Civil &amp; Environm Engn, Hong Kong, Peoples R China; [Im, Eun-Soon] Hong Kong Univ Sci &amp; Technol, Div Environm, Hong Kong, Peoples R China; [Jung, Il-Won] Korea Infrastructure Safety &amp; Technol Corp, Res Inst Infrastructure Performance, Jinju, South Korea</t>
  </si>
  <si>
    <t>Hong Kong University of Science &amp; Technology; Hong Kong University of Science &amp; Technology</t>
  </si>
  <si>
    <t>APEC Climate Center; Advanced Water Management Research Program; Ministry of Land, Infrastructure, and Transport of Korea(Ministry of Land, Infrastructure &amp; Transport (MOLIT), Republic of Korea)</t>
  </si>
  <si>
    <t>This research was supported by the APEC Climate Center and a grant (14AWMP-B082564-01) from the Advanced Water Management Research Program funded by the Ministry of Land, Infrastructure, and Transport of Korea. We thank Dr. Takahashi from National Institute for Environmental Studies (NIES) and Professor Masutomi from Ibaraki University in Japan for providing M-GAZE model and technical support on the work.</t>
  </si>
  <si>
    <t>KOREAN METEOROLOGICAL SOC</t>
  </si>
  <si>
    <t>SEOUL</t>
  </si>
  <si>
    <t>1510 RENAISSANCE TOWER BLDG, 14, MALLIJAE-RO, MAPO-GU, SEOUL, SOUTH KOREA</t>
  </si>
  <si>
    <t>1976-7633</t>
  </si>
  <si>
    <t>1976-7951</t>
  </si>
  <si>
    <t>ASIA-PAC J ATMOS SCI</t>
  </si>
  <si>
    <t>Asia-Pac. J. Atmos. Sci.</t>
  </si>
  <si>
    <t>10.1007/s13143-017-0001-z</t>
  </si>
  <si>
    <t>WOS:000397134000003</t>
  </si>
  <si>
    <t>Tsuda, Hinako; Tebakari, Taichi</t>
  </si>
  <si>
    <t>In Thailand, floods are occurring more frequently due to climate change, and recent economic development and population growth may have altered the way in which people interact with floods, including migration to other regions. In this study, we analyzed the relationship between flooding and population distribution across Thailand from 2005 to 2019 to improve measures for minimizing flood damage. We used population distribution point data from 2009 to 2019 produced by Oak Ridge National Laboratory to analyze trends in population movement and distribution, by examining whether population sizes were greater than, less than, or equal to estimated values in regions throughout Thailand. The results suggest that floods in 2011 and 2017 caused temporary migration to areas that were not inundated or to the metropolitan Bangkok area. Flood responses changed after the 2011 floods, which have been described as the worst flood in Thai history. Next, we examined the relationship between the number of regions with lower than estimated population and flood data for the previous year including precipitation, inundated area, and deaths caused by flooding. Inundation area had a significant impact on population decline, with correlation coefficients of 0.426 and 0.501 for the north and northeast, respectively. The number of deaths caused by flooding in a given year also led to a population decline in the following year. However, precipitation did not exhibit the same trend. Therefore, population demographics after floods have shown regional characteristics in recent years, with Thai people shifting from a flood-tolerance lifestyle to a flood-avoidance lifestyle, mainly in local urban areas and the metropolitan Bangkok area.</t>
  </si>
  <si>
    <t>[Tsuda, Hinako; Tebakari, Taichi] Chuo Univ, Grad Sch Sci &amp; Engn, Civil Human &amp; Environm Sci &amp; Engn Course, 1-13-27 Kasuga,Bunkyo Ku, Tokyo, Japan</t>
  </si>
  <si>
    <t>Chuo University</t>
  </si>
  <si>
    <t>Japan Science and Technology Agency (JST)/Japan International Cooperation Agency (JICA) Science and Technology Research Partnership for Sustainable Development (SATREPS) program; Strategic International Collaborative Research Program East Asia Joint Research Program (SICORP e-ASIA JRP)</t>
  </si>
  <si>
    <t>This study was supported by the Japan Science and Technology Agency (JST)/Japan International Cooperation Agency (JICA) Science and Technology Research Partnership for Sustainable Development (SATREPS) program (PI: Prof.Taik an OKI) and the Strategic International Collaborative Research Program East Asia Joint Research Program (SICORP e-ASIA JRP; PI: Prof.Taik an OKI) (Grant nos. 21338544, 15543675).</t>
  </si>
  <si>
    <t>JUL 13</t>
  </si>
  <si>
    <t>10.1186/s40645-023-00569-9</t>
  </si>
  <si>
    <t>WOS:001029955700001</t>
  </si>
  <si>
    <t>Pour, Sahar Hadi; Abd Wahab, Ahmad Khairi; Shahid, Shamsuddin; Bin Ismail, Zulhilmi</t>
  </si>
  <si>
    <t>Trends in reference evapotranspiration (ETo) have been found highly diverse in different regions of the globe due to the contradictory changes in the meteorological variables that define ETo. Despite a significant impact of ETo in water resources and ecology, knowledge on the changes and the cause of the changes in ETo is very limited in tropical regions. The trends in ETo, the factors influencing the changes in ETo and the change point (year) that made the trend significant were evaluated in this study for tropical peninsular Malaysia. The modified version of Mann-Kendall (MK) WA was used for the assessment of unidirectional changes in ETo and the driving meteorological variables. The innovative trend analysis (ITA) was conducted to understand the variations in change with time. Sobol's method was used to measure the sensitivity of ETo to different meteorological factors and the Sequential MK WA was employed to identify the change point. The study revealed an increase in annual (0.009-0.026 mm/year) and seasonal (0.014-0.027 mm/year during southwest monsoon and 0.015-0.074 during northeast monsoon) ETo in peninsular Malaysia which contradicts to evapotranspiration paradox found in many regions. The minimum temperature (31.5-48.2%) was found as the most influencing factor followed by wind speed (15.1-32.8%.) in defining ETo in peninsular Malaysia. Analysis of ITA and sequential MK WA results revealed that the rise in minimum temperature is the major cause of the increase in ETo in peninsular Malaysia. A faster rise in minimum temperature after 1981-1985 caused an increase in ETo after 1993-1996 in most of the locations. The minimum temperature in the region was noticed to rise much faster compared to the global average which indicates a large and continuous increase in ETo due to global warming and thus, reduction in atmospheric water balance in peninsular Malaysia.</t>
  </si>
  <si>
    <t>[Pour, Sahar Hadi; Abd Wahab, Ahmad Khairi; Shahid, Shamsuddin; Bin Ismail, Zulhilmi] Univ Teknol Malaysia UTM, Fac Engn, Sch Civil Engn, Johor Baharu 81310, Malaysia; [Pour, Sahar Hadi; Abd Wahab, Ahmad Khairi; Shahid, Shamsuddin; Bin Ismail, Zulhilmi] Univ Teknol Malaysia UTM, Ctr Coastal &amp; Ocean Engn COEI, Johor Baharu 81310, Malaysia; [Shahid, Shamsuddin] Univ Malaysia Terengganu UMT, Inst Oceanog &amp; Environm INOS, Terengganu 21300, Malaysia</t>
  </si>
  <si>
    <t>Universiti Teknologi Malaysia; Universiti Teknologi Malaysia; Universiti Malaysia Terengganu</t>
  </si>
  <si>
    <t>Universiti Teknologi Malaysia</t>
  </si>
  <si>
    <t>The authors are grateful to the Universiti Teknologi Malaysia for providing financial support for this research through Post-Doctoral Fellowship Scheme of the Universiti Teknologi Malaysia, Grant Number Q.J130000.21A2.04E38.</t>
  </si>
  <si>
    <t>10.1016/j.atmosres.2020.105096</t>
  </si>
  <si>
    <t>WOS:000581845700016</t>
  </si>
  <si>
    <t>Li, Xin; Wang, Xuan; Babovic, Vladan</t>
  </si>
  <si>
    <t>Changes in precipitation extremes in the tropical urban context is complex, where the precipitation activities are influenced by the combined effects of El Nino-Southern Oscillation (ENSO), global warming and local effects. This study presents a comprehensive framework to investigate the variability and trends in precipitation extremes in a tropical urban city-state, Singapore, based on a set of extreme indices recommended by the Expert Team on Climate Change Detection and Indices (ETCCDI). The long-term trends in the precipitation extremes over the period from 1980 until 2013 are examined using an iterative-based Mann-Kendall trend test. Besides, the relative importance of precipitation frequency and intensity in inter-annual variability of wet-day precipitation totals is investigated. Finally, the correlations between precipitation extremes and three potential large-scale and local factors, i.e. ENSO, global mean temperature and local temperature are analysed based on linear regression method. Results reveal that annual wet-day precipitation totals, as well as average wet-day precipitation intensity, have increased significantly, accompanied by a significant increase in the frequency and intensity of precipitation extremes in Singapore. The inter-annual variability of wet-day precipitation totals is mainly dominated by precipitation intensity. Significant correlations are found between precipitation extremes and all the three factors, and the signature of local effects is more evident than global warming. These findings have implications for adaption planning and disaster risk reduction in Singapore in the context of global warming.</t>
  </si>
  <si>
    <t>[Li, Xin; Babovic, Vladan] Natl Univ Singapore, Dept Civil &amp; Environm Engn, Block E1A,07-03,1 Engn Dr 2, Singapore 117576, Singapore; [Wang, Xuan] DHI Water &amp; Environm S Pte Ltd, Dept Modelling &amp; Hydroinformat Serv, 1 Cleantech Loop,03-05 CleanTech One, Singapore, Singapore</t>
  </si>
  <si>
    <t>National University of Singapore; Danish Hydraulic Institute (DHI); Nanyang Technological University</t>
  </si>
  <si>
    <t>10.1002/joc.5165</t>
  </si>
  <si>
    <t>WOS:000419093600010</t>
  </si>
  <si>
    <t>Huang, Yuk Feng; Ahmed, Ali Najah; Ng, Jing Lin; Tan, Kok Weng; Kumar, Pavitra; El-Shafie, Ahmed</t>
  </si>
  <si>
    <t>The lower number of rainfall events resulting in drier environment over the years is a crucial phenomenon attracting the concern of all around the world. The impact of rainfall deficiencies will lead to issues of water resources availability, both for the agricultural sector and also for health and human development. Therefore, this study on rainfall variability in terms of the dry spells (DS) and the drought characteristics of the regions is necessary to get a better understanding of the DS. In this study, the data period is from 1988-2017, and the intricacies of the DS and extreme DS occurrences, and spatial distribution for drought characteristics were analysed. In addition, this study was confined to the 30-year period rainfall data, which were then analysed using the Rainfall Variability Index (RVI) with two timeframes, initially, the 30-year long-term period and subsequently over six arbitrarily chosen 5-year sub-periods. The findings showed that the Northern Region and Central Region located in Peninsular Malaysia, and the regions that lie between Sabah and Sarawak had more DS occurrences in view of the higher number of DS exhibited during the study period. The next part of this study involves the spatial analysis for drought frequency (DF) and mean drought duration (MDD) over the 13 regions (4 in West Malaysia and 9 in East Malaysia) throughout Malaysia. It showed that the DF was significant for both the annual and monthly RVI, and for the MDD being significant for the monthly RVI over the 30-year period. For the six 5-year sub-periods, the spatial differences varied for both DF and MDD, are based on annual RVI.</t>
  </si>
  <si>
    <t>[Huang, Yuk Feng] Univ Tunku Abdul Rahman, Lee Kong Chian Fac Engn &amp; Sci, Dept Civil Engn, Jalan Sg Long, Kajang 43000, Selangor, Malaysia; [Ahmed, Ali Najah] Univ Tenaga Nasl UNITEN, Inst Energy Infrastruct IEI, Kajang 43000, Selangor, Malaysia; [Ng, Jing Lin] UCSI Univ, Fac Engn Technol &amp; Built Environm, Dept Civil Engn, Kuala Lumpur, Malaysia; [Tan, Kok Weng] Univ Tunku Abdul Rahman, Fac Engn &amp; Green Technol, Dept Environm Engn, Kampar Perak 31900, Malaysia; [Kumar, Pavitra; El-Shafie, Ahmed] Univ Malaya UM, Fac Engn, Dept Civil Engn, Kuala Lumpur 50603, Malaysia; [El-Shafie, Ahmed] United Arab Emirates Univ, Natl Water &amp; Energy Ctr, POB 15551, Al Ain, U Arab Emirates</t>
  </si>
  <si>
    <t>Universiti Tunku Abdul Rahman (UTAR); UCSI University; Universiti Tunku Abdul Rahman (UTAR); Universiti Malaya; United Arab Emirates University</t>
  </si>
  <si>
    <t>Universiti Tunku Abdul Rahman, Malaysia</t>
  </si>
  <si>
    <t>The authors would like to thank the Department of Irrigation and Drainage Malaysia (DID) and the Malaysian Meterological Department (MMD), for the provision of data for this project. The authors would also like to express their appreciations for the funding of this project, provided by Universiti Tunku Abdul Rahman, Malaysia.</t>
  </si>
  <si>
    <t>10.1007/s11069-022-05234-w</t>
  </si>
  <si>
    <t>WOS:000754348500002</t>
  </si>
  <si>
    <t>Deegala, Danushka; Song, Young Hoon; Chung, Eun-Sung; Ayugi, Brian Odhiambo; Shahid, Shamsuddin</t>
  </si>
  <si>
    <t>This study aims to investigate the future changes in precipitation extremes across the South Asian summer monsoon domain using the latest CMIP6 global climate model (GCM) outputs under four SSP-RCPs for the near future (2031-2065) and the far future (2066-2100). The models were bias-corrected using nonparametric quantile transformation based on the smoothing spline technique. Future analysis was done in a more robust and systematic way by using seasonal-based as well as regional-based approaches. Two seasons, pre-monsoon from March to May (MAM) and monsoon from June to September (JJAS) were considered for seasonal assessment. The study area was divided into subzones based on Ko center dot ppen-Geiger's climate structure for regional assessment. Five extreme precipitation indices, which describe extreme precipitation events, R95pTOT, Rx1day, Rx5day, PRCPTOT and SDII from Expert Team on Climate Change Detection and Indices (ETCCDI), were applied. The evaluation results reveal that the performance of the bias correction method differs based on the extreme precipitation index, climate zone, and season. Based on the model agreement, a negative shift in the precipitation extremes in the future will be dominant during the pre-monsoon season, particularly in the subzones of Tropical rainforest (southern regions of Sri Lanka), Tropical monsoon (Western Ghats of India, coastal regions of Myanmar, regions of Bangladesh), Tropical savannah (regions of Myanmar), and Arid steppe hot (southern regions of India, central parts of Myanmar). During monsoon season, both negative and positive shifts will prevail in the subzones, and the precipitation extremes during the far future will be more intensified than near future in most of the subzones. Additionally, the shifts will tend to decline from SSP1-2.6 to SSP5-8.5 in the near future and increment from SSP1-2.6 to SSP5-8.5 in the far future.</t>
  </si>
  <si>
    <t>[Deegala, Danushka; Song, Young Hoon; Chung, Eun-Sung; Ayugi, Brian Odhiambo] Seoul Natl Univ Sci &amp; Technol, Dept Civil Engn, 232 Gongneung Ro, Seoul 01811, South Korea; [Shahid, Shamsuddin] Univ Teknol Malaysia, Fac Civil Engn, Dept Water &amp; Environm Engn, Skudai 81310, Johor, Malaysia</t>
  </si>
  <si>
    <t>Seoul National University of Science &amp; Technology; Universiti Teknologi Malaysia</t>
  </si>
  <si>
    <t>National Research Foundation of Korea(National Research Foundation of Korea)</t>
  </si>
  <si>
    <t>This reseach was supported by the National Research Foundation of Korea (2021R1A2C2005699) .</t>
  </si>
  <si>
    <t>10.1016/j.atmosres.2023.107029</t>
  </si>
  <si>
    <t>WOS:001149316600001</t>
  </si>
  <si>
    <t>Kurniadi, Ari; Weller, Evan; Min, Seung-Ki; Seong, Min-Gyu</t>
  </si>
  <si>
    <t>Using Generalized Extreme Value analysis, this study details the independent seasonal impacts of the El Nino-Southern Oscillation (ENSO) and Indian Ocean Dipole (IOD) on rainfall extremes that cause many hydro-meteorological hazards and affect vulnerable populations in Indonesia, based on indices defined by the Expert Team on Climate Change Detection and Indices (ETCCDI), for the period 1981-2019. Gridded Climate Hazards Group InfraRed Precipitation with Station data (CHIRPS) is used to calculate maximum consecutive 5-day precipitation (Rx5d), total precipitation from days above 95 percentile (R95p), and maximum number of consecutive dry days (CDD). Consistent with previous studies, the ENSO and IOD impacts on rainfall extremes are shown to be strongest during the dry seasons (JJA-SON) and weaker in the wet seasons (DJF-MAM). Rainfall extremes appear to be widely influenced throughout Indonesia by ENSO, whereby extremes become drier (wetter) during El Nino (La Nina). Similarly, positive (negative) phases of the IOD lead to more extreme dry (wet) conditions. However, distinct from previous studies, as ENSO and IOD often co-occur, we also provide independent influences of the two climate modes. Low-level circulation northeast and southwest of Indonesia, both previously suggested as main drivers of impacts on Maritime Continent rainfall, are more closely associated with independent ENSO and IOD, respectively. For example, ENSO, independent of IOD, impacts rainfall extremes more in the northern and eastern regions of Indonesia, and the IOD, independent of ENSO, modulates rainfall extremes more over southern and western regions. Despite independent ENSO and IOD impacts understandably being found more eastward and westward of the country, respectively, details provided here help explain regional differences between rainfall extremes and ENSO and IOD, such as Jakarta in west Java, which is predominantly influenced by local forcing associated with the IOD.</t>
  </si>
  <si>
    <t>[Kurniadi, Ari; Weller, Evan] Univ Auckland, Sch Environm, Auckland, New Zealand; [Kurniadi, Ari] Indonesia Agcy Meteorol Climatol &amp; Geophys BMKG, Ctr Climate Change, Jakarta, Indonesia; [Min, Seung-Ki; Seong, Min-Gyu] Pohang Univ Sci &amp; Technol, Div Environm Sci &amp; Engn, Gyeongbuk, South Korea</t>
  </si>
  <si>
    <t>University of Auckland; Indonesian Agency for Meteorology, Climatology &amp; Geophysics; Pohang University of Science &amp; Technology (POSTECH)</t>
  </si>
  <si>
    <t>New Zealand Ministry of Foreign Affairs and Trade</t>
  </si>
  <si>
    <t>New Zealand Ministry of Foreign Affairs and Trade, Grant/Award Number: NZS Scholarship</t>
  </si>
  <si>
    <t>10.1002/joc.7040</t>
  </si>
  <si>
    <t>WOS:000618564400001</t>
  </si>
  <si>
    <t>Do, Hong Xuan; Le, Manh-Hung; Pham, Hung Thanh; Le, Tu Hoang; Nguyen, Binh Quang</t>
  </si>
  <si>
    <t>Among the impacts of climate change and variabilities, change in the terrestrial water cycle has been investigated extensively due to the importance of water resources to the Earth System. The detection and attribution of changes in river flows, however, are usually complicated by the impacts of on-ground human activities such as urbanization or dam construction that have altered flow regimes. As a result, hydrological reference stations - gauges measuring river flows of catchments that are unregulated - have been identified in many countries to provide streamflow records that are suitable for climate studies. Such a network, to the best of our knowledge, has not been promoted widely in Vietnam, making it difficult to determine the actual impact of climate change and variability to river flow regimes at the national scale. To address this limitation, this study uses a data-driven approach to identify stations that have not been influenced substantially by human activities for Vietnam. Specifically, we have carefully assessed streamflow records at 68 locations that are not influenced by tidal regime to identify stations with relatively good data quality. The drainage area associated with each of these stations was then delineated following international standards, and then used to identify catchments that were not associated with large dams. The catchment boundary was also used to extract land surface information, available through an ensemble of different satellite-based data products, to further identify catchments that are not featured by large urban areas, or experienced a substantial change in land cover during the 2000-2019 period. Using these criteria, this study suggested two subsets of stations distributed across the countries, providing a good starting point for future investigations into the impacts of climate change on water resources in Vietnam. The investigation also suggests that more investments are required to maintain and expand the hydrologic reference network for Vietnam.</t>
  </si>
  <si>
    <t>[Do, Hong Xuan] Nong Lam Univ Ho Chi Minh City, Fac Environm &amp; Nat Resources, Ho Chi Minh City, Vietnam; [Le, Manh-Hung] Natl Ctr Water Resources Planning &amp; Investigat, Hanoi, Vietnam; [Le, Manh-Hung] Univ Virginia, Dept Engn Syst &amp; Environm, Charlottesville, VA USA; [Pham, Hung Thanh; Nguyen, Binh Quang] Univ Danang, Univ Sci &amp; Technol, Da Nang, Vietnam; [Le, Tu Hoang] Nong Lam Univ Ho Chi Minh City, Res Ctr Climate Change, Ho Chi Minh City, Vietnam</t>
  </si>
  <si>
    <t>Nong Lam University; University of Virginia; University of Danang; Nong Lam University</t>
  </si>
  <si>
    <t>Nong Lam University-Ho Chi Minh City</t>
  </si>
  <si>
    <t>Hong Xuan Do and Tu Hoang Le are funded by a grant for basic research (No. CS-CB21-MTTN-07) from Nong Lam University-Ho Chi Minh City to conduct this project. We thank Vietnam Meteorological and Hydrological Administration for providing hydrological records. Due to data policy from water agencies of Vietnam, streamflow data underlying this investigation cannot be redistributed. The authors also wish to thank two anonymous reviewers for their constructive comments and suggestions.</t>
  </si>
  <si>
    <t>10.15625/2615-9783/16980</t>
  </si>
  <si>
    <t>WOS:000810866600001</t>
  </si>
  <si>
    <t>Arjasakusuma, Sanjiwana; Yamaguchi, Yasushi; Hirano, Yasuhiro; Zhou, Xiang</t>
  </si>
  <si>
    <t>Ongoing global warming has triggered extreme climate events of increasing magnitude and frequency. Under this effect, a series of extreme climate events such as drought and increased rainfall during the El Nino Southern Oscillation (ENSO) are expected to be amplified in the coming years. Adequate mapping of regions with climate-sensitive vegetation and its associated time lag is required for appropriate mitigation planning to avoid potential negative ecological impacts towards vegetation. In this study, ENSO and climate indicator time series data, for example, Multivariate ENSO Index (MEI) and Climate Hazards Group InfraRed Precipitation with Stations (CHIRPS) data for rainfall were linked with long-term time series vegetation proxies from remote sensing (RS proxies). ENSO- and rainfall-sensitive areas were identified from each RS proxy using the bivariate Granger test, and the areas identified by multiple RS proxies were taken to identify climate-sensitive regions in Indonesia. Of the biome types in Indonesia, savanna was the most sensitive, with approximately 53% of the total savanna area in Indonesia shown to be sensitive to ENSO and rainfall by two or more RS proxies. Rolling correlation analysis also found that the ENSO effect on the vegetation region after rainfall was positively correlated with the RS proxies with a time lag of +5 months. Therefore, rainfall can be taken as a proxy of the effects of ENSO on the temporal dynamics of sensitive vegetation regions in Indonesia.</t>
  </si>
  <si>
    <t>[Arjasakusuma, Sanjiwana; Yamaguchi, Yasushi; Hirano, Yasuhiro; Zhou, Xiang] Nagoya Univ, Grad Sch Environm Studies, Earth &amp; Environm Syst Lab, Nagoya, Aichi 4648601, Japan; [Arjasakusuma, Sanjiwana] Univ Gadjah Mada, Fac Geog, Geog Informat Sci Dept, Remote Sensing Lab, Yogyakarta 55281, Indonesia</t>
  </si>
  <si>
    <t>Nagoya University; Gadjah Mada University</t>
  </si>
  <si>
    <t>MEXT-Monbukagakusho(Ministry of Education, Culture, Sports, Science and Technology, Japan (MEXT))</t>
  </si>
  <si>
    <t>The authors would like to thank all who freely provided data through their repositories, Robert Parinussa, and Yi Y. Liu who provided access to the VOD data for Indonesia. We thank Karlina Indraswari for kind suggestions on the manuscript, and lastly, we thank MEXT-Monbukagakusho for providing the scholarships to the first author in order to conduct this research.</t>
  </si>
  <si>
    <t>2220-9964</t>
  </si>
  <si>
    <t>ISPRS INT J GEO-INF</t>
  </si>
  <si>
    <t>ISPRS Int. J. Geo-Inf.</t>
  </si>
  <si>
    <t>10.3390/ijgi7030103</t>
  </si>
  <si>
    <t>Computer Science, Information Systems; Geography, Physical; Remote Sensing</t>
  </si>
  <si>
    <t>WOS:000428557700024</t>
  </si>
  <si>
    <t>Tew, Yi Lin; Tan, Mou Leong; Juneng, Liew; Chun, Kwok Pan; bin Hassan, Mohamad Hafiz; bin Osman, Sazali; Samat, Narimah; Chang, Chun Kiat; Kabir, Muhammad Humayun</t>
  </si>
  <si>
    <t>The 2021-2022 flood is one of the most serious flood events in Malaysian history, with approximately 70,000 victims evacuated daily, 54 killed and total losses up to MYR 6.1 billion. From this devastating event, we realized the lack of extreme precipitation and flood inundation information, which is a common problem in tropical regions. Therefore, we developed a Rapid Extreme TRopicAl preCipitation and flood inundation mapping framEwork (RETRACE) by utilizing: (1) a cloud computing platform, the Google Earth Engine (GEE); (2) open-source satellite images from missions such as Global Precipitation Measurement (GPM), Sentinel-1 SAR and Sentinel-2 optical satellites; and (3) flood victim information. The framework was demonstrated with the 2021-2022 Malaysia flood. The preliminary results were satisfactory with an optimal threshold of five for flood inundation mapping using the Sentinel-1 SAR data, as the accuracy of inundated floods was up to 70%. Extreme daily precipitation of up to 230 mm/day was observed and resulted in an inundated area of 77.43 km(2) in Peninsular Malaysia. This framework can act as a useful tool for local authorities and scientists to retrace the extreme precipitation and flood information in a relatively short period for flood management and mitigation strategy development.</t>
  </si>
  <si>
    <t>[Tew, Yi Lin; Tan, Mou Leong; Samat, Narimah] Univ Sains Malaysia, Sch Humanities, Geog Sect, GeoInformat Unit, Gelugor 11800, Pulau Pinang, Malaysia; [Juneng, Liew] Univ Kebangsaan Malaysia, Fac Sci &amp; Technol, Dept Earth Sci &amp; Environm, Bangi 43600, Selangor, Malaysia; [Chun, Kwok Pan] Univ West England, Dept Geog &amp; Environm Management, Bristol BS16 1QY, Avon, England; [bin Hassan, Mohamad Hafiz; bin Osman, Sazali] Natl Flood Forecasting &amp; Warning Ctr, Dept Irrigat &amp; Drainage, Kuala Lumpur 68000, Malaysia; [Chang, Chun Kiat] Univ Sains Malaysia, River Engn &amp; Urban Drainage Res Ctr REDAC, Engn Campus, Nibong Tebal 14300, Pulau Pinang, Malaysia; [Kabir, Muhammad Humayun] Sher E Bangla Agr Univ, Dept Agr Extens &amp; Informat Syst, Dhaka 1207, Bangladesh</t>
  </si>
  <si>
    <t>Universiti Sains Malaysia; Universiti Kebangsaan Malaysia; University of West England; Universiti Sains Malaysia; Sher-e-Bangla Agricultural University (SAU)</t>
  </si>
  <si>
    <t>Ministry of Higher Education Malaysia under the LongTerm Research Grant Scheme Project 2</t>
  </si>
  <si>
    <t>This research was funded by the Ministry of Higher Education Malaysia under the LongTerm Research Grant Scheme Project 2, grant number LRGS/1/2020/UKM-USM/01/6/2, which is under the program of LRGS/1/2020/UKM/01/6.</t>
  </si>
  <si>
    <t>10.3390/ijgi11070378</t>
  </si>
  <si>
    <t>WOS:000832421900001</t>
  </si>
  <si>
    <t>Liang, Ju; Tan, Mou Leong; Hawcroft, Matthew; Catto, Jennifer L.; Hodges, Kevin I.; Haywood, James M.</t>
  </si>
  <si>
    <t>This study investigates the ability of 20 model simulations which contributed to the CMIP6 HighResMIP to simulate precipitation in different monsoon seasons and extreme precipitation events over Peninsular Malaysia. The model experiments utilize common forcing but are run with different horizontal and vertical resolutions. The impact of resolution on the models' abilities to simulate precipitation and associated environmental fields is assessed by comparing multi-model ensembles at different resolutions with three observed precipitation datasets and four climate reanalyses. Model simulations with relatively high horizontal and vertical resolution exhibit better performance in simulating the annual cycle of precipitation and extreme precipitation over Peninsular Malaysia and the coastal regions. Improvements associated with the increase in horizontal and vertical resolutions are also found in the statistical relationship between precipitation and monsoon intensity in different seasons. However, the increase in vertical resolution can lead to a reduction of annual mean precipitation compared to that from the models with low vertical resolutions, associated with an overestimation of moisture divergence and underestimation of lower-tropospheric vertical ascent in the different monsoon seasons. This limits any improvement in the simulation of precipitation in the high vertical resolution experiments, particularly for the Southwest monsoon season.</t>
  </si>
  <si>
    <t>[Liang, Ju; Catto, Jennifer L.; Haywood, James M.] Univ Exeter, Coll Engn Math &amp; Phys Sci, Exeter EX4 4QE, Devon, England; [Tan, Mou Leong] Univ Sains Malaysia, Sch Humanities, Geog Sect, GeoInformat Unit, Usm Pulau Pinang 11800, Malaysia; [Hawcroft, Matthew; Haywood, James M.] Met Off, Exeter EX1 3PB, Devon, England; [Hawcroft, Matthew] Univ Southern Queensland, Toowoomba, Qld 4300, Australia; [Hodges, Kevin I.] Univ Reading, Dept Meteorol, Reading RG6 6ET, Berks, England</t>
  </si>
  <si>
    <t>University of Exeter; Universiti Sains Malaysia; Met Office - UK; University of Southern Queensland; University of Reading</t>
  </si>
  <si>
    <t>Newton Fund of The Natural Environment Research Council: IMpacts of PRecipitation from Extreme StormS--Malaysia (IMPRESS-Malaysia); Ministry of Higher Education Malaysia(Ministry of Education, Malaysia); NERC(UK Research &amp; Innovation (UKRI)Natural Environment Research Council (NERC))</t>
  </si>
  <si>
    <t>This research was supported by the Newton Fund of The Natural Environment Research Council: IMpacts of PRecipitation from Extreme StormS--Malaysia (IMPRESS-Malaysia, grant number: NE/S002707/1), and Ministry of Higher Education Malaysia (Grant Number: 203.PHUMANITI.6780001).</t>
  </si>
  <si>
    <t>9-10</t>
  </si>
  <si>
    <t>10.1007/s00382-021-06033-y</t>
  </si>
  <si>
    <t>WOS:000717903300001</t>
  </si>
  <si>
    <t>Liu, Kin Sik; Chan, Johnny C. L.</t>
  </si>
  <si>
    <t>This study examines the long-term change in the threat of landfalling tropical cyclones (TCs) in East Asia over the period 1975-2020 with a focus on rapidly intensifying (RI) TCs. The increase in the annual number of RI-TCs over the western North Pacific and the northwestward shift of their genesis location lead to an increasing trend in the annual number of landfalling RI-TCs along the coast of East Asia. The annual power dissipation index (PDI), a measure of the destructive potential of RI-TCs at landfall, also shows a significant increasing trend due to increases in the annual frequency and mean landfall intensity of landfalling RI-TCs. The increase in mean landfall intensity is related to a higher lifetime maximum intensity (LMI) and the LMI location of the landfalling RI-TCs being closer to the coast. The increase in the annual PDI of East Asia is mainly associated with landfalling TCs in the southern (the Philippines, South China, and Vietnam) and northern parts (Japan and the Korean Peninsula) of East Asia due to long-term changes in vertical wind shear and TC heat potential. The former leads to a northwestward shift of favorable environments for TC genesis and intensification, resulting in the northwestward shift in the genesis, RI, and LMI locations of RI-TCs. The latter provides more heat energy from the ocean for TC intensification, increasing its chances to undergo RI.</t>
  </si>
  <si>
    <t>[Liu, Kin Sik; Chan, Johnny C. L.] City Univ Hong Kong, Guy Carpenter Asia Pacific Climate Impact Ctr, Sch Energy &amp; Environm, Kowloon, Tat Chee Ave, Hong Kong, Peoples R China</t>
  </si>
  <si>
    <t>City University of Hong Kong</t>
  </si>
  <si>
    <t>Research Grants Council of Hong Kong Grant City</t>
  </si>
  <si>
    <t>This project is supported by the Research Grants Council of Hong Kong Grant City U E-CityU101/16.</t>
  </si>
  <si>
    <t>0256-1530</t>
  </si>
  <si>
    <t>1861-9533</t>
  </si>
  <si>
    <t>ADV ATMOS SCI</t>
  </si>
  <si>
    <t>Adv. Atmos. Sci.</t>
  </si>
  <si>
    <t>10.1007/s00376-021-1126-7</t>
  </si>
  <si>
    <t>WOS:000745498900003</t>
  </si>
  <si>
    <t>Prahadchai, Thanawan; Shin, Yonggwan; Busababodhin, Piyapatr; Park, Jeong-Soo</t>
  </si>
  <si>
    <t>Non-stationarity in heavy rainfall time series is often apparent in the form of trends because of long-term climate changes. We have built non-stationary (NS) models for annual maximum daily (AMP1) and 2-day precipitation (AMP2) data observed between 1984 and 2020 years by 71 stations and between 1960 and 2020 by eight stations over Thailand. The generalized extreme value (GEV) models are used. Totally, 16 time-dependent functions of the location and scale parameters of the GEV model are considered. On each station, a model is selected by using Bayesian and Akaike information criteria among these candidates. The return levels corresponding to some years are calculated and predicted for the future. The stations with the highest return levels are Trad, Samui, and Narathiwat, for both AMP1 and AMP2 data. We found some evidence of increasing (decreasing) trends in maximum precipitation for 22 (10) stations in Thailand, based on NS GEV models.</t>
  </si>
  <si>
    <t>[Prahadchai, Thanawan; Shin, Yonggwan; Park, Jeong-Soo] Chonnam Natl Univ, Dept Math &amp; Stat, Gwangju, South Korea; [Busababodhin, Piyapatr] Mahasarakham Univ, Dept Math, Maha Sarakham, Thailand; [Shin, Yonggwan] Chonnam Natl Univ, Dept Math &amp; Stat, Gwangju 61186, South Korea</t>
  </si>
  <si>
    <t>Chonnam National University; Mahasarakham University; Chonnam National University</t>
  </si>
  <si>
    <t>National Research Foundation of Korea, Grant/Award Number: 5120200913674</t>
  </si>
  <si>
    <t>1530-261X</t>
  </si>
  <si>
    <t>ATMOS SCI LETT</t>
  </si>
  <si>
    <t>Atmos. Sci. Lett.</t>
  </si>
  <si>
    <t>10.1002/asl.1145</t>
  </si>
  <si>
    <t>Geochemistry &amp; Geophysics; Meteorology &amp; Atmospheric Sciences</t>
  </si>
  <si>
    <t>WOS:000898679300001</t>
  </si>
  <si>
    <t>Basconcillo, Joseph; Duran, Ger Anne; Maratas, Shalou-Lea; Moon, Il-Ju; Juanillo, Edna; Cayanan, Esperanza</t>
  </si>
  <si>
    <t>In the advent of the new climate normal period (i.e., 1991-2020), questions are raised on what are the recent changes in the observed Philippine climatology. Here we present evidence that the Philippine climate has become warmer (i.e., increased annual surface temperatures) and wetter (i.e., increased annual rainfall) since the mid-1990s while an abrupt increase in tropical cyclone (TC) activity in the Philippines is detected in the mid-2000s. Such regime changes are mainly attributed with the shift of the Atlantic Multidecadal Oscillation (AMO) to its positive phase since the mid-1990s. A positive AMO enhances the Pacific Walker Circulation where the more intense convection center typically shifts towards the western Pacific - this translates to more rainfall, narrowing diurnal temperature range, warmer sea surface temperatures, and more intense TC activity in the Philippines. However, the recent positive AMO phase is reported as externally and possibly driven by anthropogenic warming rather than it is naturally oscillatory, which likely implies that the detected abrupt regime shifts in the Philippine climate, particularly in increased surface temperatures, are also externally driven. Our findings provide new insights on the long-term trends and variability of the Philippine climate in support of its disaster risk reduction preparedness and seasonal forecasting.</t>
  </si>
  <si>
    <t>[Basconcillo, Joseph; Duran, Ger Anne; Moon, Il-Ju] Jeju Natl Univ, Typhoon Res Ctr, Jeju, South Korea; [Basconcillo, Joseph; Duran, Ger Anne; Maratas, Shalou-Lea; Juanillo, Edna; Cayanan, Esperanza] Philippine Atmospher Geophys &amp; Astron Serv Adm, Dept Sci &amp; Technol, Quezon City, Philippines</t>
  </si>
  <si>
    <t>Jeju National University; Department of Science &amp; Technology (DOST), Philippines</t>
  </si>
  <si>
    <t>Basic Science Research Program through the National Research Foundation of Korea (NRF) - Ministry of Education(National Research Foundation of KoreaMinistry of Education (MOE), Republic of KoreaNational Research Council for Economics, Humanities &amp; Social Sciences, Republic of Korea); Ministry of Oceans and Fisheries; Balik Saliksik Support for New PhD Researchers under the Human Resources Development Program of the Department of Science and Technology (Philippines; PCIEERD-GIA)</t>
  </si>
  <si>
    <t>This research was funded by the Basic Science Research Program through the National Research Foundation of Korea (NRF) funded by the Ministry of Education (2021R1A2C1005287) and through the project entitled Western North Pacific warming and rapid intensification of typhoon funded by the Ministry of Oceans and Fisheries. JQB was supported by the Balik Saliksik Support for New PhD Researchers under the Human Resources Development Program of the Department of Science and Technology (Philippines; PCIEERD-GIA No. 11577).</t>
  </si>
  <si>
    <t>10.1007/s13143-022-00298-x</t>
  </si>
  <si>
    <t>WOS:000869342700003</t>
  </si>
  <si>
    <t>Liang, Shijing; Wang, Dashan; Ziegler, Alan D.; Li, Laurent Z. X.; Zeng, Zhenzhong</t>
  </si>
  <si>
    <t>The sixth assessment report of the IPCC indicates low-to-high confidence in trends of extreme rainfall with regional inconsistency in the tropics, where a key phenomenon causing intra-seasonal variations in weather is the Madden-Julian Oscillation (MJO). It remains unknown how the MJO-induced extreme rainfall and the societal exposure may change in response to global warming and climate mitigation attempts. Here, using eight CMIP6 models that capture the eastward-propagating MJO structure and amplitude, we detect a nearly 60% increase in extreme rainfall over tropical Asia and Australia by the end of the 21st century under the fossil-fueled warming scenario (SSP5-8.5); 84% of this change is associated with MJO-induced extreme rainfall. Extreme rainfall increases are modulated by the warming-induced asymmetric changes in MJO phase characteristics, occurring mostly over the lands with distinct zonal differences. The region that is most likely to be affected includes Malaysia, Indonesia, and northern Australia where 96.68 million people and 9.72 million km(2) of urban areas are exposed to potential danger stemming from extreme rainfall. More than 95% (99%) of the population (urban) exposure can be potentially avoided under the middle of the road development (SSP24.5) scenario, whereby CO2 emissions hover around current levels before starting to fall mid-century.</t>
  </si>
  <si>
    <t>[Liang, Shijing; Wang, Dashan; Zeng, Zhenzhong] Southern Univ Sci &amp; Technol, Sch Environm Sci &amp; Engn, Shenzhen, Peoples R China; [Ziegler, Alan D.] Maejo Univ, Fac Fisheries Technol &amp; Aquat Resources, Chiang Mai, Thailand; [Li, Laurent Z. X.] Sorbonne Univ, Ecole Polytech, Ecole Normale Super, Lab Meteorol Dynam,Ctr Natl Rech Sci, Paris, France</t>
  </si>
  <si>
    <t>Southern University of Science &amp; Technology; Maejo University; Sorbonne Universite; Institut Polytechnique de Paris; Ecole Polytechnique; Centre National de la Recherche Scientifique (CNRS); Universite PSL; Ecole Normale Superieure (ENS)</t>
  </si>
  <si>
    <t>National Natural Science Foundation of China(National Natural Science Foundation of China (NSFC)); Southern University of Science and Technology; China Postdoctoral Science Foundation(China Postdoctoral Science Foundation)</t>
  </si>
  <si>
    <t>This study was supported by the National Natural Science Foundation of China (grants no. 42071022, 42001321), the start-up fund provided by Southern University of Science and Technology (no. 29/Y01296122), and the China Postdoctoral Science Foundation (2021T140292).</t>
  </si>
  <si>
    <t>NATURE PORTFOLIO</t>
  </si>
  <si>
    <t>BERLIN</t>
  </si>
  <si>
    <t>HEIDELBERGER PLATZ 3, BERLIN, 14197, GERMANY</t>
  </si>
  <si>
    <t>2397-3722</t>
  </si>
  <si>
    <t>NPJ CLIM ATMOS SCI</t>
  </si>
  <si>
    <t>npj Clim. Atmos. Sci.</t>
  </si>
  <si>
    <t>AUG 18</t>
  </si>
  <si>
    <t>10.1038/s41612-022-00291-1</t>
  </si>
  <si>
    <t>WOS:000841755500001</t>
  </si>
  <si>
    <t>Razali, Sheriza Mohd; Marin Atucha, Arnaldo Aitor; Nuruddin, Ahmad Ainuddin; Hamid, Hazandy Abdul; Shafri, Helmi Zulhaidi Mohd</t>
  </si>
  <si>
    <t>Natural forest, oil palm and rubber plantations are economically and environmentally important for Peninsular Malaysia. The present study analysed four years of moderate-resolution imaging spectroradiometer (MODIS) surface reflectance data to develop spectral indices of vegetation, water availability and moisture stress for the study area. The indices - the Normalised Difference Vegetation Index, the Normalised Difference Water Index and the Moisture Stress Index - were applied to the three different habitats to monitor drought and develop a Malaysia Southwest Monsoon (M-SWM) classification. By integrating indicators of the Southwest Monsoon, the Standard Precipitation Index, mean precipitation and temperature and spectral indices correlation analysis, M-SWM classification showed greater sensitivity to drought conditions than any of the individual indicators alone. The results also found that July is the driest month; it was the only period classified as 'Very Dry' based on the M-SWM.</t>
  </si>
  <si>
    <t>[Razali, Sheriza Mohd; Nuruddin, Ahmad Ainuddin; Hamid, Hazandy Abdul] Univ Putra Malaysia, Inst Trop Forestry &amp; Forest Prod, Serdang 43400, Malaysia; [Razali, Sheriza Mohd] Univ Murcia, Fac Biol, Murcia, Spain; [Marin Atucha, Arnaldo Aitor] Univ Murcia, Dept Ecol &amp; Hidrol, Murcia, Spain; [Nuruddin, Ahmad Ainuddin; Hamid, Hazandy Abdul] Univ Putra Malaysia, Fac Forestry, Serdang 43400, Malaysia; [Shafri, Helmi Zulhaidi Mohd] Univ Putra Malaysia, Fac Engn, Serdang 43400, Malaysia</t>
  </si>
  <si>
    <t>Universiti Putra Malaysia; University of Murcia; University of Murcia; Universiti Putra Malaysia; Universiti Putra Malaysia</t>
  </si>
  <si>
    <t>Universiti Putra Malaysia; Ministry of Higher Education of Malaysia(Ministry of Education, Malaysia); European Commission(European Union (EU)European Commission Joint Research Centre); University of Murcia, Spain; Universiti Putra Malaysia</t>
  </si>
  <si>
    <t>This study was supported by a Universiti Putra Malaysia Research Grant (RU) [9143600] and also by the Ministry of Higher Education of Malaysia [5524108]. Our appreciation is also extended to the Malaysia Meteorological Department and NIES for sharing their climate data. Finally, we thank Erasmus Mundus for the MOVER program, funded by the European Commission and partnerships between the University of Murcia, Spain and the Universiti Putra Malaysia, for providing the study grant.</t>
  </si>
  <si>
    <t>1449-8596</t>
  </si>
  <si>
    <t>1836-5655</t>
  </si>
  <si>
    <t>J SPAT SCI</t>
  </si>
  <si>
    <t>J. Spat. Sci.</t>
  </si>
  <si>
    <t>JAN 2</t>
  </si>
  <si>
    <t>10.1080/14498596.2015.1084247</t>
  </si>
  <si>
    <t>WOS:000373836100001</t>
  </si>
  <si>
    <t>As-syakur, Abd. Rahman; Adnyana, I. Wayan Sandi; Mahendra, Made Sudiana; Arthana, I. Wayan; Merit, I. Nyoman; Kasa, I. Wayan; Ekayanti, Ni Wayan; Nuarsa, I. Wayan; Sunarta, I. Nyoman</t>
  </si>
  <si>
    <t>Remote sensing data of Tropical Rainfall Measuring Mission (TRMM) Multisatellite Precipitation Analysis for 13 years have been used to observe the spatial patterns relationship of rainfall with El Nino-Southern Oscillation (ENSO) and Indian Ocean Dipole (IOD) over Indonesia. Linear correlation was measured to determine the relationship level by the restriction analysis of seasonal and monthly relationship, while the partial correlation technique was utilized to distinguish the impact of one phenomenon from that of the other. Application of remote sensing data can reveal an interaction of spatial-temporal relationship of rainfall with ENSO and IOD between land and sea. In general, the temporal patterns relationship of rainfall with ENSO confirmed fairly similar temporal patterns between rainfall with IOD, which is high response during JJA (June-July-August) and SON (September-October-November) and unclear response during DJF (December-January-February) and MAM (March-April-May). Spatial patterns relationship of both phenomena with rainfall is high in the southeastern part of Sumatra Island and Java Island during JJA and SON. During the SON season, IOD has a higher relationship level than ENSO in this part. In the spatial-temporal pattern seen, a dynamic movement of the relationship between IOD and ENSO with rainfall in Indonesia is indicated, where the influence of ENSO and IOD started during JJA especially in July in the southwest of Indonesia and ended in the DJF period especially in January in the northeast of Indonesia.</t>
  </si>
  <si>
    <t>[As-syakur, Abd. Rahman; Ekayanti, Ni Wayan] Udayana Univ, Ctr Remote Sensing &amp; Ocean Sci CReSOS, Bali 80232, Indonesia; [As-syakur, Abd. Rahman; Mahendra, Made Sudiana; Nuarsa, I. Wayan] Udayana Univ, Environm Res Ctr PPLH, Bali 80232, Indonesia; [Adnyana, I. Wayan Sandi; Merit, I. Nyoman] Udayana Univ, Fac Agr, Bali 80232, Indonesia; [Arthana, I. Wayan] Udayana Univ, Fac Oceanog, Bali 80232, Indonesia; [Kasa, I. Wayan] Udayana Univ, Fac Sci, Bali 80232, Indonesia; [Ekayanti, Ni Wayan] Tech High Sch Tampaksiring, Dept Phys, Bali, Indonesia; [Sunarta, I. Nyoman] Udayana Univ, Fac Tourism, Bali 80232, Indonesia</t>
  </si>
  <si>
    <t>Universitas Udayana; Universitas Udayana; Universitas Udayana; Universitas Udayana; Universitas Udayana; Universitas Udayana</t>
  </si>
  <si>
    <t>WILEY-BLACKWELL</t>
  </si>
  <si>
    <t>10.1002/joc.3939</t>
  </si>
  <si>
    <t>WOS:000345996500001</t>
  </si>
  <si>
    <t>Jamaluddin, Ahmad Fairudz; Tangang, Fredolin; Chung, Jing Xiang; Juneng, Liew; Sasaki, Hidetaka; Takayabu, Izuru</t>
  </si>
  <si>
    <t>This study aims to provide a basis for understanding the mechanisms of diurnal rainfall variability over Peninsular Malaysia by utilising the Non-Hydrostatic Regional Climate Model (NHRCM). The present day climate simulations at 5km resolution over a period of 20years, from 1st December 1989 to 31st January 2010 were conducted using the six-hourly Japanese re-analysis 55years (JRA-55) data and monthly Centennial in situ Observation Based Estimates (COBE) of sea surface temperature as lateral and lower boundary conditions. Despite some biases, the NHRCM performed reasonably well in simulating diurnal rainfall cycles over Peninsular Malaysia. During inter-monsoon periods, the availability of atmospheric moisture played a major role in modulating afternoon rainfall maxima over the foothills of the Titiwangsa mountain range (FT sub-region). During the southwest monsoon, a lack of atmospheric moisture inhibits the occurrence of convective rainfall over the FT sub-region. The NHRCM was also able to simulate the suppression of the diurnal rainfall cycle over the east coast of Peninsular Malaysia (EC sub-region) and afternoon rainfall maximum over the Peninsular Malaysia inland-valley (IN sub-region) area during the northeast monsoon. Over the EC sub-region, daytime radiational warming of the top of clouds enhanced atmospheric stability, thus reducing afternoon rainfall. On the other hand, night-time radiational cooling from cloud tops decreases atmospheric stability and increases nocturnal rainfall. In the early morning, the rainfall maximum was confined to the EC sub-region due to the retardation of the north-easterly monsoonal wind by the land breeze and orographic blocking. However, in the afternoon, superimposition of the sea breeze on the north-easterly monsoonal wind strengthened the north-easterly wind, thus causing the zone of convection to expand further inland.</t>
  </si>
  <si>
    <t>[Jamaluddin, Ahmad Fairudz; Tangang, Fredolin; Chung, Jing Xiang; Juneng, Liew] Univ Kebangsaan Malaysia, Fac Sci &amp; Technol, Sch Environm &amp; Nat Resource Sci, Bangi 43600, Selangor, Malaysia; [Jamaluddin, Ahmad Fairudz] Malaysian Meteorol Dept, Petaling Jaya 46667, Selangor, Malaysia; [Tangang, Fredolin] Ramkhamhang Univ, Ctr Reg Climate Change &amp; Renewable Energy RU CORE, Bangkok, Thailand; [Sasaki, Hidetaka; Takayabu, Izuru] Meteorol Res Inst, 1-1 Nagamine, Tsukuba, Ibaraki 3050052, Japan</t>
  </si>
  <si>
    <t>Universiti Kebangsaan Malaysia; Ramkhamhaeng University; Meteorological Research Institute - Japan</t>
  </si>
  <si>
    <t>We are grateful to the Malaysian Meteorological Department for providing various meteorological data for the Peninsular Malaysia region. This research is a part of the Program for Risk Information on Climate Change (SOUSEI) under the development of basic technology for risk information on climate change theme. We are grateful to Universiti Kebangsaan Malaysia for providing funding under the ICONIC-2013-001 project.</t>
  </si>
  <si>
    <t>10.1007/s00703-017-0541-x</t>
  </si>
  <si>
    <t>WOS:000450151500001</t>
  </si>
  <si>
    <t>Deshmukh, Chandra S.; Julius, Dony; Desai, Ankur R.; Asyhari, Adibtya; Page, Susan E.; Nardi, Nardi; Susanto, Ari P.; Nurholis, Nurholis; Hendrizal, M.; Kurnianto, Sofyan; Suardiwerianto, Yogi; Salam, Yuandanis W.; Agus, Fahmuddin; Astiani, Dwi; Sabiham, Supiandi; Gauci, Vincent; Evans, Chris D.</t>
  </si>
  <si>
    <t>Tropical peatlands are threatened by climate change and land-use changes, but there remain substantial uncertainties about their present and future role in the global carbon cycle due to limited measurements. Here, we present measurements of carbon dioxide and methane emissions between mid-2017 and mid-2020 as well as nitrous oxide emissions between 2019 and 2020 at two contrasting sites at a coastal peatland in Sumatra, Indonesia. We find that greenhouse-gas emissions from intact peatland increased substantially due to an extreme drought caused by a positive Indian Ocean Dipole phase combined with El Nino. The emission in the degraded site was two times greater than that at the intact site. The smaller emission from the intact peatland suggests that protecting the remaining intact tropical peatlands from degradation offers important climate benefits, avoiding greenhouse-gas emissions of 24 +/- 5 tCO(2)e ha(-1) yr(-1) (average +/- standard deviation) at our study site in Indonesia. During a period of drought, an intact tropical peatland in Indonesia released half the amount of greenhouse gases as was released from a degraded site, according to a direct comparison of eddy covariance measurements at a pair of peatland sites in Sumatra.</t>
  </si>
  <si>
    <t>[Deshmukh, Chandra S.; Julius, Dony; Asyhari, Adibtya; Nardi, Nardi; Susanto, Ari P.; Nurholis, Nurholis; Hendrizal, M.; Kurnianto, Sofyan; Suardiwerianto, Yogi; Salam, Yuandanis W.] Asia Pacific Resources Int Ltd, Pelalawan Regency, Indonesia; [Desai, Ankur R.] Univ Wisconsin, Dept Atmospher &amp; Ocean Sci, Madison, WI USA; [Page, Susan E.] Univ Leicester, Sch Geog Geol &amp; Environm, Ctr Landscape &amp; Climate Res, Leicester, Leics, England; [Agus, Fahmuddin] Indonesian Ctr Agr Land Resources Res &amp; Dev, Bogor, Indonesia; [Astiani, Dwi] Univ Tanjungpura, Fac Forestry, Pontianak, Indonesia; [Sabiham, Supiandi] Inst Pertanian Bogor, Dept Soil Sci &amp; Land Resource, Bogor, Indonesia; [Gauci, Vincent] Univ Birmingham, Sch Geog Earth &amp; Environm Sci, Birmingham Inst Forest Res BIFoR, Birmingham, W Midlands, England; [Evans, Chris D.] Ctr Ecol &amp; Hydrol, Bangor, Gwynedd, Wales</t>
  </si>
  <si>
    <t>University of Wisconsin System; University of Wisconsin Madison; University of Leicester; Universitas Tanjungpura; Bogor Agricultural University; University of Birmingham; UK Centre for Ecology &amp; Hydrology (UKCEH)</t>
  </si>
  <si>
    <t>Asia Pacific Resources International Ltd (APRIL); Riau Ecosystem Restoration (RER)</t>
  </si>
  <si>
    <t>The establishment and operation of the EC towers and associated data collection were funded by Asia Pacific Resources International Ltd (APRIL) and Riau Ecosystem Restoration (RER).</t>
  </si>
  <si>
    <t>1752-0894</t>
  </si>
  <si>
    <t>1752-0908</t>
  </si>
  <si>
    <t>NAT GEOSCI</t>
  </si>
  <si>
    <t>Nat. Geosci.</t>
  </si>
  <si>
    <t>10.1038/s41561-021-00785-2</t>
  </si>
  <si>
    <t>WOS:000669835000002</t>
  </si>
  <si>
    <t>Ojala, Antti E. K.; Nguyen-Van, Huong; Unkel, Ingmar; Nguyen-Thuy, Duong; Nguyen-Dinh, Thai; Do-Trong, Quoc; Sun, Chunqing; Sauer, Peter E.; Schimmelmann, Arndt</t>
  </si>
  <si>
    <t>Vietnam's Central Highlands in Pleiku feature numerous volcanic craters (i.e. maars) formed over 0.2 Ma ago that contain continuous high-resolution lacustrine sediment records extending from the Late Pleistocene through the Holocene. Their evolution and sedimentary proxies are potentially powerful archives for interpretation of East-Asian monsoon variability across Vietnam, as well as for local to regional changes in landcover. The focus of this study is to develop a reliable chronology for the Bien Ho 25-m-long lake sediment sequence in Vietnam's Central Highlands. We present a combined sediment chronology extending back to 55 ka cal BP that is based on Cs-137 surface sediment chronology, paleomagnetic dating, and 47 C-14 dates distributed evenly throughout the sequence. Based on sedimentary facies analysis and a smooth age-depth model based on Cs-137 and C-14 data, we infer a long-term stable rate of sedimentation in Bien Ho lake without unconformities or erosional hiatuses, except for the uppermost section (ca. 100 years) where human activities increase the rate of sedimentation significantly. The Bien Ho sequence thus provides a complete and uninterrupted record of the lake's depositional history. The present contribution is a geochronologic opening salvo for future contributions from Bien Ho lake featuring multi-disciplinary evidence for longer-term paleoclimate and environmental changes.</t>
  </si>
  <si>
    <t>[Ojala, Antti E. K.] Univ Turku, Dept Geog &amp; Geol, FI-20014 Turku, Finland; [Nguyen-Van, Huong; Nguyen-Thuy, Duong; Nguyen-Dinh, Thai; Do-Trong, Quoc] Vietnam Natl Univ, VNU Univ Sci, 334 Nguyen Trai St, Hanoi, Vietnam; [Unkel, Ingmar] Heidelberg Univ, Inst Geog, Neuenheimer Feld 348, D-69120 Heidelberg, Germany; [Sun, Chunqing] Chinese Acad Sci, Inst Geol &amp; Geophys, 19 Beituchengxilu, Beijing 100029, Peoples R China; [Sauer, Peter E.; Schimmelmann, Arndt] Indiana Univ, Dept Earth &amp; Atmospher Sci, 1001 East 10th St, Bloomington, IN 47405 USA</t>
  </si>
  <si>
    <t>University of Turku; Vietnam National University Hanoi; Ruprecht Karls University Heidelberg; Chinese Academy of Sciences; Institute of Geology &amp; Geophysics, CAS; Indiana University System; Indiana University Bloomington</t>
  </si>
  <si>
    <t>Vietnam National Foundation for Science and Technology Development (NAFOSTED)(National Foundation for Science &amp; Technology Development (NAFOSTED)); NSF(National Science Foundation (NSF))</t>
  </si>
  <si>
    <t>The content of this manuscript is based upon work supported by the Vietnam National Foundation for Science and Technology Development (NAFOSTED) grant number 105.99-2018.316 (H.N.). The manuscript benefited from H.N.s Fulbright Visiting Scholars Program at the Indiana University in 2021 and NSF-supported training at the LacCore/CSD Facility at the University of Minnesota in 2017, as well as continuing analytical support from LacCore. We are indebted to Jan P. Schimmelmann, Kelsey E. Doiron, Nguyen T. Hong, Nguyen T. Duong, Phan T. Tung, Dang X. Tung, Dao T. Hoan, Nung V. Minh, and Nguyen T. A. Nguyet for assistance during fieldwork and in the laboratory. This article is dedicated to the memory of our colleague Phan T. Tung who passed away.</t>
  </si>
  <si>
    <t>ELSEVIER SCI LTD</t>
  </si>
  <si>
    <t>THE BOULEVARD, LANGFORD LANE, KIDLINGTON, OXFORD OX5 1GB, OXON, ENGLAND</t>
  </si>
  <si>
    <t>1871-1014</t>
  </si>
  <si>
    <t>1878-0350</t>
  </si>
  <si>
    <t>QUAT GEOCHRONOL</t>
  </si>
  <si>
    <t>Quat. Geochronol.</t>
  </si>
  <si>
    <t>10.1016/j.quageo.2023.101443</t>
  </si>
  <si>
    <t>WOS:001021134700001</t>
  </si>
  <si>
    <t>Wang, Xue; Wang, Wei; Zhong, Mianqing; Xu, Xiaoting</t>
  </si>
  <si>
    <t>Land cover in tropical marine climate zones is important for global climate change. The existing analysis of land cover product consistency mainly focuses on a continental or national scale and rarely takes different geographical zones (such as tropical marine climate zones) as examples to carry out micro-interpretation from the perspective of ecology from the grid scale. In fact, some types of land cover under different zones have poor accuracy due to the standard of cognition and the complexity of the spatial pattern of ground objects. In addition, land cover and its change in tropical Marine climate zones will affect the greenhouse effect, energy balance, water transport, and so on, thus affecting climate change on a regional or even global scale. Therefore, this article presents an evaluation based on GLOBCOVER, CCI LC, and MCD12Q1 data using Malaysia as a case study, through area composition similarity, field sample point validation, and landscape indices. The results showed that (1) the area correlation coefficient between GLOBCOVER and CCI LC is the highest at 0.998. (2) The CCI LC had the highest OA and kappa coefficient of 59.01% and 0.4957, while the GLOBCOVER product had the lowest OA and kappa coefficient of 49.24% and 0.3614, respectively. (3) The consistency of the water landscape index is high between the CCI LC and GLOBCOVE data, the consistency of the artificial surfaces landscape index is high between the CCI LC and MCD12Q1 products, and the consistency of the grassland/shrubland landscape index is high between the GLOBCOVE and MCD12Q1 products. The results of microscopic landscape patterns show that the three product landscape patterns are generally more consistent in East Malaysia than in West Malaysia. The low accuracy of grassland, bareland, and shrubland is the key reason for the wide variation in landscape patterns between the three products.</t>
  </si>
  <si>
    <t>[Wang, Xue; Xu, Xiaoting] Xianyang Normal Univ, Sch Geog &amp; Environm, Xianyang 712099, Shaanxi, Peoples R China; [Wang, Wei] Guohua Shenmu New Energy Co Ltd, Xian 719313, Peoples R China; [Zhong, Mianqing] Aerial Photogrammetry &amp; Remote Sensing Bur ARSC, Xian 710199, Shaanxi, Peoples R China</t>
  </si>
  <si>
    <t>Xianyang Normal University</t>
  </si>
  <si>
    <t>Shaanxi (University) Key Research Bases in Philosophy and Social Sciences Project</t>
  </si>
  <si>
    <t>Acknowledgments This study was supported by the Shaanxi (University) Key Research Bases in Philosophy and Social Sciences Project (20JZ098).</t>
  </si>
  <si>
    <t>DE GRUYTER POLAND SP Z O O</t>
  </si>
  <si>
    <t>WARSAW</t>
  </si>
  <si>
    <t>BOGUMILA ZUGA 32A STR, 01-811 WARSAW, MAZOVIA, POLAND</t>
  </si>
  <si>
    <t>2391-5447</t>
  </si>
  <si>
    <t>OPEN GEOSCI</t>
  </si>
  <si>
    <t>Open Geosci.</t>
  </si>
  <si>
    <t>JUN 12</t>
  </si>
  <si>
    <t>10.1515/geo-2022-0499</t>
  </si>
  <si>
    <t>WOS:001005452500001</t>
  </si>
  <si>
    <t>Cruz, Faye T.; Sasaki, Hidetaka; Narisma, Gemma T.</t>
  </si>
  <si>
    <t>Regional climate models have been useful in climate studies and in downscaling climate projections from global climate models, especially for areas characterized by complex topography and coastline features, such as the Philippines. However, several factors may affect model skill, such as uncertainties related to the boundary conditions and model configuration. This study evaluates the performance of the non-hydrostatic regional climate model (NHRCM) over the Philippines. Present-day climate simulations at 50 km resolution are conducted using two sets of boundary conditions (ECMWF ERA-Interim and the NCEP/NCAR Reanalysis Project NNRP1), as well as two convective parameterization schemes in the model (Grell and Kain-Fritsch). Results show that the seasonal changes in the spatial distribution of temperature, rainfall, and winds over the Philippines are simulated reasonably well. NHRCM has an overall cold and dry bias over land, the degree of which depends on the boundary condition and the convective scheme used. After adjusting the simulated temperature because of the difference in topography, the temperature differs from that observed by -0.90 degrees C to -0.42 degrees C on average. The rainfall bias in NHRCM ranges from -62.13 % to -25.20 %. Regardless of the boundary condition, the Grell scheme results in the lowest temperature bias with high skill scores, while the Kain-Fritsch scheme gives the lowest rainfall bias with high correlation and skill scores. The boundary conditions also influence model skill, such that the model bias is lower for temperature when ERA-Interim is used, but lower for rainfall with NNRP1. NHRCM represents the seasonal cycles of temperature and rainfall for all regions, but tends to generate more occurrences of cold and dry months. Improvements in the model are still possible, but these results indicate the potential of the model to be used for providing essential information for describing historical and future changes in the Philippine climate.</t>
  </si>
  <si>
    <t>[Cruz, Faye T.; Narisma, Gemma T.] Ateneo Manila Univ Campus, Manila Observ, Quezon City 1108, Philippines; [Sasaki, Hidetaka] Meteorol Res Inst, Atmospher Environm &amp; Appl Meteorol Res Dept, 1-1 Nagamine, Tsukuba, Ibaraki 305, Japan; [Narisma, Gemma T.] Ateneo Manila Univ, Dept Phys, Atmospher Sci Program, Quezon City, Philippines</t>
  </si>
  <si>
    <t>Meteorological Research Institute - Japan; Ateneo de Manila University</t>
  </si>
  <si>
    <t>SOUSEI program of the Ministry of Education, Culture, Sports, Science and Technology of Japan</t>
  </si>
  <si>
    <t>This work was partly supported by SOUSEI program of the Ministry of Education, Culture, Sports, Science and Technology of Japan. The authors are grateful for the helpful advice and comments from the editors and anonymous reviewers. The authors also thank Dr. Izuru Takayabu for his support on this work, and Dr. Akihiko Murata for his advice.</t>
  </si>
  <si>
    <t>10.2151/jmsj.2015-059</t>
  </si>
  <si>
    <t>WOS:000370028800012</t>
  </si>
  <si>
    <t>Villafuerte, Marcelino Q., II; Macadam, Ian; Daron, Joseph; Katzfey, Jack; Cinco, Thelma A.; Ares, Emma D.; Jones, Richard G.</t>
  </si>
  <si>
    <t>To help meet increasing demands for high-resolution climate change projections in the Philippines, this study provides the results of multiple dynamically downscaled climate model simulations for projected changes in rainfall and temperature over the country by the mid-21st century (2036-2065) relative to the baseline period (1971-2000), under the RCP8.5 scenario. The model-simulated seasonal means of temperature, rainfall, and low-level wind patterns were first compared with observations during the baseline period. Comparisons made between the model-derived and APHRODITE observation-based gridded temperature and rainfall data indicate that the dynamically downscaled simulations provide an overall improvement from their driving global climate models in capturing the spatial patterns of rainfall over the country, and the spatial and temporal characteristics of the country's mean temperature. Future climate projections show that the country's climate is expected to become warmer by the mid-21st century, with a multi-model ensemble mean increase of 1.2 to 1.9 degrees C, relative to the baseline period, projected for many parts of the country and across most seasons. Slightly higher increases are projected during the country's hottest season, March-April-May. However, there are large differences in the models' projected rainfall changes by the mid-21st century across seasons and regions. For most parts of the country, the multi-model ensemble includes simulations that show increases and simulations that show decreases in rainfall. Nevertheless, there is a tendency of model projections towards wetter conditions over northern and central sections of the country (particularly in the December-January-February season) and drier conditions in the southern region of the country in almost all seasons. The results demonstrate the need for communities in the Philippines to adapt to a future warmer climate and prepare for a range of possible future changes in rainfall and temperature.</t>
  </si>
  <si>
    <t>[Villafuerte, Marcelino Q., II; Cinco, Thelma A.; Ares, Emma D.] Philippine Atmospher Geophys &amp; Astron Serv Adm, Dept Sci &amp; Technol, Agham Rd, Quezon City, Philippines; [Macadam, Ian] Univ New South Wales, ARC Ctr Excellence Climate Extremes, Sydney, NSW, Australia; [Macadam, Ian] Univ New South Wales, Climate Change Res Ctr, Sydney, NSW, Australia; [Daron, Joseph] Met Off, Exeter, Devon, England; [Katzfey, Jack] CSIRO, Aspendale, Vic, Australia</t>
  </si>
  <si>
    <t>Department of Science &amp; Technology (DOST), Philippines; University of New South Wales Sydney; University of New South Wales Sydney; Met Office - UK; Commonwealth Scientific &amp; Industrial Research Organisation (CSIRO)</t>
  </si>
  <si>
    <t>UK-DFID</t>
  </si>
  <si>
    <t>We acknowledge the World Climate Research Programme's Working Group on Coupled Modelling, which is responsible for CMIP, and we thank the climate modelling groups for producing and making available their model outputs. For CMIP the U.S. Department of Energy's Program for Climate Model Diagnosis and Intercomparison provides coordinating support and led development of software infrastructure in partnership with the Global Organisation for Earth System Science Portals. We would also like to express our gratitude to the Abdus Salam International Centre for Theoretical Physics for providing the RegCM4 and preparing the boundary conditions needed in the RegCM4 simulations, the UK Met Office (with UK-DFID funding) for providing assistance in using PRECIS and for hosting the HadGEM3-RA simulations, and CSIRO for extending help in using CCAM and providing CCAM runs used in Vietnam. We highly appreciate the constructive criticisms provided by the anonymous Reviewers and the ample time extended to us by the Editor that allowed us to significantly improve this article.</t>
  </si>
  <si>
    <t>10.1002/joc.6301</t>
  </si>
  <si>
    <t>WOS:000488364400001</t>
  </si>
  <si>
    <t>Benhamrouche, Aziz; Martin-Vide, Javier; Quoc Bao Pham; Kouachi, Mostefa E.; Carmen Moreno-Garcia, M.</t>
  </si>
  <si>
    <t>Empirical frequency distribution of daily precipitation amounts can be fitted by a negative exponential distribution, because anywhere there are many small daily totals and few large ones. Therefore, the cumulative percentages of days with precipitation, sorted in increasing order according to their amounts, against the cumulative percentage of the rainfall amounts that they contribute are fitted by positive exponential curves Y = aXe(bx), a and b constants. Based on these curves, the Concentration Index (CI) evaluates the contribution of the rainiest days to the total amount. In this study the CI has been calculated for 15 meteorological stations in Da Nang city and Quang Nam province in Central Coast Vietnam, for the 1979-2016 period. The results show high values of CI, ranging from 0.62 to 0.72. Conversely, the linear correlation between altitude and CI is negative (R = -0.60, p &lt; 0.01). There are no correlations between the latitude nor the annual mean number of precipitation days and the CI. CI change for the sub-periods of 1979-1997 and 1998-2016 is also analyzed.</t>
  </si>
  <si>
    <t>[Benhamrouche, Aziz; Kouachi, Mostefa E.] Ferhat Abbas Setif 1 Univ, Dept Earth Sci, Setif, Algeria; [Benhamrouche, Aziz; Martin-Vide, Javier; Carmen Moreno-Garcia, M.] Univ Barcelona, Grp Climatol, Montalegre 6, Barcelona 08001, Spain; [Quoc Bao Pham] Thu Dau Mot Univ, Inst Appl Technol, Thu Dau Mot, Binh Duong Prov, Vietnam</t>
  </si>
  <si>
    <t>University of Barcelona; Thu Dau Mot University</t>
  </si>
  <si>
    <t>Spanish Ministry(Spanish Government); Climatology Group</t>
  </si>
  <si>
    <t>We wish to acknowledge the support received from the Spanish Ministry project CLICES CGL2017-83866-C3-2-R and Climatology Group 2017 SGR 1362. We appreciate the interest in our research shown by the Water Research Institute of the University of Barcelona and the Royal Academy of Science and Arts of Barcelona.</t>
  </si>
  <si>
    <t>10.1007/s00704-021-03804-9</t>
  </si>
  <si>
    <t>WOS:000706929400002</t>
  </si>
  <si>
    <t>Ng, Cia Yik; Jaafar, Wan Zurina Wan; Mei, Yiwen; Othman, Faridah; Lai, Sai Hin; Liew, Juneng</t>
  </si>
  <si>
    <t>The rise of global surface temperature due to warming climate is expected to increase the intensity and occurrence of extreme precipitation events. Previous studies in Southeast Asia revealed complex variations in changes of precipitation extremes. This study presents a spatial-temporal analysis on changes of precipitation extremes in Peninsular Malaysia by utilizing long-term daily rainfall records at 64 observed stations during 1989-2018. The modified Mann-Kendall and Sen's slope tests were performed to detect the significance and magnitude of trends in eight extreme precipitation indices recommended by the Expert Team on Climate Change Detection and Indices. Statistically significant increasing trends are observed for four of these extreme indices in the annual assessment. Spatial analysis demonstrates an obvious contrast between wet and dry regions in patterns of precipitation extremes. Seasonal analysis reveals the intensity and frequency of wet extremes are enhanced significantly during the northeast monsoon season. Significant correlations are found between precipitation extremes and El Nino-Southern Oscillation, particularly in the northern, eastern and southwest regions. Collectively, the evidence presented suggests that the occurrence of precipitation extremes in Peninsular Malaysia tends to be more frequent and intense over the year and is closely associated with the combined effects of tropical monsoon cycles and El Nino-Southern Oscillation.</t>
  </si>
  <si>
    <t>[Ng, Cia Yik; Jaafar, Wan Zurina Wan; Othman, Faridah; Lai, Sai Hin] Univ Malaya, Fac Engn, Dept Civil Engn, Kuala Lumpur 50603, Malaysia; [Mei, Yiwen] Univ Michigan, Sch Environm &amp; Sustainabil, Ann Arbor, MI 48109 USA; [Liew, Juneng] Univ Kebangsaan Malaysia, Fac Sci &amp; Technol, Ctr Earth Sci &amp; Environm, Bangi, Malaysia</t>
  </si>
  <si>
    <t>Universiti Malaya; University of Michigan System; University of Michigan; Universiti Kebangsaan Malaysia</t>
  </si>
  <si>
    <t>Ministry of Higher Education Malaysia(Ministry of Education, Malaysia)</t>
  </si>
  <si>
    <t>Ministry of Higher Education Malaysia, Grant/Award Number: FRGS/1/2018/TK01/UM/02/3</t>
  </si>
  <si>
    <t>DEC 15</t>
  </si>
  <si>
    <t>10.1002/joc.7684</t>
  </si>
  <si>
    <t>WOS:000795654100001</t>
  </si>
  <si>
    <t>This paper focuses on analyzing the monthly averaged sea surface chlorophyll_a concentration data for 16 years (Jul. 2002 Sep. 2018), a remote sensing data product of the US National Aeronautics and Space Administration (US NASA), the analyzed results have shown that each occurrence of ENSO phenomenon greatly affects the fluctuation of chlorophyll_a concentration in the South Vietnam's coastal waters (SYNC). The monthly averaged chlorophyll_a concentration varies from 0.5 [mg/m(3)] to 1.1 [mg/m(3)] (equivalent to 22.4% 49.3%), while the monthly averaged fluctuation of chlorophyll_a concentration between months is only 0.22 [mg/m(3)] (equivalent to 9.88%). These fluctuations have a great impact on nutritional resources as well as water quality because chlorophyll_a is a pigment in plankton, which is a criterion to assess the rich or poor of nutrition source in seawater. The results of this study are considered as a small piece in the overall picture of the impact of ENSO phenomenon on global climate change.</t>
  </si>
  <si>
    <t>[Vu Van Tac] VAST, Inst Oceanog, Nha Trang, Vietnam</t>
  </si>
  <si>
    <t>Vietnam Academy of Science &amp; Technology (VAST)</t>
  </si>
  <si>
    <t>10.15625/0866-7187/42/1/14759</t>
  </si>
  <si>
    <t>WOS:000530923100005</t>
  </si>
  <si>
    <t>Tangang, Fredolin; Santisirisomboon, Jerasorn; Juneng, Liew; Salimun, Ester; Chung, Jingxiang; Supari, Supari; Cruz, Faye; Sheau Tieh Ngai; Thanh Ngo-Duc; Singhruck, Patama; Narisma, Gemma; Santisirisomboon, Jaruthat; Wongsaree, Waranyu; Promjirapawat, Kamphol; Sukamongkol, Yod; Srisawadwong, Ratchanan; Setsirichok, Damrongrit; Tan Phan-Van; Aldrian, Edvin; Gunawan, Dodo; Nikulin, Grigory; Yang, Hongwei</t>
  </si>
  <si>
    <t>This paper highlights detailed projected changes in rainfall over Thailand for the early (2011-2040), middle (2041-2070) and late (2071-2099) periods of the 21st century under the representative concentration pathways (RCP) 4.5 and RCP 8.5 using the high-resolution multi-model simulations of the Coordinated Regional Climate Downscaling Experiment (CORDEX) Southeast Asia. The ensemble mean is calculated based on seven members consisting of six general circulation models (GCMs) and three regional climate models (RCMs). Generally, the ensemble mean precipitation agrees reasonably well with observations, best represented by the Global Precipitation Climatology Center (GPCC) data, over Thailand during the historical period (1976-2005). However, inter-model variations can be large among ensemble members especially during dry months (December to March) for northern-central-eastern parts, and throughout the year for the southern parts of Thailand. Similarly for future projection periods, inter-model variations in the sign and magnitude of changes exist. The ensemble means of projected changes in rainfall for both RCPs during dry months show distinct contrast between the northern-central-eastern parts and the southern parts of Thailand with generally wetter and drier conditions, respectively. The magnitude of change can be as high as 15% of the historical period, which varies depending on the sub-region, season, projection period, and RCP scenario. In contrast, generally drier conditions are projected during the wet season (June to September) throughout the country for both RCPs where the rainfall reduction can be as high as 10% in some areas. However, the magnitude of projected rainfall changes of some individual models can be much larger than the ensemble means, exceeding 40% in some cases. These projected changes are related to the changes in regional circulations associated with the winter and summer monsoons, which are projected to weaken. The drier (wetter) condition is associated with the enhanced subsidence (rising motion).</t>
  </si>
  <si>
    <t>[Tangang, Fredolin; Juneng, Liew; Salimun, Ester; Chung, Jingxiang; Supari, Supari; Sheau Tieh Ngai] Univ Kebangsaan Malaysia, Fac Sci &amp; Technol, Ctr Earth Sci &amp; Environm, Bangi 43600, Selangor, Malaysia; [Tangang, Fredolin; Santisirisomboon, Jerasorn; Santisirisomboon, Jaruthat; Wongsaree, Waranyu; Promjirapawat, Kamphol; Sukamongkol, Yod; Srisawadwong, Ratchanan; Setsirichok, Damrongrit] Ramkhamhang Univ, Ctr Reg Climate Change &amp; Renewable Energy RU CORE, Bangkok, Thailand; [Supari, Supari; Gunawan, Dodo] Agcy Meteorol Climatol &amp; Geophys BMKG, Ctr Climate Change Informat, Jakarta, Indonesia; [Cruz, Faye; Narisma, Gemma] Manila Observ, Reg Climate Syst Lab, Quezon City, Philippines; [Thanh Ngo-Duc] Univ Sci &amp; Technol Hanoi, Vietnam Acad Sci &amp; Technol, Dept Space &amp; Aeronaut, Hanoi, Vietnam; [Singhruck, Patama] Chulalongkorn Univ, Fac Sci, Dept Marine Sci, Bangkok, Thailand; [Narisma, Gemma] Ateneo Manila Univ, Sch Sci &amp; Engn, Atmospher Sci Program, Phys Dept, Quezon City, Philippines; [Tan Phan-Van] VNU Univ Sci, Dept Meteorol &amp; Climate Change, Hanoi, Vietnam; [Aldrian, Edvin] Agcy Assessment &amp; Applicat Technol BPPT, Jakarta, Indonesia; [Nikulin, Grigory] Swedish Meteorol &amp; Hydrol Inst, Norrkoping, Sweden; [Yang, Hongwei] APEC Climate Ctr APCC, Busan, South Korea</t>
  </si>
  <si>
    <t>Universiti Kebangsaan Malaysia; Ramkhamhaeng University; Indonesian Agency for Meteorology, Climatology &amp; Geophysics; Vietnam Academy of Science &amp; Technology (VAST); University of Science &amp; Technology of Hanoi (USTH); Chulalongkorn University; Ateneo de Manila University; Vietnam National University Hanoi; National Research &amp; Innovation Agency of Indonesia (BRIN); Agency for the Assessment &amp; Application of Technology (BPPT); Swedish Meteorological &amp; Hydrological Institute</t>
  </si>
  <si>
    <t>10.1002/joc.6163</t>
  </si>
  <si>
    <t>WOS:000492898900014</t>
  </si>
  <si>
    <t>Mai Van Khiem; Redmond, Grace; McSweeney, Carol; Tran Thuc</t>
  </si>
  <si>
    <t>This article presents an assessment of the skill of regional climate model PRECIS in simulating seasonal climate over Vietnam. The simulations were conducted at a horizontal resolution of 25kmx25km. The model simulations were forced by the ERA-Interim reanalysis and five members of the Hadley Centre's perturbed physics ensemble (PPE). CRU, APHRODITE, ERA40 datasets and observations recorded at 61 meteorological stations over Vietnam were used to validate the model. The analysis compared seasonal averages of observed and simulated precipitation, temperature, 850hPa wind speed and direction, as well as the 99th percentile of daily precipitation and the 95th and 5th percentile of daily minimum and maximum temperatures. Annual cycles of temperature and precipitation, and the interannual variability of precipitation were also assessed. The reanalysis-driven simulation accurately reproduced most of the important characteristics of the observed spatial patterns and annual cycles of circulation rainfall and temperature as well as capturing key characteristics of interannual variability in rainfall and of extremes in precipitation and temperature. Some apparent systematic cool biases were found most likely to be an artefact of inadequacies in the CRU-gridded temperature observations. The regional model was found to introduce some systematic wet-biases in rainfall. The five GCM driven simulations demonstrated errors with similar characteristics to the ERA-Interim-driven simulations, although with diversity in the magnitude of those errors resulting from the differences in the characteristics of the different members of the HadCM3-based PPE. By assessing the skill of these models at producing realistic baseline simulations, we gain valuable contextual information to guide the application and interpretation of the future projections over Vietnam generated using these models.</t>
  </si>
  <si>
    <t>[Mai Van Khiem; Tran Thuc] Vietnam Inst Meteorol Hydrol &amp; Environm, Hanoi, Vietnam; [Redmond, Grace; McSweeney, Carol] Met Off Hadley Ctr, Exeter, Devon, England</t>
  </si>
  <si>
    <t>Met Office - UK; Hadley Centre</t>
  </si>
  <si>
    <t>United Nations Development Program (UNDP), Vietnam</t>
  </si>
  <si>
    <t>This research was carried out with financial support from the United Nations Development Program (UNDP), Vietnam.</t>
  </si>
  <si>
    <t>10.1002/joc.3851</t>
  </si>
  <si>
    <t>WOS:000337558200025</t>
  </si>
  <si>
    <t>Manh-Hung Le; Lakshmi, Venkataraman; Bolten, John; Duong Du Bui</t>
  </si>
  <si>
    <t>This study evaluates eight Satellite-derived Precipitation Estimate (SPE) datasets, which include uncorrected SPE and gauge-corrected SPE products from Tropical Rainfall Measurement Mission Multi-satellite Precipitation Analysis (TMPA), Global Precipitation Measurement (GPM), Climate Hazards group Infrared Precipitation (CHIRP), and Precipitation Estimation form Remotely Sensed Information using Artificial Neural Networks (PERSIANN). These datasets are utilized with six representative river basins, corresponding to six sub-climate zones in Vietnam, during the period 2002-2017. The evaluations were carried out in two parts: 1) inter-comparison of the SPE products with rain gauges, for the six basins; 2) comparison of streamflow simulations, using the Soil and Water Assessment Tool (SWAT) forced by precipitation from rain gauge and SPE products. The results indicated that the gauge-corrected SPE datasets exhibited slightly better over the uncorrected datasets in comparison with rain gauges, but showed much higher performances as inputs in hydrological simulations. The GPM Integrated Multi-satellitE Retrievals for GPM (IMERG) Final run version 06B (GPM IMERGF-V6) exhibited the best overall performances among SPE products, in comparison with the rain gauges for the simulation of streamflow. This study is the first of its kind to validate GPM IMERG products in Vietnam, indicating the strong capability of the new IMERG retrieval algorithms. The CHIRP with stations (CHIRPS) dataset demonstrates a relatively low bias, could benefit long-term water resources planning for droughts. In monthly streamflow simulations, the SPE-driven simulations outperformed rain gauge-driven simulations in a larger basin (North West Region), which has low rain-gauge density. The results of this study could be a guide to determine the suitability of different SPE products for hydrological simulations.</t>
  </si>
  <si>
    <t>[Manh-Hung Le; Lakshmi, Venkataraman] Univ Virginia, Dept Engn Syst &amp; Environm, Charlottesville, VA 22904 USA; [Bolten, John] NASA, Goddard Space Flight Ctr, Code 916, Greenbelt, MD 20771 USA; [Duong Du Bui] Natl Ctr Water Resources Planning &amp; Invest, Hanoi 100000, Vietnam</t>
  </si>
  <si>
    <t>University of Virginia; National Aeronautics &amp; Space Administration (NASA); NASA Goddard Space Flight Center</t>
  </si>
  <si>
    <t>National Aeronautics and Space Administration (NASA) project; Vingroup Innovation Foundation (VINIF)</t>
  </si>
  <si>
    <t>This research is funded by the National Aeronautics and Space Administration (NASA) project (grant number NNX16AT86G) and Vingroup Innovation Foundation (VINIF) annual research support program (grant number VINIF.2019.DA17). We would like to express our sincere gratitude to the institutions for providing us with the required hydro-meteorological measurements that enabled this study. These include Vietnam Hydrology and Meteorological Administration and National Central for Water Resources Planning and Investigation. Special acknowledgment also goes to NASA, University of CaliforniaSanta Barbara's Climate Hazards Group, and SERVIR-MEKONG for providing easy access to the SPE products and land cover data respectively. We would also like to thank Dr. R Srinivasan and Dr. Yihun Dele (Texas A&amp;M Univ.) for their kind help and fruitful discussion regarding the application of SWAT, and Dr. Vu Manh Quyet (SFRI) for sharing soil map of Vietnam. We also acknowledge Mr. Truong Sinh Do (NAWAPI) for sharing the LS basin (Kycung River) dataset.</t>
  </si>
  <si>
    <t>10.1016/j.jhydrol.2020.124820</t>
  </si>
  <si>
    <t>WOS:000544258100013</t>
  </si>
  <si>
    <t>Lwin, Aung; Yang, Dongkai; Hong, Xuebao; Zhang, Bo; Zhang, Baoyin; Sara, Cheraghi Shamsabadi</t>
  </si>
  <si>
    <t>The climate crisis is happening globally, and the consequent process has revealed soil evolution and meteorological interactions. The GNSS reflectometry (GNSS-R) technique recently encompassed sea surface monitoring, land changes, and snow sensing in addition to position, navigation, and timing. After the launch of NASA's eight CYGNSS satellites, spaceborne soil moisture retrieval has become more opportune in a global and regional investigation. The research carried out by the CYGNSS DDM SNR with SMAP data to correlate diurnal mean soil moisture sensing was analyzed in the regional study of Myanmar, which is prone to climatic and weather conditions. The results showed that spaceborne GNSS-R soil moisture sensitivity was very useful during seasonal changes in regional observation. The DDM SNR surface reflectivity was strongly correlated with soil moisture according to surface temperature variations prepared from SMAP passive reflectometry. Sentinel SAR-1 data included the validation and verification of flood-prone areas affected by tropical storm surges or weather depressions in the monsoon season. The availability of surface reflectivity primarily relied on the surface roughness, surface temperature, and vegetation opacity for soil moisture retrieval.</t>
  </si>
  <si>
    <t>[Lwin, Aung; Yang, Dongkai; Hong, Xuebao; Zhang, Bo; Zhang, Baoyin; Sara, Cheraghi Shamsabadi] Beihang Univ, Sch Elect &amp; Informat Engn, Beijing 100191, Peoples R China; [Lwin, Aung] Yangon Technol Univ, Remote Sensing &amp; GIS Res Ctr, Yangon 11101, Myanmar</t>
  </si>
  <si>
    <t>Beihang University</t>
  </si>
  <si>
    <t>Taishan Industry Leading Talents of Shandong Province, China</t>
  </si>
  <si>
    <t>This research was funded by Taishan Industry Leading Talents of Shandong Province, China (Grant No. lzbz2016190).</t>
  </si>
  <si>
    <t>10.3390/cli9120175</t>
  </si>
  <si>
    <t>WOS:000736138600001</t>
  </si>
  <si>
    <t>Kossin, James P.; Emanuel, Kerry A.; Camargo, Suzana J.</t>
  </si>
  <si>
    <t>The average latitude where tropical cyclones (TCs) reach their peak intensity has been observed to be shifting poleward in some regions over the past 30 years, apparently in concert with the independently observed expansion of the tropical belt. This poleward migration is particularly well observed and robust in the western North Pacific Ocean (WNP). Such a migration is expected to cause systematic changes, both increases and decreases, in regional hazard exposure and risk, particularly if it persists through the present century. Here, it is shown that the past poleward migration in the WNP has coincided with decreased TC exposure in the region of the Philippine and South China Seas, including the Marianas, the Philippines, Vietnam, and southern China, and increased exposure in the region of the East China Sea, including Japan and its Ryukyu Islands, the Korea Peninsula, and parts of eastern China. Additionally, it is shown that projections of WNP TCs simulated by, and downscaled from, an ensemble of numerical models from phase 5 of the Coupled Model Intercomparison Project (CMIP5) demonstrate a continuing poleward migration into the present century following the emissions projections of the representative concentration pathway 8.5 (RCP8.5). The projected migration causes a shift in regional TC exposure that is very similar in pattern and relative amplitude to the past observed shift. In terms of regional differences in vulnerability and resilience based on past TC exposure, the potential ramifications of these future changes are significant. Questions of attribution for the changes are discussed in terms of tropical belt expansion and Pacific decadal sea surface temperature variability.</t>
  </si>
  <si>
    <t>[Kossin, James P.] NOAA, Natl Ctr Environm Informat, Asheville, NC USA; [Emanuel, Kerry A.] MIT, 77 Massachusetts Ave, Cambridge, MA 02139 USA; [Camargo, Suzana J.] Columbia Univ, Lamont Doherty Earth Observ, Palisades, NY USA</t>
  </si>
  <si>
    <t>National Oceanic Atmospheric Admin (NOAA) - USA; Massachusetts Institute of Technology (MIT); Columbia University</t>
  </si>
  <si>
    <t>National Oceanic and Atmospheric Administration National Centers for Environmental Information (NOAA/NCEI); National Science Foundation(National Science Foundation (NSF)); Office of Naval Research(United States Department of DefenseUnited States NavyOffice of Naval Research); NOAA(National Oceanic Atmospheric Admin (NOAA) - USA); Directorate For Geosciences; Div Atmospheric &amp; Geospace Sciences(National Science Foundation (NSF)NSF - Directorate for Geosciences (GEO)); Div Atmospheric &amp; Geospace Sciences; Directorate For Geosciences(National Science Foundation (NSF)NSF - Directorate for Geosciences (GEO))</t>
  </si>
  <si>
    <t>JPK is supported by the National Oceanic and Atmospheric Administration National Centers for Environmental Information (NOAA/NCEI). KAE acknowledges support from National Science Foundation Grant 1461517 and Office of Naval Research Grant N000140910526. SJC acknowledges support from NOAA Grant NA110AR4310093 and National Science Foundation Grant AGS-1143959.</t>
  </si>
  <si>
    <t>10.1175/JCLI-D-16-0076.1</t>
  </si>
  <si>
    <t>WOS:000381220800003</t>
  </si>
  <si>
    <t>Yang, Ruowen; Zeng, Feng; Gui, Shu</t>
  </si>
  <si>
    <t>This study evaluates the historical simulation of surface air temperature (SAT) over the Greater Mekong Subregion (GMS) during the period 1981-2014 with 31 models from Coupled Model Intercomparison Project phase 6 (CMIP6). The CMIP6 multi-model ensemble shows a weaker SAT growth trend than the reanalysis data in all seasons. The SAT increase is underestimated mostly in winter, by around 0.2 degrees C/decade. The simulated SAT climatology shows positive bias over the Gaoligong Mountain in western Yunnan, the Rakhine Mountain in Myanmar, and the Annamite Range in southern Vietnam, and negative bias elsewhere. We make a best-model ensemble to improve the representability of the GMS SAT. The range of SAT interannual variability is underestimated over most parts of GMS in boreal spring, autumn, and winter. In summer, the SAT range bias shows a dipole pattern with negative bias over the northwestern GMS and positive bias over the southeastern GMS. Dynamical diagnosis suggests that the bias in vertical velocity perturbation, manifesting as weakened regional Hadley circulation, is a major contributor to the SAT range bias in summer via vertical advection of mean potential temperature. The bias-corrected projection of the summer SAT is presented for three shared socioeconomic pathways (SSPs). The SAT rising relative to the reference period 1995-2014 tends to be more spatially homogeneous under higher emission scenarios. The range of SAT interannual variability would increase over the northern GMS but decrease over the southern GMS under three SSPs scenarios. This SAT dipole variation is associated with intensified regional Hadley circulation over the GMS. The results also reiterate the urgent need for net zero emission by 2050 to maintain a sustainable environment.</t>
  </si>
  <si>
    <t>[Yang, Ruowen; Zeng, Feng; Gui, Shu] Yunnan Univ, Yunnan Key Lab Meteorol Disasters &amp; Climate Resour, Kunming 650500, Peoples R China; [Yang, Ruowen] Nanjing Univ Informat Sci &amp; Technol, Collaborat Innovat Ctr Forecast &amp; Evaluat Meteorol, Nanjing, Peoples R China</t>
  </si>
  <si>
    <t>Yunnan University; Nanjing University of Information Science &amp; Technology</t>
  </si>
  <si>
    <t>National Natural Science Foundation of China(National Natural Science Foundation of China (NSFC)); Natural Science Foundation of Yunnan Province(Natural Science Foundation of Yunnan Province); Yunnan Science and Technology Department Youth Project</t>
  </si>
  <si>
    <t>This work was supported by the National Natural Science Foundation of China (42030603, 42022035, 41925022, and 42005050, the pro- vincial innovative team of the climate change study of Greater Mekong Subregion (2019HC027) , the Natural Science Foundation of Yunnan Province (2019FY003006) , and Yunnan Science and Technology Department Youth Project (202001BB050014) .</t>
  </si>
  <si>
    <t>JUL 1</t>
  </si>
  <si>
    <t>10.1016/j.atmosres.2023.106757</t>
  </si>
  <si>
    <t>WOS:000984869400001</t>
  </si>
  <si>
    <t>Katzfey, Jack; Kim Nguyen; McGregor, John; Hoffmann, Peter; Ramasamy, Suppiah; Hiep Van Nguyen; Mai Van Khiem; Thang Van Nguyen; Kien Ba Truong; Thang Van Vu; Hien Thuan Nguyen; Tran Thuc; Doan Ha Phong; Bang Thanh Nguyen; Tan Phan-Van; Trung Nguyen-Quang; Thanh Ngo-Duc; Long Trinh-Tuan</t>
  </si>
  <si>
    <t>To assist the government of Vietnam in its efforts to better understand the impacts of climate change and prioritise its adaptation measures, dynamically downscaled climate change projections were produced across Vietnam. Two Regional Climate Models (RCMs) were used: CSIRO's variable-resolution Conformal-Cubic Atmospheric Model (CCAM) and the limited-area model Regional Climate Model system version 4.2 (RegCM4.2). First, global CCAM simulations were completed using bias- and variance-corrected sea surface temperatures as well as sea ice concentrations from six Coupled Model Intercomparison Project Phase 5 (CMIP5) global climate models. This approach is different from other downscaling approaches as it does not use any atmospheric fields from the GCMs. The global CCAM simulations were then further downscaled to 10 km using CCAM and to 20 km using RegCM4.2. Evaluations of temperature and precipitation for the current climate (1980-2000) were completed using station data as well as various gridded observational datasets. The RCMs were able to reproduce reasonably well most of the important characteristics of observed spatial patterns and annual cycles of temperature. Average and minimum temperatures were well simulated (biases generally less than 1oC), while maximum temperatures had biases of around 1oC. For precipitation, although the RCMs captured the annual cycle, RegCM4.2 was too dry in Oct.-Nov. (-60% bias), while CCAM was too wet in Dec.- Mar. (130% bias). Both models were too dry in summer and too wet in winter (especially in northern Vietnam). The ability of the ensemble simulations to capture current climate increases confidence in the simulations of future climate.</t>
  </si>
  <si>
    <t>[Katzfey, Jack; Kim Nguyen; McGregor, John; Hoffmann, Peter; Ramasamy, Suppiah] CSIRO Oceans &amp; Atmosphere, Private Bag 1, Aspendale, Vic, Australia; [Hiep Van Nguyen; Mai Van Khiem; Thang Van Nguyen; Kien Ba Truong; Thang Van Vu; Hien Thuan Nguyen; Tran Thuc; Doan Ha Phong; Bang Thanh Nguyen] Inst Meteorol Hydrol &amp; Climate Change IMHEN, Hanoi, Vietnam; [Tan Phan-Van; Trung Nguyen-Quang; Long Trinh-Tuan] VNU Hanoi Univ Sci, Hanoi, Vietnam; [Hoffmann, Peter] Univ Hamburg, Dept Math, Hamburg, Germany; [Thanh Ngo-Duc] USTH, Hanoi, Vietnam</t>
  </si>
  <si>
    <t>Commonwealth Scientific &amp; Industrial Research Organisation (CSIRO); CSIRO Oceans &amp; Atmosphere; Vietnam National University Hanoi; University of Hamburg; Vietnam Academy of Science &amp; Technology (VAST); University of Science &amp; Technology of Hanoi (USTH)</t>
  </si>
  <si>
    <t>Australian Department of Foreign Affairs and Trade (DFAT) under Research for Development Alliance with the Commonwealth Scientific and Industrial Research Organisation (CSIRO)(Australian Government); project Scientific Methodology for Updating Climate Change and Sea Level Rise Scenarios for Vietnam under Vietnam National Target Program</t>
  </si>
  <si>
    <t>We acknowledge the World Climate Research Programme's Working Group on Coupled Modelling, which is responsible for CMIP, and we thank the climate modelling groups for producing and making available their model output. For CMIP the U.S. Department of Energy's Program for Climate Model Diagnosis and Intercomparison provided coordinating support and led development of software infrastructure in partnership with the Global Organization for Earth System Science Portals. We also wish to acknowledge the critical comments from anonymous reviewers and the editor. The High-resolution Climate Projections for Vietnam (HCPV) project was funded by the Australian Department of Foreign Affairs and Trade (DFAT) under its Research for Development Alliance with the Commonwealth Scientific and Industrial Research Organisation (CSIRO). This work is also partially supported by the project Scientific Methodology for Updating Climate Change and Sea Level Rise Scenarios for Vietnam, No BDKH43/ KHCN - BDKH/11-15 under the Vietnam National Target Program to Respond to Climate Change.</t>
  </si>
  <si>
    <t>10.1007/s13143-016-0011-2</t>
  </si>
  <si>
    <t>WOS:000376934700003</t>
  </si>
  <si>
    <t>Yonekura, Emmi; Hall, Timothy M.</t>
  </si>
  <si>
    <t>Improvements on a statistical tropical cyclone (TC) track model in the western North Pacific Ocean are described. The goal of the model is to study the effect of El Nino-Southern Oscillation (ENSO) on East Asian TC landfall. The model is based on the International Best-Track Archive for Climate Stewardship (IBTrACS) database of TC observations for 1945-2007 and employs local regression of TC formation rates and track increments on the Nino-3.4 index and seasonally varying climate parameters. The main improvements are the inclusion of ENSO dependence in the track propagation and accounting for seasonality in both genesis and tracks. A comparison of simulations of the 1945-2007 period with observations concludes that the model updates improve the skill of this model in simulating TCs. Changes in TC genesis and tracks are analyzed separately and cumulatively in simulations of stationary extreme ENSO states. ENSO effects on regional (100-km scale) landfall are attributed to changes in genesis and tracks. The effect of ENSO on genesis is predominantly a shift in genesis location from the southeast in El Nino years to the northwest in La Nina years, resulting in higher landfall rates for the East Asian coast during La Nina. The effect of ENSO on track propagation varies seasonally and spatially. In the peak activity season (July-October), there are significant changes in mean tracks with ENSO. Landfall-rate changes from genesis- and track-ENSO effects in the Philippines cancel out, while coastal segments of Vietnam, China, the Korean Peninsula, and Japan show enhanced La Nina-year increases.</t>
  </si>
  <si>
    <t>[Yonekura, Emmi] Columbia Univ, Dept Earth &amp; Environm Sci, New York, NY 10025 USA; [Hall, Timothy M.] NASA, Goddard Inst Space Studies, New York, NY 10025 USA</t>
  </si>
  <si>
    <t>Columbia University; National Aeronautics &amp; Space Administration (NASA); NASA Goddard Space Flight Center; Goddard Institute for Space Studies</t>
  </si>
  <si>
    <t>NASA Applied Sciences program(National Aeronautics &amp; Space Administration (NASA))</t>
  </si>
  <si>
    <t>This work was supported in part by a grant from the NASA Applied Sciences program. We thank Phil Klotzbach and two anonymous reviewers for their helpful comments on this work.</t>
  </si>
  <si>
    <t>10.1175/JAMC-D-12-0240.1</t>
  </si>
  <si>
    <t>WOS:000336448000014</t>
  </si>
  <si>
    <t>Tan, Mou Leong; Chua, Vivien P.; Tan, Kok Chooi; Brindha, K.</t>
  </si>
  <si>
    <t>Satellite and reanalysis precipitation products can be potentially used for monitoring and analysing drought patterns in tropical regions. In this study, Tropical Measuring Mission Multisatellite Precipitation Analysis monthly product (3B43) and the product from National Centers for Environmental Prediction Climate Forecast System Reanalysis (NCEP-CFSR) are analysed for precipitation estimation and drought assessment over Singapore. The evaluation is conducted by comparing the field observations from 22 precipitation gauges from 1998 to 2014. The Standardized Precipitation Index recommended by the World Meteorological Organization was used for the drought assessment. Results show that 3B43 performed better in monthly, seasonal, and annual precipitation estimations compared to NCEP-CFSR. Both products show an underestimation of monthly and annual precipitation. Similarly, 3B43 also outperformed NCEP-CFSR in drought monitoring over Singapore. The 3B43 product successfully detected major droughts that occurred in 2005, 2009, and 2014. Nevertheless, 3B43 reported a higher drought intensity compared to gauge measurements in recent drought events. Application of the NCEP-CFSR in drought monitoring is not recommended due to the low correlations with gauge measurements. In addition, NCEP-CFSR is unable to detect the major drought events correctly, except for the 2009 drought. This study serves as a reference for satellite algorithm and drought index designers to develop better products in the future.</t>
  </si>
  <si>
    <t>[Tan, Mou Leong] Univ Sains Malaysia, Sch Humanities, Geog Sect, George Town 11800, Malaysia; [Tan, Mou Leong; Chua, Vivien P.; Brindha, K.] Natl Univ Singapore, Dept Civil &amp; Environm Engn, Singapore 117576, Singapore; [Tan, Kok Chooi] Univ Sains Malaysia, Sch Phys, George Town, Malaysia</t>
  </si>
  <si>
    <t>Universiti Sains Malaysia; National University of Singapore; Universiti Sains Malaysia</t>
  </si>
  <si>
    <t>Ministry of Education, Singapore [Tier 2](Ministry of Education, Singapore)</t>
  </si>
  <si>
    <t>This work was supported by the Ministry of Education, Singapore [Tier 2 grant no: 2013-T2-2-027].</t>
  </si>
  <si>
    <t>10.1080/01431161.2018.1425566</t>
  </si>
  <si>
    <t>WOS:000424236900002</t>
  </si>
  <si>
    <t>Supari; Tangang, Fredolin; Juneng, Liew; Aldrian, Edvin</t>
  </si>
  <si>
    <t>This paper documents the changes in climate extremes over Indonesia during the past three decades (1983-2012) based on a subset of extreme indices recommended by the Expert Team on Climate Change Detection and Indices (ETCCDI). The extreme indices were calculated based on the quality controlled daily observational data (minimum and maximum temperature and precipitation) from 88 weather stations. Overall, we found significant and spatially coherent trends of warming in the temperature indices over Indonesia, consistent with other studies conducted at different countries within the Southeast Asia. The frequency of cool days (TX10p) and cools nights (TN10p) had decreased whereas warm days (TX90p) and warm nights (TN90p) were observed more frequently. Averaged over the country, the annual mean of daily maximum (TXmean) and minimum temperature (TNmean) had increased significantly by 0.18 and 0.30 degrees Cdecade(-1), respectively. Other temperature indices also showed significant warming trends. In contrast, trends in the precipitation extremes indices were generally not significant and less spatially coherent. However, a tendency towards wetter conditions was observed, in agreement with the results at the global scale. The daily precipitation intensity (SDII) had increased significantly over the country by 0.21mmday(-1)decade(-1) during the period studied. At the regional scale, we observed a significant wetting trend in the annual highest daily amount (RX1day) and the rainfall amount contributed by the extremely very wet days (R99p) in the northern part of the country. The wetting trends of a number of extreme precipitation indices were depicted prominently in December-January-February (DJF) and/or March-April-May (MAM) seasons, both at country and regional levels. However, for the southern region of Indonesia, a drying tendency was observed for June-July-August (JJA), September-October-November (SON) and MAM.</t>
  </si>
  <si>
    <t>[Supari; Tangang, Fredolin; Juneng, Liew] Univ Kebangsaan Malaysia, Sch Environm &amp; Nat Resource Sci, Fac Sci &amp; Technol, Bangi 43600, Selangor, Malaysia; [Supari] Indonesia Agcy Meteorol Climatol &amp; Geophys BMKG, Ctr Appl Climate, Jakarta, Indonesia; [Aldrian, Edvin] Indonesia Agcy Meteorol Climatol &amp; Geophys BMKG, Dept R&amp;D, Jakarta, Indonesia; [Aldrian, Edvin] Indonesia Agcy Assessment &amp; Applicat Technol BPPT, Dept UPTHB, Jakarta, Indonesia</t>
  </si>
  <si>
    <t>Universiti Kebangsaan Malaysia; Indonesian Agency for Meteorology, Climatology &amp; Geophysics; Indonesian Agency for Meteorology, Climatology &amp; Geophysics; National Research &amp; Innovation Agency of Indonesia (BRIN); Agency for the Assessment &amp; Application of Technology (BPPT)</t>
  </si>
  <si>
    <t>Indonesia Endowment Fund for Education (LPDP); Universiti Kebangsaan Malaysia</t>
  </si>
  <si>
    <t>The first author thanks the Indonesia Endowment Fund for Education (LPDP) (S-140/LPDP.3/2014) for providing a scholarship for his PhD program. This research is funded by the Universiti Kebangsaan Malaysia ICONIC-2013-001. This research is also related to the Asia Pacific Network for Global Change Research Grants (ARCP2013-17NMY-Tangang/ST-2013-017, ACRP2014-07CMY-Tangang/ST-2015-003). We thank the two anonymous reviewers for their constructive comments.</t>
  </si>
  <si>
    <t>10.1002/joc.4829</t>
  </si>
  <si>
    <t>WOS:000397497700023</t>
  </si>
  <si>
    <t>Kim, In-Won; Oh, Jaiho; Woo, Sumin; Kripalani, R. H.</t>
  </si>
  <si>
    <t>In this study, a comparison in the precipitation extremes as exhibited by the seven reference datasets is made to ascertain whether the inferences based on these datasets agree or they differ. These seven datasets, roughly grouped in three categories i.e. rain-gauge based (APHRODITE, CPC-UNI), satellite-based (TRMM, GPCP1DD) and reanalysis based (ERA-Interim, MERRA, and JRA55), having a common data period 1998-2007 are considered. Focus is to examine precipitation extremes in the summer monsoon rainfall over South Asia, East Asia and Southeast Asia. Measures of extreme precipitation include the percentile thresholds, frequency of extreme precipitation events and other quantities. Results reveal that the differences in displaying extremes among the datasets are small over South Asia and East Asia but large differences among the datasets are displayed over the Southeast Asian region including the maritime continent. Furthermore, precipitation data appear to be more consistent over East Asia among the seven datasets. Decadal trends in extreme precipitation are consistent with known results over South and East Asia. No trends in extreme precipitation events are exhibited over Southeast Asia. Outputs of the Coupled Model Intercomparison Project Phase 5 (CMIP5) simulation data are categorized as high, medium and low-resolution models. The regions displaying maximum intensity of extreme precipitation appear to be dependent on model resolution. High-resolution models simulate maximum intensity of extreme precipitation over the Indian sub-continent, medium-resolution models over northeast India and South China and the low-resolution models over Bangladesh, Myanmar and Thailand. In summary, there are differences in displaying extreme precipitation statistics among the seven datasets considered here and among the 29 CMIP5 model data outputs.</t>
  </si>
  <si>
    <t>[Kim, In-Won; Oh, Jaiho; Woo, Sumin; Kripalani, R. H.] Pukyong Natl Univ, Dept Environm &amp; Atmospher Sci, 599-1 Daeyeon Dong, Busan, South Korea</t>
  </si>
  <si>
    <t>Pukyong National University</t>
  </si>
  <si>
    <t>Korea Meteorological Administration Research and Development Program(Korea Meteorological Administration (KMA))</t>
  </si>
  <si>
    <t>This work was funded by the Korea Meteorological Administration Research and Development Program under Grant KMIPA 2015-6130, and though the computing resources of the KISTI PLSI Project. Visit of R. H. Kripalani during August-December 2017 was supported under the Grant KMIPA 2015-6130.</t>
  </si>
  <si>
    <t>10.1007/s00382-018-4193-4</t>
  </si>
  <si>
    <t>WOS:000460902200002</t>
  </si>
  <si>
    <t>Owrangi, Amin M.; Lannigan, Robert; Simonovic, Slobodan P.</t>
  </si>
  <si>
    <t>Changes in climatic conditions, together with urban population growth, are making the development of tools to help disaster planners and policy makers select mitigation and adaptation measures a priority. The Coastal Cities at Risk (CCaR) project is a multidisciplinary team project involving four large coastal cities: Manila (The Philippines), Bangkok (Thailand), Lagos (Nigeria) and Vancouver (Canada). One of the project objectives includes development of a system dynamics simulation model to assess the resilience of the participating cities to climate change caused by sea level rise and riverine flooding. The resilience model is designed to integrate physical, economic, health, social and organizational impacts of climate change. This paper presents the methodology for providing spatial and temporal information on climate change health impacts for use in the resilience simulator. Basic population data, disease burden and physical conditions are integrated in the development of a composite health impact map. The output of this mapping exercise provides a more fully integrated view of population health to allow for the development of more targeted adaptive and risk reduction strategies at a local level for the City of Metro Vancouver. This methodology has been applied using data for 3 years, 2001, 2006 and 2011 in order to give a dynamic simulation of health impacts using the resilience simulator. The final maps indicate that the Richmond and Delta regions of Metro Vancouver are more vulnerable to climate change caused by sea level rise and flooding compared to other municipalities. The paper demonstrates how composite health impact maps can be used both as an input for resilience modeling, as well as a stand-alone product for the assessment and development of mitigation and adaptive strategies for coastal cities.</t>
  </si>
  <si>
    <t>[Owrangi, Amin M.; Simonovic, Slobodan P.] Univ Western Ontario, Dept Civil &amp; Environm Engn, London, ON, Canada; [Lannigan, Robert] Univ Western Ontario, Dept Pathol, Schulich Sch Med, London, ON, Canada</t>
  </si>
  <si>
    <t>Western University (University of Western Ontario); Western University (University of Western Ontario)</t>
  </si>
  <si>
    <t>International Development Research Centre (IDRC); Canadian Institutes of Health Research (CIHR)(Canadian Institutes of Health Research (CIHR)); Natural Sciences and Engineering Research Council of Canada (NSERC)(Natural Sciences and Engineering Research Council of Canada (NSERC)); Social Sciences and Humanities Research Council of Canada (SSHRC)(Social Sciences and Humanities Research Council of Canada (SSHRC)CGIAR)</t>
  </si>
  <si>
    <t>The authors would like to acknowledge the financial support made available by the International Development Research Centre (IDRC) together with the Canadian Institutes of Health Research (CIHR), the Natural Sciences and Engineering Research Council of Canada (NSERC) and the Social Sciences and Humanities Research Council of Canada (SSHRC).</t>
  </si>
  <si>
    <t>10.1007/s11069-014-1582-9</t>
  </si>
  <si>
    <t>WOS:000352224900004</t>
  </si>
  <si>
    <t>Ha Dung Hoang; Momtaz, Salim; Schreider, Maria</t>
  </si>
  <si>
    <t>This research explores and assesses the different dimensions of the fishers' perception of climate shocks in the Tam Giang - Cau Hai lagoon, Central Coast of Vietnam. It clarifies the impact of each type of shock on fishery livelihoods through the lens of local fishers. The data were gathered from five fishing villages in two coastal communes of Loc Binh and Huong Phong, Thua Thien Hue province. These included a survey (n = 181 households), six group discussions, and several in-depth interviews with the head of fisheries associations, commune officers, policymakers, re-searchers, and practitioners. The results show that most fishers from study sites observed that the climate and shocks have been changing in the last decades. Most respondents perceived strange changes in the flood, fluctuation of temperatures and rainfall, stronger storms, frequent droughts, and unpredictable freshening of the lagoon water. All of these changes severely impacted small-scale fisheries in research sites. Finally, this research finds that the WAI is useful for investigating perception among local fishers and their awareness about shocks impacting local fishery livelihoods. Both researchers and policymakers should use WAI to propose more effective policies on climate shock adaptation.</t>
  </si>
  <si>
    <t>[Ha Dung Hoang; Momtaz, Salim; Schreider, Maria] Univ Newcastle, Sch Environm &amp; Life Sci, 10 Chittaway Rd, Ourimbah, NSW 2258, Australia; [Ha Dung Hoang] Hue Univ, Univ Agr &amp; Forestry, 102 Phung Hung St, Hue City, Vietnam</t>
  </si>
  <si>
    <t>University of Newcastle; Nong Lam University; Hue University</t>
  </si>
  <si>
    <t>Strong Research Group of Hue University, Vietnam; University of Agriculture and Forestry; Hue University;</t>
  </si>
  <si>
    <t>This article was based on research work done as part of the first author's Ph.D. program at The University of Newcastle, Australia. The authors acknowledge the support of the Strong Research Group of Hue University, Vietnam. This work was partially supported by the University of Agriculture and Forestry, Hue University, under the Strategic Research Group Program, Grant No. NCM. DHNL.2021.05.</t>
  </si>
  <si>
    <t>10.1016/j.ijdrr.2022.103152</t>
  </si>
  <si>
    <t>WOS:000860661400010</t>
  </si>
  <si>
    <t>Noor, Muhammad; bin Ismail, Tarmizi; Shahid, Shamsuddin; Ahmed, Kamal; Chung, Eun-Sung; Nawaz, Nadeem</t>
  </si>
  <si>
    <t>This study uses a multi-model ensemble (MME) for the assessment of the spatial and temporal variations of rainfall in peninsular Malaysia under climate change scenarios. The past performance approach was used for the selection of GCM ensemble from a pool of Coupled Model Intercomparison Project Phase 5 (CMIP5) GCMs. The performances of four bias correction methods, namely, scaling, gamma quantile mapping, generalized quantile mapping, and power transformation were assessed to select the most suitable method for the downscaling of daily rainfall of selected GCMs based on APHRODITE rainfall at a spatial resolution of 0.25 degrees x 0.25 degrees. The downscaling model was used for the projections of daily rainfall for the period 2010-2099 for four representative concentration pathways (RCP) scenarios, namely, RCP2.6, RCP4.5, RCP6.0, and RCP8.5. Random forest regression algorithm was used to develop the multi-model ensemble (MME) mean of GCM-projected rainfall for different RCPs in order to show the changes in rainfall for three future periods, 2010-2039, 2040-2069, and 2070-2099. The results revealed four GCMs, BCC-CSM1.1(M), CCSM4, CSIRO-Mk3.6.0, and HadGEM2-ES as the most suitable GCMs for the projection of daily rainfall of peninsular Malaysia. The power transformation was found as the most suitable method for the correction of biases in GCM daily rainfall. The MME mean of projected rainfall showed the increase in rainfall in peninsular Malaysia for all the scenarios and future periods. The maximum increase in annual rainfall was projected by 15.72% during 2070-2099 for RCP8.5. The variability of future rainfall was also found to increase along with mean rainfall. The increase in rainfall variability was projected by 26.15% for RCP8.5 during 2070-2099. The spatial pattern of rainfall changes revealed more variability in future rainfall in the northeast where frequency of hydro-climatic disasters is higher compared to other regions. The results indicate the possible increase in hydro-climatic disaster in peninsular Malaysia due to climate change.</t>
  </si>
  <si>
    <t>[Noor, Muhammad; bin Ismail, Tarmizi; Shahid, Shamsuddin; Ahmed, Kamal] UTM, Fac Civil Engn, Johor Baharu 81310, Malaysia; [Ahmed, Kamal; Nawaz, Nadeem] LUAWMS, Fac Water Resource Management, Uthal 90150, Balochistan, Pakistan; [Chung, Eun-Sung] Seoul Natl Univ Sci &amp; Technol, Dept Civil Engn, Seoul, South Korea</t>
  </si>
  <si>
    <t>Universiti Teknologi Malaysia; Seoul National University of Science &amp; Technology</t>
  </si>
  <si>
    <t>Universiti Teknologi Malaysia through Research University Grant (RUG)</t>
  </si>
  <si>
    <t>The study is supported by the Universiti Teknologi Malaysia through Research University Grant (RUG) no. 18H94.</t>
  </si>
  <si>
    <t>10.1007/s00704-019-02874-0</t>
  </si>
  <si>
    <t>WOS:000491945900069</t>
  </si>
  <si>
    <t>Pimonsree, Sittichai; Limsakul, Atsamon; Kammuang, Asadorn; Kachenchart, Boonlue; Kamlangkla, Chaiyanan</t>
  </si>
  <si>
    <t>Applying the homogenized daily data during 1970-2019, this study examined the urbanization effects on changes in a set of extreme climate indices for large cities across Thailand, where has undergone rapid urbanization in recent decades. Analysis revealed positive urbanization effects on a number of the indices related to hot extremes, providing a consistent picture with the previous studies. Larger and more significant urbanization effects were evident for minimum temperature-related extreme indices, probably resulting from stronger nighttime enhancement of the urban heat island (UHI) intensity. From a sub-regional perspective, the urbanization effects for four clusters contributed, on an average, to half of the total trends of temperature extremes. Another noteworthy finding was marked by significant urbanization-induced increases in the amount, frequency, intensity, and magnitude of rainfall extremes at the urban stations in the Bangkok metropolis and the central part of the country. Analysis showed that most of the rainfall indices in this region exhibited a 100% urbanization contribution. These results highlighted that the Bangkok metropolis and its adjacent urban areas experienced substantial increases in climate extremes, resulting in greater risks from their associated disasters. The mechanisms how urbanization has induced changes in climate extremes in Thailand seem to be complex, depending on many factors including increases in UHI intensity, heat absorption in urban boundary layer, urban-rural roughness, anthropogenic aerosol, and pollutant emissions. However, to better understand their underlying physical processes and mechanisms, climate model-based dynamical experiments and additional analysis of highresolution satellite data are further needed.</t>
  </si>
  <si>
    <t>[Pimonsree, Sittichai] Univ Phayao, Sch Energy &amp; Environm, Atmospher Pollut &amp; Climate Change Res Unit, Phayao 56000, Thailand; [Limsakul, Atsamon; Kammuang, Asadorn] Technopolis, Environm Res &amp; Training Ctr, Klong 5, Klongluang 12120, Pathumthani, Thailand; [Kachenchart, Boonlue] Mahidol Univ, Fac Environm &amp; Resource Studies, 999 Phutthamonthon 4 Rd, Phutthamonthon 73170, Nakhon Pathom, Thailand; [Kamlangkla, Chaiyanan] Mae Hong Son Prov Adm Org, Khunlumprapas Rd, Mueang Mae Hong Son 58000, Mae Hong Son, Thailand</t>
  </si>
  <si>
    <t>University of Phayao; Mahidol University</t>
  </si>
  <si>
    <t>University of Phayao</t>
  </si>
  <si>
    <t>We would like to thank Thai Meteorological Department, Land Development Department, Department of Provincial Administration and United States Geological Survey for kindly providing valuable temperature, land-use and population data, and LANDSAT imagery dataset. The authors express their sincere gratitude to University of Phayao (Grant No. FF64-UoE005) for partial financial support. Special thanks are also extended to the editor and two anonymous reviewers for their insightful critiques and constructive comments to substantially improve the quality of the earlier version of the manuscript.</t>
  </si>
  <si>
    <t>10.1016/j.atmosres.2021.105882</t>
  </si>
  <si>
    <t>WOS:000715049100001</t>
  </si>
  <si>
    <t>Marconi, Michele; Gatto, Beatrice; Magni, Michele; Marincioni, Fausto</t>
  </si>
  <si>
    <t>This study discusses the application of a multiple logistic regression analysis in Khao Chai Son and Mueang Phatthalung districts (Phatthalung Province in southern Thailand), which were the two worst flooded districts in the 2011 inundation. The aim is to test an easy, rapid, and cost-effective method to asses flood susceptibility in a data-poor country. Climatic, topographic, and geological data have been overlaid with those of the flood events occurred in the study area from 2007 to 2011. Results showed a positive spatial correlation between the northeast monsoon precipitation and flooding. Moreover, using the rainfall projection of the U.S. National Center for Atmospheric Research the proposed model forecasts a sharp increase of flood susceptibility in the study area by the year 2050. Given the versatility of such model, local governments could easily use it to define the areas in their territories most exposed to flood hazard and timely implement risk reduction policies and practices.</t>
  </si>
  <si>
    <t>[Marconi, Michele; Gatto, Beatrice; Magni, Michele; Marincioni, Fausto] Univ Politecn Marche, Dept Life &amp; Environm Sci, Via Brecce Bianche, I-60131 Ancona, Italy</t>
  </si>
  <si>
    <t>Marche Polytechnic University</t>
  </si>
  <si>
    <t>CampusWorld initiative of the Universita Politecnica delle Marche at Ancona, Italy</t>
  </si>
  <si>
    <t>This project was carried out with the collaboration of the International Union for Conservation of Nature (IUCN), the Mangroves for the Future program (MFF), and the Sustainable Development Foundation (SDF). These organizations provided support with GIS data, local knowledge, and fieldwork logistics, greatly contributing to the progress and results of this study. The CampusWorld initiative of the Universita Politecnica delle Marche at Ancona, Italy, provided part of the funding for this research.</t>
  </si>
  <si>
    <t>10.1007/s11069-015-2082-2</t>
  </si>
  <si>
    <t>WOS:000370068400017</t>
  </si>
  <si>
    <t>Duc Tran-Quang; Ha Pham-Thanh; The-Anh Vu; Kieu, Chanh; Tan Phan-Van</t>
  </si>
  <si>
    <t>This study examines the climatic shift of the tropical cyclone (TC) frequency affecting Vietnam's coastal region during 1975-2014. By separating TC databases into two different 20-yr epochs, it is found that there is a consistent increase in both the number of strong TCs and the number of TC occurrences during the recent epoch (1995-2014) as compared with the reference epoch (1975-94) across different TC databases. This finding suggests that not only the number of strong TCs but also the lifetime of strong TCs affecting Vietnam's coastal region has been recently increasing as compared with the reference epoch from 1975 to 1994. To understand the physical connection of these shifts in the TC frequency and duration, large-scale conditions obtained from reanalysis data are analyzed. Results show that meridional surface temperature gradient (STG) during the recent epoch is substantially larger than that during 1975-94. Such an increase in the meridional STG is important because it is potentially linked to the increase in large-scale vertical wind shear as well as the reduced intensity of summer monsoon in the South China Sea between the two epochs.</t>
  </si>
  <si>
    <t>[Duc Tran-Quang; Ha Pham-Thanh; Tan Phan-Van] Vietnam Natl Univ, Hanoi Univ Sci, Dept Meteorol &amp; Climate Change, Hanoi, Vietnam; [The-Anh Vu; Kieu, Chanh] Indiana Univ, Dept Earth &amp; Atmospher Sci, Bloomington, IN USA</t>
  </si>
  <si>
    <t>Vietnam National University Hanoi; Indiana University System; Indiana University Bloomington</t>
  </si>
  <si>
    <t>Vietnam Ministry of Science and Technology Foundation; Indiana University Grand Challenge Initiative; ONR(United States Department of DefenseUnited States NavyOffice of Naval Research)</t>
  </si>
  <si>
    <t>This research was funded by the Vietnam Ministry of Science and Technology Foundation (KC.09.15/16-20). Author Kieu was partially supported by the Indiana University Grand Challenge Initiative and ONR funding (N000141812588). The authors thank three anonymous reviewers whose constructive comments and suggestions have helped to improve this work substantially.</t>
  </si>
  <si>
    <t>10.1175/JAMC-D-20-0021.1</t>
  </si>
  <si>
    <t>WOS:000589968400011</t>
  </si>
  <si>
    <t>Blanc, Elodie; Strobl, Eric</t>
  </si>
  <si>
    <t>This study quantifies the impact of typhoons on rice production in the Philippines. To this end, satellite-derived reflectance data are used to detect the location of rice fields at 500-mresolution. Utilizing typhoon-track data within a wind field model and satellite-derived precipitation measures, fragility curves are then employed to proxy the damage of storms on rice production within each rice field. The results from a panel spatial regression model show that typhoons substantially reduced local provincial production in the quarter of the strike, having caused losses of up to 12.5 million tons since 2001. Using extreme value theory to predict future losses, the results suggest that a typhoon like the recent Haiyan, which is estimated to have caused losses of around 260 000 tons, has a return period of 13 years. This methodology can provide a relatively timely tool for rice damage assessments after tropical cyclones in the region.</t>
  </si>
  <si>
    <t>[Blanc, Elodie] MIT, 77 Massachusetts Ave, Cambridge, MA 02139 USA; [Strobl, Eric] Ecole Polytech, F-91128 Palaiseau, France</t>
  </si>
  <si>
    <t>Massachusetts Institute of Technology (MIT); Institut Polytechnique de Paris; Ecole Polytechnique</t>
  </si>
  <si>
    <t>U.S. Department of Energy Office of Science(United States Department of Energy (DOE)); U.S. Environmental Protection Agency(United States Environmental Protection Agency)</t>
  </si>
  <si>
    <t>We gratefully acknowledge the financial support for this work from the U.S. Department of Energy Office of Science under DE-FG02-94ER61937, the U.S. Environmental Protection Agency under XA-83600001-1, and other government, industry, and foundation sponsors of the Joint Program on the Science and Policy of Global Change. For a complete list of sponsors, please visit http://globalchange.mit.edu/sponsors/all.</t>
  </si>
  <si>
    <t>10.1175/JAMC-D-15-0214.1</t>
  </si>
  <si>
    <t>WOS:000376233000001</t>
  </si>
  <si>
    <t>Halsnaes, Kirsten; Larsen, Morten Andreas Dahl; Kaspersen, Per Skougaard</t>
  </si>
  <si>
    <t>Least developed countries are generally regarded as particularly sensitive to climate change due to among other vulnerable locations and low adaptation capabilities. In the present study, we address climate change hazards in least developed countries by presenting a methodological framework, which is suitable for the estimation damage costs as a function of risk aversion, equality, income distribution and climate scenario using state-of-the-art climate model projections. As a case study, the methodology is applied to study severe storms in Cambodia based on two future climate scenarios and data on historical damages from storm events, which are used as a proxy in performing a sensitivity analysis on all input parameters. For the assumptions and parameter ranges used here, the study shows a high sensitivity to the income distribution (reflected by discount rates) and risk aversion and smaller effects from equality measures and extreme wind climate scenario. We emphasize that the assumptions on risk aversion reflecting consumption smoothing possibilities of low-income households clearly depicts that climate risks can be particularly high as a consequence of poverty and therefore recommend that context-specific vulnerabilities and equity concerns in climate risk studies should be included when making assessments for least developed countries.</t>
  </si>
  <si>
    <t>[Halsnaes, Kirsten; Larsen, Morten Andreas Dahl; Kaspersen, Per Skougaard] DTU Management Engn, Prod Torvet, Bldg 426, DK-2800 Lyngby, Denmark</t>
  </si>
  <si>
    <t>Technical University of Denmark</t>
  </si>
  <si>
    <t>10.1007/s11069-018-3387-8</t>
  </si>
  <si>
    <t>WOS:000445112300014</t>
  </si>
  <si>
    <t>Truong, Dinh Duc; Tri, Doan Quang</t>
  </si>
  <si>
    <t>This paper aims to study the impact of natural disasters on per capita income in Vietnam both the short and long-term, specifically impact loss of income caused by the extreme drought 2013 for agriculture, forestry and fishery in Phu Yen Province, Central Vietnam. The study valued economic damage by applying the synthetic control method (SCM), which is a statistical method to evaluate the effect of an intervention (e.g. natural disasters) in different case studies. It estimates what would have happened to the treatment group if it had not received the treatment by constructing a weighted combination of control units (e.g. control provinces). The results showed that the 2013 drought caused a decrease in income per capita, mainly in the agriculture, forestry, and fishery sector in Phu Yen. The reduced income was estimated to be VND 160,000 (1 USD = 23,500 VND (2021)) for one person per month, accounting for 11% of total income per capita and continued to affect the income 6 years later. Therefore, authorities need to invest in preventive solutions such as early and accurate warnings to help people to be more proactive in disaster prevention.</t>
  </si>
  <si>
    <t>[Truong, Dinh Duc] Natl Econ Univ, Fac Environm Climate Change &amp; Urban Studies, Hanoi 10000, Vietnam; [Tri, Doan Quang] Viet Nam Meteorol &amp; Hydrol Adm, Vietnam Journal Hydrometeorol, Hanoi 10000, Vietnam</t>
  </si>
  <si>
    <t>National Economics University - Vietnam</t>
  </si>
  <si>
    <t>National Economics University, Vietnam</t>
  </si>
  <si>
    <t>The authors receive support from the National Economics University, Vietnam.</t>
  </si>
  <si>
    <t>KOREA SOC ECONOMIC &amp; ENVIRONMENTAL GEOLOGY</t>
  </si>
  <si>
    <t>YONSEI UNIV, 134 SINCHON-DONG, SEODAEMUN-GU, SEOUL, 120-749, SOUTH KOREA</t>
  </si>
  <si>
    <t>1225-7281</t>
  </si>
  <si>
    <t>2288-7962</t>
  </si>
  <si>
    <t>ECON ENVIRON GEOL</t>
  </si>
  <si>
    <t>Econ. Environ. Geol.</t>
  </si>
  <si>
    <t>10.9719/EEG.2021.54.6.649</t>
  </si>
  <si>
    <t>WOS:000744193400001</t>
  </si>
  <si>
    <t>Ishiwatari, Mikio; Ali, Firdaus; Tabios, Guillermo Q., III; Lee, Joo-Heon; Matsuki, Hirotaka</t>
  </si>
  <si>
    <t>Asia-Pacific countries are facing growing risks from water-related disasters that are being exacerbated by climate change, urbanization, population growth, and development activities. Effective disaster risk reduction (DRR) and climate change adaptation (CCA) are crucial for building quality-oriented societies. This study proposes approaches to DRR and CCA by examining cases and approaches from a special session at the 9th International Conference on Flood Management. This session was held to follow up on the Kumamoto Declaration adopted at the 4th Asia Pacific Water Summit in Kumamoto in April 2022, and demonstrated the determination of heads of states and governments to resolve water issues in the region. The recent disaster cases in Pakistan, the Republic of Korea, the Philippines, and Indonesia highlight the unprecedented scale of water-related disasters. These countries have developed integrated structural and non-structural measures as fundamental solutions, including planning supported by scientific evidence, institutional reforms, and capacity building. However, there is a need to prioritize and strengthen urban planning and land use regulations for effective DRR and CCA. The Kumamoto Declaration emphasized three critical approaches: science and technology, finance, and governance, while the session clarified the effectiveness of these approaches. Leveraging science and technology can help societies develop and implement effective strategies to mitigate climate risks and safeguard vulnerable populations and ecosystems. However, there is a significant investment gap for flood protection, estimated at USD 64 billion per year. Thus, financial arrangements must be established. Meanwhile, good governance is essential for collaboration between local bodies, national governments, and international assistance. Such governance can leverage green infrastructure as a key solution and promote disaster resilience that is both locally driven and nationally relevant</t>
  </si>
  <si>
    <t>[Ishiwatari, Mikio] Univ Tokyo, 5-1-5 Kashiwanoha, Kashiwa, Chiba 2778563, Japan; [Ishiwatari, Mikio] Japan Water Forum, Tokyo, Japan; [Ali, Firdaus] Minist Publ Works &amp; Housing, Water Resources Management, South Jakarta 12530, Dki Jakarta, Indonesia; [Tabios, Guillermo Q., III] Univ Philippines, Civil Engn, Quezon City 1101, National Capita, Philippines; [Lee, Joo-Heon] Joongbu Univ, Sejong Hall, Goyang Si 10279, Gyeonggi Do, South Korea; [Matsuki, Hirotaka] Minist Land Infrastruct Transport &amp; Tourism, Natl Inst Land Infrastruct Management, 1 Asahi, Tsukuba, Ibaraki 3050804, Japan</t>
  </si>
  <si>
    <t>University of Tokyo; University of the Philippines System; University of the Philippines Diliman; Joongbu University</t>
  </si>
  <si>
    <t>FUJI TECHNOLOGY PRESS LTD</t>
  </si>
  <si>
    <t>1-15-7, UCHIKANDA, CHIYODA-KU, UNIZO UCHIKANDA 1-CHOME BLDG 2F, TOKYO, 101-0047, JAPAN</t>
  </si>
  <si>
    <t>1881-2473</t>
  </si>
  <si>
    <t>1883-8030</t>
  </si>
  <si>
    <t>J DISASTER RES</t>
  </si>
  <si>
    <t>J. Disaster Res.</t>
  </si>
  <si>
    <t>10.20965/jdr.2023.p0877</t>
  </si>
  <si>
    <t>WOS:001114602400010</t>
  </si>
  <si>
    <t>Basconcillo, Joseph Q.; Duran, Ger Anne W.; Francisco, Aaron A.; Abastillas, Rusy G.; Hilario, Flaviana D.; Juanillo, Edna L.; Solis, Ana Liza S.; Lucero, Anthony Joseph R.; Maratas, Shalou-Lea A.</t>
  </si>
  <si>
    <t>To overcome the limitation of low network density and sparse distribution of meteorological stations, spatial interpolation is being performed for estimating meteorological variables that are not geographically covered by existing observation network. While there are several readily available spatial interpolation techniques, it is still difficult to determine which one best estimates actual observation. Considering the stimulus for disaster risk reduction, hydrological, agricultural, and other applications of interpolated data, this study compared six interpolation techniques (Inverse Distance Weighted (IDW), Completely Regularized Spline (CRS), Tension Spline (TS), Ordinary Kriging (OK), Universal Kriging (UK), and ANUSPLIN) that have been recommended in tropical maritime region. Validation results comparing historical monthly and interpolated rainfall data from 1981-2010 in 65 stations in the Philippines show that OK has the best performance among the aforementioned techniques followed by ANUSPLIN and TS. Ultimately, this study is a contribution to the existing inadequate literatures that have documented and evaluated interpolation techniques that can be used in archipelagic regions with prominent climate variability.</t>
  </si>
  <si>
    <t>[Basconcillo, Joseph Q.; Duran, Ger Anne W.; Abastillas, Rusy G.; Hilario, Flaviana D.; Juanillo, Edna L.; Solis, Ana Liza S.; Lucero, Anthony Joseph R.; Maratas, Shalou-Lea A.] Philippine Atmospher Geophys &amp; Astron Serv Adm, Dept Sci &amp; Technol, Quezon City, Philippines; [Basconcillo, Joseph Q.; Francisco, Aaron A.; Hilario, Flaviana D.; Juanillo, Edna L.; Lucero, Anthony Joseph R.] Natl Res Council Philippines, Dept Sci &amp; Technol, Taguig City, Philippines</t>
  </si>
  <si>
    <t>Department of Science &amp; Technology (DOST), Philippines; Department of Science &amp; Technology (DOST), Philippines</t>
  </si>
  <si>
    <t>National Research Council of the Philippines(Department of Science &amp; Technology (DOST), Philippines); Philippine Atmospheric, Geophysical, and Astronomical Services Administration;</t>
  </si>
  <si>
    <t>This work was funded through the support of the National Research Council of the Philippines (NRCP-P029) and the Philippine Atmospheric, Geophysical, and Astronomical Services Administration. The authors would like to thank the Editor, Prof. Tieh-Yong Koh, and the reviewers who have significantly contributed to the review process. Likewise, the authors would like to express their gratitude to following: Mr. Chris John Delantes, Mr. Mark Sanchez, Ms. Cherry Cada, Dr. Decibel Eslava, and NRCP staffs.; Mr. Aaron R. Francisco is a Project Research Assistant directly working under NRCP P-029.</t>
  </si>
  <si>
    <t>10.2151/sola.2017-021</t>
  </si>
  <si>
    <t>WOS:000404779700001</t>
  </si>
  <si>
    <t>Seeger, Katharina; Minderhoud, Philip S. J.; Peffekoever, Andreas; Vogel, Anissa; Brueckner, Helmut; Kraas, Frauke; Oo, Nay Win; Brill, Dominik</t>
  </si>
  <si>
    <t>With their low lying, flat topography, river deltas and coastal plains are extremely prone to relative sea level rise and other water-related hazards. This calls for accurate elevation data for flood risk assessments, especially in the densely populated Southeast Asian deltas. However, in data-poor countries such as Myanmar, where high accuracy elevation data are not accessible, often only global satellite-based digital elevation models (DEMs), suffering from low vertical accuracy and remote sensing artefacts, can be used by the public and scientific community. As the lack of accurate elevation data hampers the assessment of flood risk, studying available information on land elevation and its reliability is essential, particularly in the context of sea level rise impact. Here, we assess the performance of 10 global DEMs in the Ayeyarwady Delta (Myanmar) against the new, local, so-called AD-DEM, which was generated based on topographical map elevation data. To enable comparison, all DEMs were converted to a common vertical datum tied to local sea level. While both CoastalDEM v2.1 (Kulp and Strauss, 2021) and FABDEM (Hawker et al., 2022) perform comparably well, showing the highest correspondence in comparison with AD-DEM and low-elevation spot heights, FABDEM outperforms CoastalDEM v2.1 by the absence of remote sensing artefacts. The AD-DEM provides a high-accuracy, open and freely available, and independent elevation dataset suitable for evaluating land elevation data in the Ayeyarwady Delta and studying topography and flood risk at large scale, while small-scale investigations may benefit from a FABDEM locally improved with data from the AD-DEM. Based on the latest Intergovernmental Panel on Climate Change (IPCC) projections of sea level rise, the consequences of DEM selection for assessing the impact of sea level rise in the Ayeyarwady Delta are shown. We highlight the need for addressing particularly low-lying populated areas within the most seaward districts with risk mitigation and adaptation strategies while also the more inland delta population should be made aware of facing a higher risk of flooding due to relative sea level rise in the next similar to 100 years.</t>
  </si>
  <si>
    <t>[Seeger, Katharina; Peffekoever, Andreas; Vogel, Anissa; Brueckner, Helmut; Kraas, Frauke; Brill, Dominik] Univ Cologne, Inst Geog, Albertus Magnus Pl, D-50923 Cologne, Germany; [Minderhoud, Philip S. J.] Wageningen Univ &amp; Res, Soil Geog &amp; Landscape Grp, Droevendaalsesteeg 3, NL-6708 PB Wageningen, Netherlands; [Minderhoud, Philip S. J.] Univ Padua, Dept Civil Environm &amp; Architectural Engn, Via Marzolo 9, I-35131 Padua, Italy; [Minderhoud, Philip S. J.] Deltares Res Inst, Dept Subsurface &amp; Groundwater Syst, Daltonlaan 600, NL-3584 BK Utrecht, Netherlands; [Oo, Nay Win] East Yangon Univ, East Yangon Univ Rd, Thanlyin 11291, Myanmar</t>
  </si>
  <si>
    <t>University of Cologne; Wageningen University &amp; Research; University of Padua; Deltares</t>
  </si>
  <si>
    <t>Deutsche Forschungsgemeinschaft (DFG)(German Research Foundation (DFG))</t>
  </si>
  <si>
    <t>We thank SIS Maps of the Map Department of the Staatsbibliothek zu Berlin for providing topographical map sheets including related information. Regine Spohner from University of Cologne is thanked for georeferencing the topographic map sheets. TanDEM-X data and the Copernicus DEM were provided by the German Aerospace Center (DLR) upon a science proposal (DEM_HYDR3351). Sinem Ince and Saskia Esselborn from GFZ are gratefully acknowledged for their kind advice on the geoid offset calculation. We thank the authors of the IPCC AR6 Sea Level Projection Tool for developing and making the SLR projections available, multiple funding agencies for supporting the development of these projections, and the NASA Sea Level Change Team for developing and hosting the tool. This research was financially supported by a grant from Deutsche Forschungsgemeinschaft (DFG project number 411257639; BR 5023/4-1; BR 877/37-1; KR 1764/28-1).</t>
  </si>
  <si>
    <t>10.5194/hess-27-2257-2023</t>
  </si>
  <si>
    <t>WOS:001010572600001</t>
  </si>
  <si>
    <t>Abhishek, Abhijeet; Das, Narendra N.; Ines, Amor V. M.; Andreadis, Konstantinos M.; Jayasinghe, Susantha; Granger, Stephanie; Ellenburg, Walter L.; Dutta, Rishiraj; Quyen, Nguyen Hanh; Markert, Amanda M.; Mishra, Vikalp; Phanikumar, Mantha S.</t>
  </si>
  <si>
    <t>Recurring drought in the Lower Mekong countries has inflicted enormous pressure on the natural ecosystem, rice productivity, and water resources. A regional scale assessment over Cambodia was carried out to examine the linkages between rice productivity and meteorological/hydrologic drought variability from 2000 to 2016. We implemented a comprehensive drought and crop yield information system, the Regional Hydrologic Extremes Assessment System (RHEAS) framework, that couples a hydrologic model with a crop growth model to capture the subtle, intrinsic nature of drought, and assess the impact on inter-seasonal and intra-annual rice yields. Simulations based on RHEAS show good agreement with observations (R-2 similar to 0.65 for soil moisture from the hydrologic model; R-2 similar to 0.84 for crop model). Using a suite of standardized drought indices, the onset and prevalence of dry and wet periods throughout the study period were examined at multiple temporal scales. The temporal variability in drought intensity exhibited higher water stress during the initial months (Mar-May), indicating prevalence of medium to severe dry conditions prior to the planting season. However, the onset of monsoon at the beginning of the growing season (June) resulted in the prevalence of normal to moderate wet conditions. A linear trend analysis for the period 2000-2016 showed a consistent increase (similar to 2900 kg/ha in 2000 to similar to 3550 kg/ha in 2016) in rice yields, although drought-stricken provinces showed lower yields (similar to 1650 kg/ha) throughout the study period. Overall, a continuous increase in annual rice yields irrespective of the stress conditions was noted with no clear pattern linking drought parameters with crop yields on a regional scale. The application of chemical-based fertilizers has steadily increased over the years since 2008 and the consistent increase in observed rice yields correlated with increased fertilizer use (R-2 similar to 0.84). Information from the hydrologic and crop model components within RHEAS enables development of critical regional and local thresholds, reflecting the increasing levels of risk and vulnerability towards drought.</t>
  </si>
  <si>
    <t>[Abhishek, Abhijeet; Das, Narendra N.; Phanikumar, Mantha S.] Michigan State Univ, Dept Civil &amp; Environm Engn, E Lansing, MI 48824 USA; [Das, Narendra N.; Granger, Stephanie] CALTECH, Jet Prop Lab, 4800 Oak Grove Dr, Pasadena, CA 91109 USA; [Ines, Amor V. M.] Michigan State Univ, Dept Plant Soil &amp; Microbial Sci, E Lansing, MI 48824 USA; [Das, Narendra N.; Ines, Amor V. M.] Michigan State Univ, Dept Biosyst &amp; Agr Engn, E Lansing, MI 48824 USA; [Andreadis, Konstantinos M.] Univ Massachusetts, Dept Civil &amp; Environm Engn, Amherst, MA 01002 USA; [Jayasinghe, Susantha; Dutta, Rishiraj; Quyen, Nguyen Hanh] Asian Disaster Preparedness Ctr, Bangkok 10400, Thailand; [Ellenburg, Walter L.; Markert, Amanda M.; Mishra, Vikalp] Univ Alabama, Earth Syst Sci Ctr, Huntsville, AL 35805 USA</t>
  </si>
  <si>
    <t>Michigan State University; National Aeronautics &amp; Space Administration (NASA); NASA Jet Propulsion Laboratory (JPL); California Institute of Technology; Michigan State University; Michigan State University; University of Massachusetts System; University of Massachusetts Amherst; University of Alabama System; University of Alabama Huntsville</t>
  </si>
  <si>
    <t>NASA-U.S. Agency for International Development (USAID)SERVIR-Mekong joint project; NASA ROSES Grant; SERVIR Coordination Office</t>
  </si>
  <si>
    <t>The work was supported by the NASA-U.S. Agency for International Development (USAID) SERVIR-Mekong joint project, housed at the Asian Disaster Preparedness Center (ADPC) in Bangkok, Thailand. We acknowledge the support of NASA ROSES Grant: 18-SERVIR18_2 funding for development of the RHEAS integrated framework. We thank the support from the SERVIR Coordination Office, especially Dr. Ashutosh Limaye, and the NASA Program Manager Dr. Nancy Searby for their guidance and facilitating the project collaboration with USAID.</t>
  </si>
  <si>
    <t>10.1016/j.jhydrol.2021.126291</t>
  </si>
  <si>
    <t>WOS:000673486000026</t>
  </si>
  <si>
    <t>Nagano, Akira; Hasegawa, Takuya; Ueki, Iwao; Ando, Kentaro</t>
  </si>
  <si>
    <t>We examined the covariation of sea surface salinity (SSS) and freshwater flux in the western tropical and northern subtropical Pacific on the El Nino-Southern Oscillation time scale, using a canonical correlation analysis of monthly data between 2001 and 2013. The dominant covariation, i.e., the first canonical mode, has large positive and negative amplitudes in regions east of the Philippines and New Guinea, respectively, and reaches peaks in autumn to winter of El Nino years. The positive SSS anomaly east of the Philippines is advected to the Kuroshio Extension region. We found that the second canonical mode is another coupled variation with localized amplitudes of SSS under the atmospheric convergence zones in winter to spring of La Nina years. However, the negative SSS anomaly is annihilated possibly by the evaporation in the subtropical region.</t>
  </si>
  <si>
    <t>[Nagano, Akira; Hasegawa, Takuya; Ueki, Iwao; Ando, Kentaro] Japan Agcy Marine Earth Sci &amp; Technol, Res &amp; Dev Ctr Global Change, Yokosuka, Kanagawa, Japan</t>
  </si>
  <si>
    <t>Japan Agency for Marine-Earth Science &amp; Technology (JAMSTEC)</t>
  </si>
  <si>
    <t>Japan Society for the Promotion of Science (JSPS)(Ministry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</si>
  <si>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The MOAA GPV data were provided in the Japan Argo database (http://www.jamstec.go.jp/ARGO). The NCEP/NCAR precipitation rate and latent heat flux data and NOAA Global Surface Temperature data were provided by the NOAA/Earth System Research Laboratory, Physical Sciences Division (http://www.esrl.noaa.gov/psd/). The OSCAR products were provided by Physical Oceanography Distributed Active Archive Center (PO.DAAC) (https://podaac.jpl.nasa.gov). The authors are deeply grateful to Editor (Meghan F. Cronin, NOAA/PMEL) and anonymous reviewers for constructive review comments. This work was partly supported by Japan Society for the Promotion of Science (JSPS), Grant-in-Aid for Scientific Research (17K05660).</t>
  </si>
  <si>
    <t>JUL 16</t>
  </si>
  <si>
    <t>10.1002/2017GL073573</t>
  </si>
  <si>
    <t>WOS:000406257400050</t>
  </si>
  <si>
    <t>Villafuerte, Marcelino Q., II; Lambrento, John Carlo R.; Hodges, Kevin I.; Cruz, Faye T.; Cinco, Thelma A.; Narisma, Gemma T.</t>
  </si>
  <si>
    <t>This study investigates the sensitivity of simulated tropical cyclones (TC) affecting the Philippines to convective parameterization schemes (CPS) in the Regional Climate Model Version 4 (RegCM4). Five ERA-Interim driven RegCM4 simulations at 25-km horizontal resolution were conducted utilizing the CPS of Grell with Arakawa-Schubert closure (GR), Emanuel (EM), Kain-Fritsch (KF), Tiedtke (TE), and a combined Grell scheme over land and Emanuel over the ocean (GR-EM). Comparisons made between the observed and RegCM4-simulated TCs covering a 30-year period (1981-2010) indicate that the EM scheme yields an annual-mean TC frequency that is closest to observations. The GR-EM scheme, on the other hand, closely reproduces the observed seasonal patterns of TC tracks, spatial patterns of TC track density and TC-associated rainfall, and TC lifespan. The KF scheme is the only CPS that was able to simulate intense TCs (maximum wind speed &gt; 40 m s(-1)) within the domain. In contrast, both GR and TE schemes largely underestimated the TC frequency, and were only able to simulate weak TCs. Such underestimation in the TC frequency and intensity in the GR and TE simulations can be attributed to the dry mid-tropospheric environment and the absence of a large area with positive low-level relative vorticity over the Pacific Ocean inhibiting TC formation and further development over the area. These findings would be helpful in selecting the more appropriate CPS for TC-related model simulations over the Philippines and in further model improvements, given the climate modeling imperfections and associated biases.</t>
  </si>
  <si>
    <t>[Villafuerte, Marcelino Q., II; Cinco, Thelma A.] Philippine Atmospher Geophys &amp; Astron Serv Adm DO, Dept Sci &amp; Technol, BIR Rd, Quezon City 1100, Philippines; [Lambrento, John Carlo R.; Cruz, Faye T.; Narisma, Gemma T.] Ateneo de Manila Univ Campus, Manila Observ, Quezon City, Philippines; [Hodges, Kevin I.] Univ Reading, Dept Meteorol, Reading, Berks, England; [Narisma, Gemma T.] Ateneo Manila Univ, Atmospher Sci Program, Dept Phys, Quezon City, Philippines</t>
  </si>
  <si>
    <t>Department of Science &amp; Technology (DOST), Philippines; University of Reading; Ateneo de Manila University</t>
  </si>
  <si>
    <t>Department of Science and Technology-Philippine Council for Industry, Energy, and Emerging Technology Research Development (DOST-PCIEERD)</t>
  </si>
  <si>
    <t>We thank the Abdus Salam International Centre for Theoretical Physics (ICTP) and the regional climate modeling community for providing the RegCM4 and the necessary files needed to run the model. We appreciate the funding support provided by the Department of Science and Technology-Philippine Council for Industry, Energy, and Emerging Technology Research Development (DOST-PCIEERD) under Project Number 2018-03691, which made this study possible. We are also thankful to Ms. Jennifer Tibay of the Manila Observatory together with the members of the CORDEX-Southeast Asia Philippines team for their comments and suggestions in the earlier version of the manuscript. The computing facility of PAGASA has allowed the model simulations conducted in this study. The insightful comments and recommended revisions provided by the anonymous reviewers are gratefully acknowledged.</t>
  </si>
  <si>
    <t>10.1007/s00382-020-05553-3</t>
  </si>
  <si>
    <t>WOS:000604528600003</t>
  </si>
  <si>
    <t>Institutions matter because they are instrumental in systematically adapting to global climate change, reducing disaster risks, and building resilience. Without institutionalised action, adapting to climatic change remains ad-hoc. Using exploratory research design and longitudinal observations, this research investigates how urban stakeholders and policy entrepreneurs negotiate institutional architecture and pathways for sustaining climate change adaptation and resilience implementation. This paper introduces hybrid institutionalism as a framework to understand how city administrators, local policy makers, and policy advocates navigate complex institutional landscapes that are characterised by volatility and uncertainties. Grounded in the experience from a recent experiment in Indonesia, this research suggests that institutionalisation of adaptation and resilience agenda involves different forms of institutionalisation and institutionalism through time. Future continuity of adaptation to climate change action depends on the dynamic nature of the institutionalism that leads to uncertainty in mainstreaming risk reduction. However, this research found that pathway-dependency theory emerges as a better predictor for institutionalising climate change adaptation and resilience in Indonesia.</t>
  </si>
  <si>
    <t>[Lassa, Jonatan A.] Charles Darwin Univ, Coll Indigenous Futures Arts &amp; Soc, Emergency &amp; Disaster Management, Darwin, NT 0909, Australia</t>
  </si>
  <si>
    <t>Charles Darwin University</t>
  </si>
  <si>
    <t>Rockefeller Foundation</t>
  </si>
  <si>
    <t>Initial funding was provided by Rockefeller Foundation via ACCCRN Indonesia project managed by Mercy Corps during 2012/2013. Since 2014 this study is self-funded.</t>
  </si>
  <si>
    <t>10.3390/cli7080095</t>
  </si>
  <si>
    <t>WOS:000482938800001</t>
  </si>
  <si>
    <t>Phakonkham, Sengphrachanh; Kazama, So; Komori, Daisuke</t>
  </si>
  <si>
    <t>In the past few decades, various natural hazards have occurred in Laos. To lower the consequences and losses caused by hazardous events, it is important to understand the magnitude of each hazard and the potential impact area. The main objective of this study was to propose a new approach to integrating hazard maps to detect hazardous areas on a national scale, for which area-limited data are available. The integrated hazard maps were based on a merging of five hazard maps: floods, land use changes, landslides, climate change impacts on floods, and climate change impacts on landslides. The integrated hazard map consists of six maps under three representative concentration pathway (RCP) scenarios and two time periods (near future and far future). The analytical hierarchy process (AHP) was used as a tool to combine the different hazard maps into an integrated hazard map. From the results, comparing the increase in the very high hazard area between the integrated hazard maps of the far future under the RCP2.6 and RCP4.5 scenarios, Khammouan Province has the highest increase (16.45 %). Additionally, the very high hazard area in Khammouan Province increased by approximately 12.47% between the integrated hazard maps under the RCP4.5 and RCP8.5 scenarios of the far future. The integrated hazard maps can pinpoint the dangerous area through the whole country, and the map can be used as primary data for selected future development areas. There are some limitations of the AHP methodology, which supposes linear independence of alternatives and criteria.</t>
  </si>
  <si>
    <t>[Phakonkham, Sengphrachanh] Natl Univ Laos, Dept Environm Engn, Fac Engn, Lao Thai Friendship Rd, Sisattanak Dist, Vientiane Prefe, Laos; [Kazama, So; Komori, Daisuke] Tohoku Univ, Dept Civil Engn, Sendai, Miyagi 9808579, Japan</t>
  </si>
  <si>
    <t>Tohoku University</t>
  </si>
  <si>
    <t>Ministry of Education, Culture, Sports, Science and Technology(Ministry of Education, Culture, Sports, Science and Technology, Japan (MEXT)); Environmental Research and Technology Development Fund from the Ministry of the Environment, Japan; Grants-in-Aid for Scientific Research(Ministry of Education, Culture, Sports, Science and Technology, Japan (MEXT)Japan Society for the Promotion of ScienceGrants-in-Aid for Scientific Research (KAKENHI))</t>
  </si>
  <si>
    <t>The article was funded through the Grants-in-Aid for Scientific Research (B), 2015-2017 (15H05218, 70 So Kazama), from the Ministry of Education, Culture, Sports, Science and Technology and the Environmental Research and Technology Development Fund from the Ministry of the Environment, Japan.</t>
  </si>
  <si>
    <t>MAY 20</t>
  </si>
  <si>
    <t>10.5194/nhess-21-1551-2021</t>
  </si>
  <si>
    <t>WOS:000655297100001</t>
  </si>
  <si>
    <t>Wu, Bin; Wu, Xiaodan; Shi, Xuefa; Qiao, Shuqing; Liu, Shengfa; Hu, Limin; Liu, Jihua; Bai, Yazhi; Zhu, Aimei; Kornkanitnan, Narumol; Khokiattiwong, Somkiat</t>
  </si>
  <si>
    <t>Organic carbon cycling in SE Asia is data-sparse and poorly studied, although high sediment yield and organic carbon intensity occur in the tropical region. In the present study, we evaluated the role of tropical monsoon pertaining to fluvial discharge, sediment load, coastal current and water stratification on seasonal organic carbon dynamics during four sampling campaigns in the Upper Gulf of Thailand (UGoT). This study demonstrates that particulate organic carbon (POC) is closely correlated with the river influx of suspended sediment, which is generally regulated by the local rainfall. Higher POC is found near the large estuarine section (Chao Phraya River, CHAO) during southwest monsoon period and the small estuarine section (Mae Klong River, MK) during November 2013 when tropical cyclones impacted. POC in the estuarine sections is more significantly influenced by the seasonal shift compared with the coastal sections. Land-derived organic matter prevails in the small estuarine and coastal sections, while marine-derived organic matter dominates in the estuarine sections impacted by CHAO and MK. Anthropogenic inputs and dam regulation also influences the river export of organic matter during the high precipitation periods. Total organic carbon (TOC) however displays less significant seasonal monsoon variations than POC. Further, TOC tends to accumulate in the sub-silt fraction of sediments, which mainly occurs in the small estuarine and eastern coastal sections and is more obviously influenced by marine-derived factors. TOC in sediment of the CHAO and MK influenced sections however displays more seasonal variations with prevailing river input evidenced by coarser sediment and higher C/N ratios. Moreover, the almost year round water stratification across the region acts as the barrier in retaining organic carbon in the estuaries and their vicinities from dispersal into the lower portion of Gulf of Thailand. High sedimentation rate (similar to 1.1 cm.yr(-1)) further facilitates the organic carbon burial in the study area. The delivery, dispersal and burial of organic carbon are closely associated with the climate-controlled precipitation, and thus the tropical monsoon climatology under the global warming in particular is an important factor influencing the organic carbon in the UGoT.</t>
  </si>
  <si>
    <t>[Wu, Bin; Shi, Xuefa; Qiao, Shuqing; Liu, Shengfa; Hu, Limin; Liu, Jihua; Bai, Yazhi; Zhu, Aimei] Minist Nat Resources, Key Lab Marine Geol &amp; Metallogeny, Inst Oceanog 1, Qingdao 266061, Peoples R China; [Wu, Bin; Wu, Xiaodan; Shi, Xuefa; Qiao, Shuqing; Liu, Shengfa; Hu, Limin; Liu, Jihua; Bai, Yazhi; Zhu, Aimei] Qingdao Natl Oceanog Lab Marine Sci &amp; Technol, Lab Marine Geol, Qingdao 266061, Peoples R China; [Wu, Xiaodan] Chinese Acad Sci, Inst Oceanol, CAS Key Lab Marine Geol &amp; Environm, Qingdao 266071, Peoples R China; [Kornkanitnan, Narumol; Khokiattiwong, Somkiat] Marine &amp; Coastal Resources Res &amp; Dev Inst, Dept Marine &amp; Coastal Resources, Bangkok 10210, Thailand</t>
  </si>
  <si>
    <t>First Institute of Oceanography, Ministry of Natural Resources; Ministry of Natural Resources of the People's Republic of China; Chinese Academy of Sciences; Institute of Oceanology, CAS</t>
  </si>
  <si>
    <t>National Programme on Global Change and Air-Sea Interaction; Natural Science Foundation of China(National Natural Science Foundation of China (NSFC)); Qingdao National Laboratory for Marine Science and Technology; China-Thailand Cooperation Project Research on Vulnerability of Coastal Zones; Taishan Scholar Program of Shandong</t>
  </si>
  <si>
    <t>This study was supported by the National Programme on Global Change and Air-Sea Interaction (GASI-02-IND-CJ05, GASI-GEOGE-03), the Natural Science Foundation of China (U1606401, 41722603), the Qingdao National Laboratory for Marine Science and Technology (2016ASKJ13), the China-Thailand Cooperation Project Research on Vulnerability of Coastal Zones, and the Taishan Scholar Program of Shandong.</t>
  </si>
  <si>
    <t>10.1016/j.margeo.2020.106209</t>
  </si>
  <si>
    <t>WOS:000540488000009</t>
  </si>
  <si>
    <t>Pour, Sahar Hadi; Shahid, Shamsuddin; Mainuddin, Mohammed</t>
  </si>
  <si>
    <t>This study evaluated the skills of global climate models (GCMs) of the fifth and sixth Coupled Model Intercomparison Project (CMIP5 and CMIP6) in simulating observed rainfall climatology, seasonal variability, and probability distribution function (PDF) in Peninsular Malaysia. Monthly rainfall records of eighty stations for 1975 - 2005 were employed for this purpose. The Kling-Gupta efficiency was applied to estimate GCMs' skill to reconstruct rainfall climatology and seasonal variability, while Perkins skill score to replicate PDF. The GCMs of individual CMIP were initially ranked based on the individual metric, and then a compromise rating matric was then employed for the grading. Finally, the highest-ranking CMIP6 GCMs were identified and employed for rainfall projections over Peninsular Malaysia for different shared socioeconomic pathways (SSPs). Results revealed higher bias in CMIP6 GCMs than CMIP5 GCMs but the better association in replicating rainfall climatology and seasonal variability. The EC-ERATH was the best performing model in CMIP5, followed by MPI-ESM-LR, FGOALS-g2, and CanESM2. In contrast, MPI-ESM-MR showed the highest skill among CMIP6 models, followed by MPI-ESM-LR, MIROC-ESM, and GFDL-ESM2M. The employment of the most skilled four GMIP6 GCMs in projecting rainfall in the peninsula revealed a non-linear rainfall change for SSPs-an increase in rainfall for SSP1-26 and SSP5-85 and a decrease for SSP2-45 and SSP3-70. Overall, rainfall was projected to increase in the northwest and central south by 10 - 20% and decrease in the northeast and far south by 1 to 30%.</t>
  </si>
  <si>
    <t>[Pour, Sahar Hadi; Shahid, Shamsuddin] Univ Teknol Malaysia UTM, Fac Engn, Sch Civil Engn, Johor Baharu 81310, Malaysia; [Mainuddin, Mohammed] CSIRO Land &amp; Water, Black Mt Sci &amp; Innovat Pk, Canberra, ACT 2601, Australia</t>
  </si>
  <si>
    <t>Universiti Teknologi Malaysia; Commonwealth Scientific &amp; Industrial Research Organisation (CSIRO); CSIRO Land &amp; Water</t>
  </si>
  <si>
    <t>Universiti Teknologi Malaysia (UTM)</t>
  </si>
  <si>
    <t>The authors are grateful to Universiti Teknologi Malaysia (UTM) for providing financial support to conduct this research through Postdoctoral Fellowship (Teaching &amp; Learning) Scheme.</t>
  </si>
  <si>
    <t>10.1007/s00704-022-04076-7</t>
  </si>
  <si>
    <t>WOS:000791865400002</t>
  </si>
  <si>
    <t>Sun, Yuexiang; Chen, Gang; Tan, Benkui</t>
  </si>
  <si>
    <t>Based on daily data from Japanese 55-year Reanalysis (JRA-55), and daily interpolated outgoing longwave radiation (OLR) data from the National Oceanic and Atmospheric Administration (NOAA), this study examines the formation and maintenance mechanisms of the Pacific-Japan (PJ) pattern as an intraseasonal variability mode. Results show that the PJ pattern manifests itself as a quasi-stationary Rossby wave train that can be thought of as the interaction between an upper-level wave train and a lower-level wave train. The upper-level wave train, which appears several days earlier than the lower-level wave train, propagates along the mid-latitude North Pacific and is driven mainly by the baroclinic energy conversion and feedback forcing by transient eddies. In contrast, the lower-level wave train, forced by the diabatic heating near the Philippines, starts from the tropical convection near the Philippines and propagates along the climatological southwesterlies into the mid-latitude westerlies. It appears that the upper-level wave train may facilitate the development of the lower-level wave train by transferring wave energy from the anomalous center near Japan into the tropics, which may trigger or enhance tropical convection. At the same time, as the lower-level wave train propagates into the midlatitude North Pacific, the upper- and lower-level wave trains become dynamically coupled to fully excite the PJ pattern. The findings of this study suggest that one should pay attention to both the tropical convection near the Philippines and the mid-latitude North Pacific wave train so as to better simulate the PJ pattern or predict the PJ pattern-associated weather and climate variability.</t>
  </si>
  <si>
    <t>[Sun, Yuexiang; Tan, Benkui] Peking Univ, Sch Phys, Dept Atmospher &amp; Ocean Sci, Yiheyuan Rd 5, Beijing 100871, Peoples R China; [Chen, Gang] Univ Calif Los Angeles, Dept Atmospher &amp; Ocean Sci, Los Angeles, CA USA</t>
  </si>
  <si>
    <t>Peking University; University of California System; University of California Los Angeles</t>
  </si>
  <si>
    <t>National Key R&amp;D Program of China; Chinese NSF(National Natural Science Foundation of China (NSFC)); China Scholarship Council(China Scholarship Council)</t>
  </si>
  <si>
    <t>This research is supported by National Key R&amp;D Program of China (2018YFC1507300) and Chinese NSF Grant No. 41875065. YS gratefully acknowledges financial support from China Scholarship Council for the visit to UCLA. The JRA-55 reanalysis data used in this study were obtained from https://rda.ucar.edu/datas ets/ds628.0/. OLR data used in this study were obtained from https://psl.noaa.gov/data/gridded/data.interp_OLR.html.</t>
  </si>
  <si>
    <t>10.1007/s00382-021-05851-4</t>
  </si>
  <si>
    <t>WOS:000668850700001</t>
  </si>
  <si>
    <t>Li, Xin; Meshgi, Ali; Babovic, Vladan</t>
  </si>
  <si>
    <t>Climatology and statistical variability of wet and dry spell characteristics of precipitation provide an effective tool to understand the impacts of natural climate variability such as El Nino/Southern Oscillation (ENSO) and climate change on the water availability over a region. However, to date, detailed studies about precipitation spell characteristics in the tropical urban context are still limited. Therefore, this study presents a comprehensive framework to characterize the wet and dry spells of precipitation in a tropical urban city-state (i.e. Singapore), based on daily data from 26 precipitation stations. In addition, 14 wet and dry spell indices are defined, and spatial and temporal variations of the indices are analysed based on ordinary kriging method and an improved Mann-Kendall (MK) test method, respectively. Lastly, the influence of ENSO condition on the wet and dry spell indices is investigated utilizing a regional regression method. Results indicate that: (1) the region over Singapore is predominantly characterized by 1-day wet and dry spells, while the main contributions to total duration of wet and dry spells come from 3-4-day wet spells and 3-6-day dry spells, respectively. The major contribution to total accumulated depth of wet spells comes from 3-4-day and 20-80 mm wet spells; (2) significant increasing trends are detected in general and extreme characteristics of wet spells at annual time scale, however, these trends are not significant during the two monsoon seasons. Spatial variation of wet and dry spell indices is also evident; (3) Singapore's precipitation spells are influenced by ENSO, but mainly during the southwest monsoon season. During the El Nino phase, precipitation spells generally become drier. The predicted changes of wet and dry spell characteristics in the contexts of ENSO and climate change have implications for water resources management in tropical urban cities.</t>
  </si>
  <si>
    <t>[Li, Xin; Meshgi, Ali; Babovic, Vladan] Natl Univ Singapore, Dept Civil &amp; Environm Engn, Block E1A,07-03,1 Engn Dr 2, Singapore, Singapore; [Meshgi, Ali] Singapores Natl Water Agcy, Publ Util Board PUB, 40 Scotts Rd,Environm Bldg, Singapore, Singapore</t>
  </si>
  <si>
    <t>National University of Singapore; Singapore Public Utilities Board</t>
  </si>
  <si>
    <t>10.1002/joc.4672</t>
  </si>
  <si>
    <t>WOS:000389310400013</t>
  </si>
  <si>
    <t>Vu, Tue M.; Raghavan, Srivatsan V.; Liong, Shie-Yui; Mishra, Ashok K.</t>
  </si>
  <si>
    <t>Precipitation is an important climate variable to investigate extreme events (e.g. drought and flood) as well as to develop robust strategies for water resources planning and management. Lack of adequate and robust information on precipitation poses great difficulties in understanding the observed climate as well as to validate climate model outputs. To overcome this limitation gridded precipitation data sets have been constructed to supplement the lack of in situ data. This study compares five popular gridded precipitation data sets to evaluate their performance in terms of drought and wetness over Vietnam. These five gridded data sets include: (1) Asian Precipitation Highly Resolved Observational Data Integration Towards the Evaluation of Water Resources (APHRODITE), (2) Climate Precipitation Center (CPC), (3) Climate Research Unit (CRU), (4) Global Precipitation Climatology Center (GPCC) and (5) University of Delaware (UDEL). The recently developed gridded precipitation observational data VnGP' from Vietnam is used as the reference data set to assess the performance of these five gridded precipitation products. The Standardized Precipitation Index (SPI) is used to quantify drought and wetness. GPCC and APHRODITE performed reasonably well in reproducing spatial and temporal precipitation patterns. GPCC performs consistently better than APHRODITE in all the statistical tests. Except for UDEL, other gridded data sets able to exhibit the characteristics of drought/wetness (e.g. the percentage of drought events and severity) during strong El Nino Southern Oscillation (ENSO) events. However, higher uncertainty exists to quantify drought inter-arrival time in most of the data sets. Furthermore, trend analysis was performed to evaluate the comparative performance of gridded data sets to quantify drought (wet) spells at annual and seasonal time scales. Although the gauge-based and hybrid satellite-gauge merged products use partly ground truth data, the different interpolation techniques and merging algorithms may contribute to large uncertainties.</t>
  </si>
  <si>
    <t>[Vu, Tue M.; Raghavan, Srivatsan V.; Liong, Shie-Yui] Natl Univ Singapore, Trop Marine Sci Inst, Singapore, Singapore; [Vu, Tue M.; Mishra, Ashok K.] Clemson Univ, Glenn Dept Civil Engn, Clemson, SC 29634 USA; [Raghavan, Srivatsan V.; Liong, Shie-Yui] Natl Univ Singapore, Dept Civil &amp; Environm Engn, Ctr Hazards Res, Singapore, Singapore; [Raghavan, Srivatsan V.; Liong, Shie-Yui] Singapore MIT Alliance Res &amp; Technol Ctr, Ctr Environm Sensing &amp; Modeling, Singapore, Singapore; [Liong, Shie-Yui] Willis Re Inc, London, England</t>
  </si>
  <si>
    <t>National University of Singapore; Clemson University; National University of Singapore; Singapore-MIT Alliance for Research &amp; Technology Centre (SMART)</t>
  </si>
  <si>
    <t>10.1002/joc.5317</t>
  </si>
  <si>
    <t>WOS:000427011700034</t>
  </si>
  <si>
    <t>Tierra, Maria Czarina M.; Lo, Tzu-Ting; Tsai, Hsiao-Chung; Ii, Marcelino Q. Villafuerte</t>
  </si>
  <si>
    <t>In the pursuit of providing tropical cyclone (TC) forecasts beyond the conventional time scales covered by weather forecasting in the Philippines, this study has examined the multiweek (i.e., from week 1 to week 4) TC forecast skill in the country. TC forecasts derived from three ensemble models, namely, the NCEP Climate Forecast System version 2 (CFSv2), the European Centre for Medium-Range Weather Forecasts Ensemble Prediction System (ECMWF), and the NCEP Global Ensemble Forecast System version 12 (GEFSv12) from 6 October 2020 to 31 October 2021 were verified. Results revealed that the ECMWF model is consistently the most skillful in multiweek TC prediction over the domain bounded by 110 degrees-155 degrees E and 0 degrees-27 degrees N in the western North Pacific. The ECMWF obtained hit rates ranging from 0.25 to 0.31, low false alarm rates of 0-0.33, and the highest equitable threat scores among the models. In contrast to this, the GEFSv12 and CFSv2 models had varying skills, with the former performing better in the first two weeks and the latter in longer lead times. It is further revealed that the three models generally underestimate the observed number of storms, storm days, and accumulated cyclone energy. Moreover, the study shows that the forecast TC tracks have a significant (p , 0.05) positional bias toward the right of observed tracks beyond week 1, and that they tend to propagate slower than observations especially in week 1 and week 2. These findings contribute to better understanding the strengths and limitations of these ensemble models useful for eventual provision of multiweek TC forecasts in the Philippines.</t>
  </si>
  <si>
    <t>[Tierra, Maria Czarina M.; Ii, Marcelino Q. Villafuerte] Philippine Atmospher Geophys &amp; Astron Serv Adm, Dept Sci &amp; Technol, Quezon City, Philippines; [Lo, Tzu-Ting] Cent Weather Adm, Taipei City, Taiwan; [Tsai, Hsiao-Chung] Tamkang Univ, New Taipei City, Taiwan</t>
  </si>
  <si>
    <t>Department of Science &amp; Technology (DOST), Philippines; Tamkang University</t>
  </si>
  <si>
    <t>MS Graduate Fellowship Program of the DOST-Science Education Institute</t>
  </si>
  <si>
    <t>We thank the Central Weather Bureau for setting up the online platform and providing us access to the theraw CWB TC tracking results, the DOST-Philippine Council for Industry, Energy, and Emerging Technology Research and Development (DOST-PCIEERD), and the DOST-Philippines for supporting theImprovement of Forecast Capability on Weather, Marine Meteorology and Short-Range Climate (IFC-WMMC) Phase IIprogram. MCM Tierra was a recipient of MS Graduate Fellowship Program of the DOST-Science Education Institute. We are also thankful to the three anonymous reviewers and to Dr. Mike Fiorino for providing insightful comments that led to the significant improvement of our work.</t>
  </si>
  <si>
    <t>10.1175/WAF-D-22-0173.1</t>
  </si>
  <si>
    <t>WOS:001089136900001</t>
  </si>
  <si>
    <t>Yun, Xiaobo; Tang, Qiuhong; Sun, Siao; Wang, Jie</t>
  </si>
  <si>
    <t>Hydropower dams are proliferating in the riparian countries of the Lancang-Mekong River Basin (LMRB) driven by the pursuit of renewable electricity and societal resilience to flooding. However, the tradeoffs between hydropower production and flood control are unclear in a changing environment. Here, we use a hydrological variable infiltration capacity model combined with a reservoir module to quantify the relative effects of climate change and reservoir operation on flood and hydropower generation in LMRB. Results show that while climate change would increase flood magnitude and frequency, adaptive reservoir operation can reduce flood magnitude by 5.6%-6.4% and frequency by 17.1%-18.9% at the cost of 9.8%-14.4% of basin-wide hydropower generation. Particularly, upstream reservoirs suffer more hydropower loss (5.4 times) than downstream ones when flood control is prioritized in reservoir regulation. Our findings have implications for integrated water and energy management at the transboundary river basin under climate change. Plain Language Summary Dams and reservoirs provide two important services, i.e., flood control and hydropower generation. In this study, we seek to understand the future tradeoff between these two services provided by reservoir regulation in the transboundary Lancang-Mekong River Basin. Using a modeling based approach, we find that climate change will likely lead to more frequent and larger flood events, but reservoir operation, by regulating water discharges and levels in streams, can effectively reduce flood frequency and magnitude at the expense of hydropower generation. Our results highlight the importance of coordinating water and energy management across countries in this transboundary river basin. Key Points Reservoir can mitigate future flood risk from climate change at the cost of reducing hydropower generation in the Lancang-Mekong River Basin Reservoir regulation can delay the timing when flood risk exceeds the historical baseline by at least 20 years in Laos and Thailand Flood control measures would reduce hydropower at a magnitude of 5.4 times in China than downstream countries</t>
  </si>
  <si>
    <t>[Yun, Xiaobo; Tang, Qiuhong; Wang, Jie] Chinese Acad Sci, Inst Geog Sci &amp; Nat Resources Res, Key Lab Water Cycle &amp; Related Land Surface Proc, Beijing, Peoples R China; [Yun, Xiaobo; Tang, Qiuhong; Sun, Siao; Wang, Jie] Univ Chinese Acad Sci, Beijing, Peoples R China; [Sun, Siao] Chinese Acad Sci, Inst Geog Sci &amp; Nat Resources Res, Key Lab Reg Sustainable Dev Modeling, Beijing, Peoples R China</t>
  </si>
  <si>
    <t>Chinese Academy of Sciences; Institute of Geographic Sciences &amp; Natural Resources Research, CAS; Chinese Academy of Sciences; University of Chinese Academy of Sciences, CAS; Chinese Academy of Sciences; Institute of Geographic Sciences &amp; Natural Resources Research, CAS</t>
  </si>
  <si>
    <t>National Natural Science Foundation of China(National Natural Science Foundation of China (NSFC)); Strategic Priority Research Program of Chinese Academy of Sciences(Chinese Academy of Sciences); International Partnership Program of Chinese Academy of Sciences</t>
  </si>
  <si>
    <t>This study was supported by the National Natural Science Foundation of China (No. 41730645), Strategic Priority Research Program of Chinese Academy of Sciences (No. XDA20060402), and International Partnership Program of Chinese Academy of Sciences (No. 131A11KYSB20180034).</t>
  </si>
  <si>
    <t>10.1029/2021GL094243</t>
  </si>
  <si>
    <t>WOS:000747834500033</t>
  </si>
  <si>
    <t>Basconcillo, Joseph; Lucero, Anthony; Solis, Analiza; Sandoval, Robert, Jr.; Bautista, Eulito; Koizumi, Tatsuji; Kanamaru, Hideki</t>
  </si>
  <si>
    <t>Rice is an important commodity in the Philippines. In the Cagayan Valley (CV), rice production provides employment to more than half of the region's population and any climate variability and change can cause negative impacts on crop production and people's livelihoods. This paper attempts to understand projected climate changes in seasonal rainfall and mean temperature (2011-2040) to inform climate change adaptation planning in CV. The climate change projections were provided to crop and water resource modeling, agricultural market modeling, food insecurity vulnerability analysis, community-based climate change adaptation planning, and policy simulation. The results are presented for the Provinces of Cagayan, Isabela, Nueva Vizcaya, and Quirino based on the statistical downscaling of three global climate models (BCM2, CNCM3, and MPEH5) and two emission scenarios (A1B and A2). A spatial interpolation technique was utilized in interpolating downscaled climate projections at weather stations to grids, and subsequently aggregated to administrative provinces. Results obtained in the downscaling showed anticipated significant climate changes from 2011 to 2040 in terms of rainfall and temperatures relative to 1971-2000. Consistent signals of climate change were found in many seasons and variables, whereas conflicting signs of changes were found in a few cases. A larger warming effect is projected for a daily minimum temperature than that for the maximum temperature, thus reducing diurnal temperature range. Precipitation is projected to increase in general in the Valley. Regarding seasonality, dry months (March-April-May) will continue to remain dry but during the rainy season, July and November are likely to become more notable wet months. There are also indications of an increasing frequency of heavy rainfall events, prolonged dry spell events and extreme daytime temperatures (especially in Aparri).</t>
  </si>
  <si>
    <t>[Basconcillo, Joseph; Lucero, Anthony; Solis, Analiza] Philippine Atmospher Geophys &amp; Astron Serv Adm, Climatol &amp; Agrometeorol Div, Quezon City 1100, Philippines; [Sandoval, Robert, Jr.; Bautista, Eulito] Food &amp; Agr Org UN, AMICAF Philippines, Quezon City, Philippines; [Koizumi, Tatsuji; Kanamaru, Hideki] Food &amp; Agr Org UN, Rome, Italy</t>
  </si>
  <si>
    <t>Food &amp; Agriculture Organization of the United Nations (FAO); Food &amp; Agriculture Organization of the United Nations (FAO)</t>
  </si>
  <si>
    <t>SOUSEI Project in Japan</t>
  </si>
  <si>
    <t>The authors would like to acknowledge the support and assistance of FAO through its AMICAF Project and PAGASA in the realization of this study. Likewise, the authors would like to extend their gratitude to following individuals: Dr. Flaviana Hilario, Edna Juanillo, Cherry Cada, Jorybell Masallo, Rusy Abastillas, Remedios Liwanag, Esther Velasquez, Junie Ruiz, Shalou Maratas, and Ger Anne Duran. The publication of this study is made possible partly by the financial support of the SOUSEI Project in Japan.</t>
  </si>
  <si>
    <t>10.2151/jmsj.2015-058</t>
  </si>
  <si>
    <t>WOS:000370028800011</t>
  </si>
  <si>
    <t>Syafrina, A. H.; Zalina, M. D.; Juneng, L.</t>
  </si>
  <si>
    <t>Hourly rainfall data between the years 1975 and 2010 across the Peninsular Malaysia were analyzed for trends in hourly extreme rainfall events. The analyses were conducted on rainfall occurrences during the northeast monsoon (November-February) known as NEM, the southwest monsoon (May-August) known as SWM, and the two inter-monsoon seasons, i.e., March-April (MA) and September-October (SO). Several extreme rainfall indices were calculated at the station level. The extreme rainfall events in Peninsular Malaysia showed an increasing trend between the years 1975 and 2010. The trend analysis was conducted using linear regression; no serial correlation was detected from the Durbin-Watson test. Ordinary kriging was used to determine the spatial patterns of trends in seasonal extremes. The total amount of rainfall received during NEM is higher compared to rainfall received during inter-monsoon seasons. However, intense rainfall is observed during the inter-monsoon season with higher hourly total amount of rainfall. The eastern part of peninsular was most affected by stratiform rains, while convective rain contributes more precipitation to areas in the western part of the peninsular. From the distribution of spatial pattern of trend, the extreme frequency index (Freq &gt; 20) gives significant contribution to the positive extreme rainfall trend during the monsoon seasons. Meanwhile, both extreme frequency and extreme intensity (24-Hr Max, Freq &gt; 95th, Tot &gt; 95th, Tot &gt; 99th, and Hr Max) indices give significant contribution to the positive extreme rainfall trend during the inter-monsoon seasons. Most of the significant extreme indices showed the positive sign of trends. However, a negative trend of extreme rainfall was found in the northwest coast due to the existence of Titiwangsa Range. The extreme intensity, extreme frequency, and extreme cumulative indices showed increasing trends during the NEM and MA while extreme intensity and extreme frequency had similar trends during the SWM and SO throughout Peninsular Malaysia. Overall, the hourly extreme rainfall events in Peninsular Malaysia showed an increasing trend between the year 1975 and 2010 with notable increasing trends in short temporal rainfall during inter-monsoon season. The result also proves that convective rain during this period contributes higher intensity rains which can only be captured using short duration rainfall series.</t>
  </si>
  <si>
    <t>[Syafrina, A. H.; Zalina, M. D.] Univ Teknol Malaysia, UTM Razak Sch Engn &amp; Adv Technol, Kuala Lumpur 54100, Malaysia; [Juneng, L.] Univ Kebangsaan Malaysia, Sch Environm Nat Resources, Fac Sci &amp; Technol, Bangi 43600, Selangor, Malaysia</t>
  </si>
  <si>
    <t>Universiti Teknologi Malaysia; Universiti Kebangsaan Malaysia</t>
  </si>
  <si>
    <t>Drainage and Irrigation Department; Ministry of Education Fundamental Research Grant (FRGS); International Islamic University of Malaysia; Ministry of Higher Education, Malaysia(Ministry of Education, Malaysia)</t>
  </si>
  <si>
    <t>This work was supported by the Drainage and Irrigation Department in providing the hourly rainfall data. This research was funded by the Ministry of Education Fundamental Research Grant (FRGS vote 4 F120), sponsorship from the International Islamic University of Malaysia and Ministry of Higher Education, Malaysia.</t>
  </si>
  <si>
    <t>10.1007/s00704-014-1145-8</t>
  </si>
  <si>
    <t>WOS:000351866800023</t>
  </si>
  <si>
    <t>Tan Phan Van; Hiep Van Nguyen; Long Trinh Tuan; Trung Nguyen Quang; Thanh Ngo-Duc; Laux, Patrick; Thanh Nguyen Xuan</t>
  </si>
  <si>
    <t>To investigate the ability of dynamical seasonal climate predictions for Vietnam, the RegCM4.2 is employed to perform seasonal prediction of 2 m mean (T2m), maximum (Tx), and minimum (Tn) air temperature for the period from January 2012 to November 2013 by downscaling the NCEP Climate Forecast System(CFS) data. For model bias correction, the model and observed climatology is constructed using the CFS reanalysis and observed temperatures over Vietnam for the period 1980-2010, respectively. The RegCM4.2 forecast is run four times per month from the current month up to the next six months. A model ensemble prediction initialized from the current month is computed from the mean of the four runs within the month. The results showed that, without any bias correction (CTL), the RegCM4.2 forecast has very little or no skill in both tercile and value predictions. With bias correction (BAS), model predictions show improved skill. The experiment in which the results from the BAS experiment are further successively adjusted (SUC) with model bias at one-month lead time of the previous run showed further improvement compared to CTL and BAS. Skill scores of the tercile probability forecasts were found to exceed 0.3 for most of the target months.</t>
  </si>
  <si>
    <t>[Tan Phan Van; Long Trinh Tuan; Trung Nguyen Quang; Thanh Ngo-Duc; Thanh Nguyen Xuan] VNU Hanoi Univ Sci, Dept Meteorol, Hanoi, Vietnam; [Hiep Van Nguyen] Inst Meteorol Hydrol &amp; Environm IMHEN, Hanoi, Vietnam; [Laux, Patrick] KIT, IMK IFU, Inst Meteorol &amp; Climate Res, D-82467 Garmisch Partenkirchen, Germany</t>
  </si>
  <si>
    <t>Vietnam National University Hanoi; Helmholtz Association; Karlsruhe Institute of Technology</t>
  </si>
  <si>
    <t>Vietnam Ministry of Science and Technology Foundation; Management Board of the Danida</t>
  </si>
  <si>
    <t>This work was supported by the Vietnam Ministry of Science and Technology Foundation under the Project no. DT.NCCB-DHUD.2011-G/09. This work was also encouraged by the Management Board of the Danida 11-P04-VIE Project.</t>
  </si>
  <si>
    <t>10.1155/2014/245104</t>
  </si>
  <si>
    <t>WOS:000338073400001</t>
  </si>
  <si>
    <t>Phuong, Tran Thi; Tan, Nguyen Quang; Hai, Nguyen Thi; Ngu, Nguyen Huu</t>
  </si>
  <si>
    <t>This study breaks away from traditional macroeconomic-data-based research that often overlooks the subjective experiences of communities and social groups in assessing their resilience to external stressors. Instead, we conducted a nuanced analysis of self-assessments provided by 364 household heads in the Nam Dong District, Thua Thien Hue Province, Vietnam, to gain a comprehensive understanding of household resilience. Our investigation focused on two upland communities-the Kinh majority and Co Tu ethnic minority households-evaluating their resilience levels in terms of the five livelihood capitals and identifying significant disparities among different ethnic and gender groups. Our findings reveal notable differences in livelihood resilience to climate change and variability among these groups, particularly for women, the poor, and ethnic minorities who exhibit lower resilience levels. This underscores the need for policies and programs designed to improve resilience capacity while taking into account these groups' cultural and social norms. We suggest focusing on improving financial, human, and social capitals to increase households' resilience to external shocks. Specifically, building resilience for disadvantaged groups must go hand in hand with promoting their overall well-being and alleviating poverty. Additionally, we recommend tailored training programs to raise awareness among households and strengthening institutional systems to enhance overall resilience.</t>
  </si>
  <si>
    <t>[Phuong, Tran Thi] Univ Agr &amp; Forestry, Hue Univ, Ctr Climate Change Study Cent Vietnam, Hue 49000, Vietnam; [Phuong, Tran Thi; Hai, Nguyen Thi; Ngu, Nguyen Huu] Hue Univ, Univ Agr &amp; Forestry, Fac Land Resources &amp; Agr Environm, Hue 49000, Vietnam; [Tan, Nguyen Quang] Okayama Univ, Grad Sch Environm &amp; Life Sci, Okayama 7008530, Japan</t>
  </si>
  <si>
    <t>Hue University; Nong Lam University; Nong Lam University; Hue University; Okayama University</t>
  </si>
  <si>
    <t>Centre for Climate Change Study in Central Vietnam, University of Agriculture and Forestry, Hue University</t>
  </si>
  <si>
    <t>This research was funded by the Centre for Climate Change Study in Central Vietnam, University of Agriculture and Forestry, Hue University.</t>
  </si>
  <si>
    <t>10.3390/cli11040085</t>
  </si>
  <si>
    <t>WOS:000979048100001</t>
  </si>
  <si>
    <t>Hanif, Muhammad Faisal; Ul Mustafa, Muhammad Raza; Liaqat, Muhammad Usman; Hashim, Ahmad Mustafa; Yusof, Khamaruzaman Wan</t>
  </si>
  <si>
    <t>This study aimed to examine the spatiotemporal seasonal and annual trends of rainfall indices in Perak, Malaysia, during the last 35 years, as any seasonal or spatial variability in rainfall may influence the regional hydrological cycle and water resources. Mann-Kendall and Sequential Mann- Kendall (SMK) tests were used to assess seasonal and annual trends. Precipitation concentration index was used to estimate variations in rainfall concentration, and Theil-Sen's slope estimator was used to determine the spatial variability of rainfall. It was found that most of the rainfall indices are showing decreasing trends, and it was most prominent for the southwest monsoon season with a decreasing rate of 2.20 mm/year. The long-term trends for seasonal rainfall showed that rainfall declined by 0.29 mm/year during the southwest monsoon. In contrast, the northeast and the intermonsoon seasons showed slight increases. Rainfall decreased gradually from 1994 to 2008, and the trend became more pronounced in 2008. On a spatial basis, rainfall trends have shifted from the western regions (i.e., -19 mm/year) to the southeastern regions (i.e., 10 mm/year). Overall, slightly decreasing trends in rainfall were observed in Perak Malaysia.</t>
  </si>
  <si>
    <t>[Hanif, Muhammad Faisal; Ul Mustafa, Muhammad Raza; Hashim, Ahmad Mustafa; Yusof, Khamaruzaman Wan] Univ Teknol PETRONAS, Dept Civil &amp; Environm Engn, Bandar Seri Iskandar 32610, Malaysia; [Liaqat, Muhammad Usman] Univ Brescia DICATAM, Dept Civil Environm Architectural Engn &amp; Math, Via Branze 43, I-25123 Brescia, Italy</t>
  </si>
  <si>
    <t>Universiti Teknologi Petronas</t>
  </si>
  <si>
    <t>Universiti Teknologi PETRONAS, Malaysia; Graduate Assistantship (GA) scheme</t>
  </si>
  <si>
    <t>The authors are thankful to the Department of Irrigation and Drainage (DID) Malaysia for providing the rainfall data for Perak, Malaysia. The first author is also thankful to Universiti Teknologi PETRONAS, Malaysia, for providing financial support from the Graduate Assistantship (GA) scheme.</t>
  </si>
  <si>
    <t>10.3390/cli10030044</t>
  </si>
  <si>
    <t>WOS:000775653600001</t>
  </si>
  <si>
    <t>Wati, Trinah; Hadi, Tri W.; Sopaheluwakan, Ardhasena; Hutasoit, Lambok M.</t>
  </si>
  <si>
    <t>Gridded precipitation datasets have been used as alternatives to rain gauge observations, but their applicability for a specific region should be thoroughly evaluated. This article aims at finding the most appropriate one for climatological and hydrological applications in Indonesia, by evaluating the statistics of the performance of eight different datasets (research products) having horizontal resolutions between 0.1 and 0.25 and with a time span of data availability from 2003 to 2015. The datasets are compared against the observed daily rainfall at 133 stations using 13 statistical metrics that can be classified into three groups with different characteristics of measurements, namely distribution, time sequence, and extreme value representations. By applying summation of rank (SR), it is found that MSWEP and TMPA 3B42 are the top two datasets that outperformed based on distribution and time sequence performance metric groups. The extreme performances for all datasets are still good in 75(th) percentiles; however, the performances decrease at more than 75th percentiles indicating still a poorly representation of daily extreme rainfall for all gridded datasets. Results of this study suggest that MSWEP (v2) is presently the best gridded precipitation datasets available for climatological and hydrological applications in Indonesia.</t>
  </si>
  <si>
    <t>[Wati, Trinah; Hadi, Tri W.; Hutasoit, Lambok M.] Inst Teknol Bandung, Fac Earth Sci &amp; Technol, Grad Program Earth Sci, Bandung 40132, Indonesia; [Wati, Trinah; Sopaheluwakan, Ardhasena] Indonesian Agcy Meteorol Climatol &amp; Geophys, Jakarta 10720, Indonesia</t>
  </si>
  <si>
    <t>Institute Technology of Bandung; Indonesian Agency for Meteorology, Climatology &amp; Geophysics</t>
  </si>
  <si>
    <t>Indonesia Endowment Fund for Education (LPDP); ITB-P3MI</t>
  </si>
  <si>
    <t>The authors acknowledge the Indonesia Agency for Meteorology, Climatology, and Geophysics for facilitating the data of rainfall stations. TW drafted the initial manuscript and statistical data processing. TWH revised and improved the overall manuscript including the storyline and discussion. AS and LMH performed further revisions of the manuscript. All the authors were involved in discussions during the review process and all the authors have read and approved the final manuscript. This manuscript contain materials from a dissertation by TW, as a part of the fulfillment to obtain a doctoral degree at Bandung Institute of Technology. The authors would like to express their gratitude to the Indonesia Endowment Fund for Education (LPDP) for funding this research (Grant Number 201812210213600). The second author (TWH) was partially supported by ITB-P3MI research grants.</t>
  </si>
  <si>
    <t>MAY 9</t>
  </si>
  <si>
    <t>10.1155/2022/7995761</t>
  </si>
  <si>
    <t>WOS:000800283100002</t>
  </si>
  <si>
    <t>Duangdai, Eakkapong; Likasiri, Chulin</t>
  </si>
  <si>
    <t>In this work, 4 models for predicting rainfall amounts are investigated and compared using Northern Thailand's seasonal rainfall data for 1973-2008. Two models, global temperature, forest area and seasonal rainfall (TFR) and modified TFR based on a system of differential equations, give the relationships between global temperature, Northern Thailand's forest cover and seasonal rainfalls in the region. The other two models studied are time series and Autoregressive Moving Average (ARMA) models. All models are validated using the k-fold cross validation method with the resulting errors being 0.971233, 0.740891, 2.376415 and 2.430891 for time series, ARMA, TFR and modified TFR models, respectively. Under Business as Usual (BaU) scenario, seasonal rainfalls in Northern Thailand are projected through the year 2020 using all 4 models. TFR and modified TFR models are also used to further analyze how global temperature rise and government reforestation policy affect seasonal rainfalls in the region. Rainfall projections obtained via the two models are also compared with those from the International Panel on Climate Change (IPCC) under IS92a scenario. Results obtained through a mathematical model for global temperature, forest area and seasonal rainfall show that the higher the forest cover, the less fluctuation there is between rainy-season and summer rainfalls. Moreover, growth in forest cover also correlates with an increase in summer rainfalls. An investigation into the relationship between main crop productions and rainfalls in dry and rainy seasons indicates that if the rainy-season rainfall is high, that year's main-crop rice production will decrease but the second-crop rice, maize, sugarcane and soybean productions will increase in the following year. (C) 2016 Elsevier B.V. All rights reserved.</t>
  </si>
  <si>
    <t>[Duangdai, Eakkapong; Likasiri, Chulin] Chiang Mai Univ, Dept Math, Fac Sci, Chiang Mai 50200, Thailand</t>
  </si>
  <si>
    <t>Chiang Mai University</t>
  </si>
  <si>
    <t>Center of Excellence in Mathematics and Applied Mathematics, Chiang Mai University</t>
  </si>
  <si>
    <t>The authors thank Prof. Radom Pongvuthithum for his valuable technical comments, which have made this paper much more complete, and Ms. Wiriya Sunglthaniyom for her proofreading help. This research was supported by the Center of Excellence in Mathematics and Applied Mathematics, Chiang Mai University.</t>
  </si>
  <si>
    <t>10.1016/j.atmosres.2016.10.019</t>
  </si>
  <si>
    <t>WOS:000390737800001</t>
  </si>
  <si>
    <t>Amri, Avianto; Bird, Deanne K.; Ronan, Kevin; Haynes, Katharine; Towers, Briony</t>
  </si>
  <si>
    <t>This article investigates the implementation of disaster risk reduction education for children in Indonesia. In the last decade, education programmes related to this subject have been promoted as capable of reducing disaster losses and increasing resilience, based on several studies that have identified positive outcomes. Therefore, it is critical to evaluate and address any potential challenges that might impede their success. The article uses a case study in Jakarta, a rapidly growing megacity that is highly prone to disasters and natural hazards, especially floods and fires, to explore the scaling up and sustainability of disaster risk reduction in Indonesian schools. Based on previous studies, a new approach was developed for evaluating the implementation of education programmes related to these subjects. This study captured the perspectives of children, school personnel, and non-governmental organisations on the challenges of scaling up the implementation of disaster risk reduction education in schools. The study revealed seven key issues and suggests several policy recommendations to move forward. These key issues may also be apparent in many other developing and developed countries, and the suggested recommendations may well be applicable beyond Indonesia.</t>
  </si>
  <si>
    <t>[Amri, Avianto; Bird, Deanne K.; Haynes, Katharine] Macquarie Univ, Risk Frontiers, Sydney, NSW 2109, Australia; [Amri, Avianto; Bird, Deanne K.; Ronan, Kevin; Haynes, Katharine; Towers, Briony] Bushfire &amp; Nat Hazard Cooperat Res Ctr, East Melbourne, Vic 3002, Australia; [Bird, Deanne K.] Univ Iceland, Inst Life &amp; Enivronm Sci, IS-101 Reykjavik, Iceland; [Ronan, Kevin] Cent Queensland Univ, Sch Human Hlth &amp; Social Sci, Rockhampton, Qld 4702, Australia; [Towers, Briony] RMIT, Geospatial &amp; Math Sci, Melbourne, Vic 3001, Australia</t>
  </si>
  <si>
    <t>Macquarie University; Bushfire &amp; Natural Hazards CRC; University of Iceland; Central Queensland University; Royal Melbourne Institute of Technology (RMIT)</t>
  </si>
  <si>
    <t>Bushfire and Natural Hazards Cooperative Research Centre (BNHCRC)(Australian GovernmentDepartment of Industry, Innovation and ScienceCooperative Research Centres (CRC) Programme); Risk Frontiers; Macquarie University</t>
  </si>
  <si>
    <t>This research was funded by the Bushfire and Natural Hazards Cooperative Research Centre (BNHCRC), Macquarie University, and Risk Frontiers. We gratefully acknowledge those who participated in this research - the children, school personnel, and NGO colleagues from SDN Kembangan Selatan 1 Pagi Jakarta, the Provincial Education Office and the Disaster Management Agency of DKI Jakarta, the Consortium for Disaster Education - who provided their wisdom and insights for this research.</t>
  </si>
  <si>
    <t>APR 24</t>
  </si>
  <si>
    <t>10.5194/nhess-17-595-2017</t>
  </si>
  <si>
    <t>WOS:000399920800001</t>
  </si>
  <si>
    <t>Liang, Ju; Tan, Mou Leong; Catto, Jennifer L.; Hawcroft, Matthew K.; Hodges, Kevin I.; Haywood, James M.</t>
  </si>
  <si>
    <t>Changes in the monsoon season rainfall over Peninsular Malaysia by the mid-21st century are examined using multi-model ensemble data from the CMIP6 HighResMIP experiments. We examine simulations of the present and future climate simulations run under a high emission scenario of greenhouse gases from the Shared Socioeconomic Pathways (SSP5-8.5). The combined effects of horizontal and vertical resolutions on the projected changes in monsoon rainfall and associated environmental fields are investigated by comparing the ensemble mean of the projected changes utilizing appropriate multi-model groupings. The results indicate a projected decrease (by up to 11% near Mersing of eastern Johor, for the period 2031-2050 relative to 1981-2000) in monsoon precipitation along the southeastern coast of Peninsular Malaysia during the northeast monsoon season associated with the projected weakening of the monsoon flow during boreal winter. For the northwestern regions (e.g. Perak) often affected by severe floods, a significant increase in precipitation (by up to 33%) is projected during the southwest monsoon season, partly driven by the projected strengthening of the cross-equatorial flow and the weakened low-level anti-cyclonic shear of winds in boreal summer. However, the magnitudes and signal-to-noise ratios of the projected changes vary considerably with respect to different horizontal and vertical resolutions. Firstly, models with relatively high horizontal and vertical resolutions project a more significant decrease in precipitation during the northeast monsoon season. Secondly, for the southwest monsoon season, models with relatively high horizontal resolutions project larger magnitudes of increases in precipitation over the northern region, while smaller increases are found in simulations with relatively high vertical resolutions. Generally, reduced ensemble spread and increased signal-to-noise ratios are found in simulations at higher horizontal and vertical resolutions, suggesting increased confidence in model projections with increased model resolution.</t>
  </si>
  <si>
    <t>[Liang, Ju; Catto, Jennifer L.; Haywood, James M.] Univ Exeter, Coll Engn Math &amp; Phys Sci, Exeter EX4 4QE, Devon, England; [Tan, Mou Leong] Univ Sains Malaysia, Sch Humanities, Geog Sect, GeoInformat Unit, Usm Pulau Pinang 11800, Malaysia; [Hawcroft, Matthew K.; Haywood, James M.] Met Off, Exeter EX1 3PB, Devon, England; [Hawcroft, Matthew K.] Univ Southern Queensland, Toowoomba, Qld 4300, Australia; [Hodges, Kevin I.] Univ Reading, Dept Meteorol, Reading RG6 6ET, Berks, England</t>
  </si>
  <si>
    <t>Newton Fund of The Natural Environment Research Council: IMpacts of PRecipitation from Extreme StormS -Malaysia (IMPRESS-Malaysia); Ministry of Higher Education Malaysia(Ministry of Education, Malaysia); NERC(UK Research &amp; Innovation (UKRI)Natural Environment Research Council (NERC))</t>
  </si>
  <si>
    <t>This research was supported by the Newton Fund of The Natural Environment Research Council: IMpacts of PRecipitation from Extreme StormS -Malaysia (IMPRESS-Malaysia, grant number: NE/S002707/1), and Ministry of Higher Education Malaysia (Grant Number: NEWTON/1/2018/SS07/USM//1; 203.PHUMANITI.6780001).</t>
  </si>
  <si>
    <t>10.1007/s00382-022-06363-5</t>
  </si>
  <si>
    <t>WOS:000815560700001</t>
  </si>
  <si>
    <t>Dev, Soumyabrata; Lee, Yee Hui; Winkler, Stefan</t>
  </si>
  <si>
    <t>Sky/cloud images captured by ground-based cameras (a.k.a. whole sky imagers) are increasingly used nowadays because of their applications in a number of fields, including climate modeling, weather prediction, renewable energy generation, and satellite communications. Due to the wide variety of cloud types and lighting conditions in such images, accurate and robust segmentation of clouds is challenging. In this paper, we present a supervised segmentation framework for ground-based sky/cloud images based on a systematic analysis of different color spaces and components, using partial least-squares regression. Unlike other state-of-the-art methods, our proposed approach is entirely learning based and does not require any manually defined parameters. In addition, we release the Singapore whole Sky imaging segmentation database, a large database of annotated sky/cloud images, to the research community.</t>
  </si>
  <si>
    <t>[Dev, Soumyabrata; Lee, Yee Hui] Nanyang Technol Univ, Sch Elect &amp; Elect Engn, Singapore 639798, Singapore; [Winkler, Stefan] Adv Digital Sci Ctr, Singapore 138632, Singapore</t>
  </si>
  <si>
    <t>Nanyang Technological University</t>
  </si>
  <si>
    <t>Singapore's Defence Science and Technology Agency(Defence Science and Technology Agency)</t>
  </si>
  <si>
    <t>This work was supported by a grant from Singapore's Defence Science and Technology Agency. (Corresponding author: Stefan Winkler.)</t>
  </si>
  <si>
    <t>IEEE-INST ELECTRICAL ELECTRONICS ENGINEERS INC</t>
  </si>
  <si>
    <t>PISCATAWAY</t>
  </si>
  <si>
    <t>445 HOES LANE, PISCATAWAY, NJ 08855-4141 USA</t>
  </si>
  <si>
    <t>1939-1404</t>
  </si>
  <si>
    <t>2151-1535</t>
  </si>
  <si>
    <t>IEEE J-STARS</t>
  </si>
  <si>
    <t>IEEE J. Sel. Top. Appl. Earth Observ. Remote Sens.</t>
  </si>
  <si>
    <t>10.1109/JSTARS.2016.2558474</t>
  </si>
  <si>
    <t>Engineering, Electrical &amp; Electronic; Geography, Physical; Remote Sensing; Imaging Science &amp; Photographic Technology</t>
  </si>
  <si>
    <t>WOS:000391719900021</t>
  </si>
  <si>
    <t>Suhaila, Jamaludin; Yusop, Zulkifli</t>
  </si>
  <si>
    <t>Most of the trend analysis that has been conducted has not considered the existence of a change point in the time series analysis. If these occurred, then the trend analysis will not be able to detect an obvious increasing or decreasing trend over certain parts of the time series. Furthermore, the lack of discussion on the possible factors that influenced either the decreasing or the increasing trend in the series needs to be addressed in any trend analysis. Hence, this study proposes to investigate the trends, and change point detection of mean, maximum and minimum temperature series, both annually and seasonally in Peninsular Malaysia and determine the possible factors that could contribute to the significance trends. In this study, Pettitt and sequential Mann-Kendall (SQ-MK) tests were used to examine the occurrence of any abrupt climate changes in the independent series. The analyses of the abrupt changes in temperature series suggested that most of the change points in Peninsular Malaysia were detected during the years 1996, 1997 and 1998. These detection points captured by Pettitt and SQ-MK tests are possibly related to climatic factors, such as El Nino and La Nina events. The findings also showed that the majority of the significant change points that exist in the series are related to the significant trend of the stations. Significant increasing trends of annual and seasonal mean, maximum and minimum temperatures in Peninsular Malaysia were found with a range of 2-5 degrees C/100years during the last 32years. It was observed that the magnitudes of the increasing trend in minimum temperatures were larger than the maximum temperatures for most of the studied stations, particularly at the urban stations. These increases are suspected to be linked with the effect of urban heat island other than El Nino event.</t>
  </si>
  <si>
    <t>[Suhaila, Jamaludin] Univ Teknol Malaysia, Dept Math Sci, Fac Sci, Johor Baharu 81310, Malaysia; [Yusop, Zulkifli] Univ Teknol Malaysia, Ctr Environm Sustainabil &amp; Water Secur IPASA, Johor Baharu 81310, Malaysia</t>
  </si>
  <si>
    <t>Universiti Teknologi Malaysia; Universiti Teknologi Malaysia</t>
  </si>
  <si>
    <t>Ministry of Education Malaysia(Ministry of Education, Malaysia); Universiti Teknologi Malaysia</t>
  </si>
  <si>
    <t>The authors are indebted to the anonymous reviewers for comments that have greatly improved the paper. We would like to extend our sincere gratitude to the Ministry of Education Malaysia and Universiti Teknologi Malaysia for the financial support given to this work under the post doctoral scheme and Research Grant FRGS 4F845.</t>
  </si>
  <si>
    <t>10.1007/s00703-017-0537-6</t>
  </si>
  <si>
    <t>WOS:000444410400005</t>
  </si>
  <si>
    <t>Seo, Inah; Lee, Yong Il; Ampaiwan, Tianpan; Kwon, Hyosang; Kim, Mun Gi</t>
  </si>
  <si>
    <t>The Sibumasu Terrane is a continental block in SE Asia that is considered to have been attached to Gondwana before its collision with Indochina during the Triassic. The elemental geochemistry and Sm-Nd isotopic composition of mudrocks from the lower Permian Ko Sire Formation of the Phuket Group on Phuket Island (central Sibumasu Terrane), Thailand, were analysed to investigate its provenance, weathering history and palaeogeographical location prior to its separation from Gondwana. The whole-rock elemental geochemistry identified a felsic, granodioritic source rock, which is consistent with the general consensus regarding Gondwanan sediment provenance. Despite the evidence for sediment recycling, such as abundant dropstone clasts derived from sedimentary rocks, the low degree of chemical weathering and lack of zircon enrichment indicate a cold and arid palaeoclimate in its source area, which resulted in ice-rafted transportation of clasts and suspension deposition of fine-grained clastic sediments. Sm-Nd isotopic data and previously published detrital zircon U-Pb age spectra provide more detailed information on the source-rock composition, which was similar to that of the North Australian crustal element, suggesting that the central Sibumasu Terrane was located on the northern margin of north Australia during the late Paleozoic.</t>
  </si>
  <si>
    <t>[Seo, Inah; Kim, Mun Gi] Korea Inst Ocean Sci &amp; Technol, Global Ocean Res Ctr, Busan 49111, South Korea; [Lee, Yong Il; Kwon, Hyosang] Seoul Natl Univ, Sch Earth &amp; Environm Sci, Seoul 08826, South Korea; [Ampaiwan, Tianpan] Mubadala Petr Thailand, Bangkok 10900, Thailand; [Seo, Inah] Jeonbuk Natl Univ, Dept Earth &amp; Environm Sci, Jeonju 54896, Jeollabuk Do, South Korea</t>
  </si>
  <si>
    <t>Korea Institute of Ocean Science &amp; Technology (KIOST); Seoul National University (SNU); Jeonbuk National University; Jeonbuk National University Hospital</t>
  </si>
  <si>
    <t>Korea Institute of Ocean Science and Technology; SEES BK21+ Program of the Ministry of Education; Korea Polar Research Institute(Korea Polar Research Institute of Marine Research Placement (KOPRI))</t>
  </si>
  <si>
    <t>This research was supported by the Korea Institute of Ocean Science and Technology (PE99711) and the SEES BK21+ Program of the Ministry of Education. Y. I. Lee also acknowledges support from the Korea Polar Research Institute (PE19030).</t>
  </si>
  <si>
    <t>GEOLOGICAL SOC PUBL HOUSE</t>
  </si>
  <si>
    <t>BATH</t>
  </si>
  <si>
    <t>UNIT 7, BRASSMILL ENTERPRISE CENTRE, BRASSMILL LANE, BATH BA1 3JN, AVON, ENGLAND</t>
  </si>
  <si>
    <t>0016-7649</t>
  </si>
  <si>
    <t>2041-479X</t>
  </si>
  <si>
    <t>J GEOL SOC LONDON</t>
  </si>
  <si>
    <t>J. Geol. Soc.</t>
  </si>
  <si>
    <t>10.1144/jgs2019-170</t>
  </si>
  <si>
    <t>WOS:000545766600014</t>
  </si>
  <si>
    <t>Nguyen, Thuy Linh; Asahi, Chisato; Tran, Thi An; Le, Ngoc Hanh</t>
  </si>
  <si>
    <t>The increasing unpredictable floods due to the effect of climate change across regions of Vietnam have threaten the country's socio-economic development goals at local, regional and national scales. This paper employs indicator-based approach to calculate Flood Vulnerability Index and generates vulnerability maps that reflect the spatial distribution of flood vulnerability in the Central region of Vietnam, which is the hardest hit flood region and home to many sites of great cultural-historical value. Data were collected from Hoi An's 2020 statistical yearbook, digital elevation model, land use map, open street map and from surveying experts and civil servants at the city level (representatives of the City People's Committee, the Center for Cultural Heritage Management and Preservation of Hoi An) and at ward/commune level (representatives of 12 wards and communes). GIS techniques and analytical hierarchy process were applied to analysis the obtained data and generate three scenarios that reflect the impact of vulnerability's components. The findings indicate that number of organizations in disaster prevention and historical site preservation, road density, the presence of historical sites, flood frequency and average elevation are the key factors affecting the city's vulnerability to flood hazard in the area of cultural heritage. The empirical results in Hoi An also indicate the importance of the number of poor households as an necessary factor when considering the sensitivity to flood in developing countries. In addition, this study distinguishes the impact of vulnerability's components by generating different scenarios which clearly proof that having more floods does not always mean high vulnerability and vice versa. More importantly, by looking into the reasons (either transportation, education or other indicators) that leads to the gap between Flood Vulnerability Index in different scenarios, the paper subsequently identifies measures for each locality, whereby the governmental investment budget can be prioritized effectively.</t>
  </si>
  <si>
    <t>[Nguyen, Thuy Linh] Tokyo Metropolitan Univ, Grad Sch Urban Environm Sci, Dept Urban Sci &amp; Policy, 1 1 Minami Osawa, Hachioji, Tokyo 1920397, Japan; [Nguyen, Thuy Linh] Natl Econ Univ, Fac Environm, Climate Change &amp; Urban Studies, 207 Giai Phong, Hanoi, Vietnam; [Asahi, Chisato] Tokyo Metropolitan Univ, Grad Sch Urban Environm Sci, 1 1 Minami Osawa, Hachioji, Tokyo 1920397, Japan; [Tran, Thi An] Thu Dau Mot Univ, Fac Management Sci, 06 Tran Van On, Binh Duong, Vietnam; [Le, Ngoc Hanh] Univ Danang, Univ Sci &amp; Educ, 459 Ton Duc Thang, Da Nang, Vietnam</t>
  </si>
  <si>
    <t>Tokyo Metropolitan University; National Economics University - Vietnam; Tokyo Metropolitan University; Thu Dau Mot University; University of Danang</t>
  </si>
  <si>
    <t>Tokyo Human Resources Fund (THRF) for City Diplomacy Scholarship Program at Tokyo Metropolitan University</t>
  </si>
  <si>
    <t>This research was supported by The Tokyo Human Resources Fund (THRF) for City Diplomacy Scholarship Program at Tokyo Metropolitan University.</t>
  </si>
  <si>
    <t>10.1007/s11069-022-05475-9</t>
  </si>
  <si>
    <t>WOS:000826264200001</t>
  </si>
  <si>
    <t>Stojanovic, Milica; Nieto, Raquel; Liberato, Margarida L. R.; Sori, Rogert; Vazquez, Marta; Gimeno, Luis</t>
  </si>
  <si>
    <t>A Lagrangian approach is used to identify the seasonal climatological moisture sources of the seven climate subregions of Vietnam during 1980-2017. Using the outputs from the FLEXPART model, three main oceanic moisture sources, located in the Arabian Sea, Bay of Bengal, and China Seas, and three terrestrial moisture sources, located in the Indian Peninsula, East Asia, and South Asia, are identified. The most important moisture source during the rainy season (May-October) is the Bay of Bengal, followed by the East Asia continental source for the North-East and North Plain subregions, while for the remaining sub-regions Arabian Sea is the main source. For the dry season (November-April), the China Sea supplies more than the half of the total moisture over almost all subregions, while the continental South Asia source is the primary one for the North-West subregion. The moisture contributions from oceanic moisture sources are the major contributions to the Vietnam subregions, except for the North-West subregion where the terrestrial sources form the major percentage. Severe and extremely dry conditions are identified for both the rainy and dry seasons in all subregions using the 6-month Standardised Precipitation Evapotranspiration Index (SPEI6), and a positive significant linear relationship is found between the SPEI6 time series and the anomalies of moisture contribution from the sources. Thus, for both seasons, a reduction in moisture supply from the most important sources is found during severe and extreme droughts. The dependence on ENSO phase is also assessed. Finally, although the correlations are not statistically significant, we found that the rainy (dry) season in the northern subregions show a tendency towards wetting (drying), while the opposite was found for the southern subregions. This behaviour is consistent with the trends observed in precipitation, potential evapotranspiration, and moisture contribution values from the different sources.</t>
  </si>
  <si>
    <t>[Stojanovic, Milica; Liberato, Margarida L. R.; Sori, Rogert; Vazquez, Marta] Univ Lisbon, Fac Ciencias, Inst Dom Luiz, P-1749016 Campo Grande, Portugal; [Nieto, Raquel; Sori, Rogert; Vazquez, Marta; Gimeno, Luis] Univ Vigo, CIM UVIGO, Environm Phys Lab EPhysLab, Orense, Spain; [Liberato, Margarida L. R.; Vazquez, Marta] Univ Tras Os Montes &amp; Alto Douro, Escola Ciencias &amp; Tecnol, Vila Real, Portugal</t>
  </si>
  <si>
    <t>Universidade de Lisboa; Universidade de Vigo; CIM UVIGO; University of Tras-os-Montes &amp; Alto Douro</t>
  </si>
  <si>
    <t>Fundacao para a Ciencia e a Tecnologia(Fundacao para a Ciencia e a Tecnologia (FCT)); Fundacao para a Ciencia e a Tecnologia and Portugal Horizon2020 project Weather Extremes in the Euro Atlantic Region: Assessment and Impacts-WEx-Atlantic; LAGRIMA project. Ministerio de Ciencia, Innovacion y Universidades, Spain; Xunta of Galicia(Xunta de Galicia); European Regional Development Fund(European Union (EU))</t>
  </si>
  <si>
    <t>Fundacao para a Ciencia e a Tecnologia, Grant/Award Number: UIDB/50019/2020-IDL; Fundacao para a Ciencia e a Tecnologia and Portugal Horizon2020 project Weather Extremes in the Euro Atlantic Region: Assessment and Impacts-WEx-Atlantic, Grant/Award Number: PTDC/CTA-MET/29233/2017; LAGRIMA project. Ministerio de Ciencia, Innovacion y Universidades, Spain, Grant/Award Number: RTI2018-095772-B-I00; Xunta of Galicia, Grant/Award Numbers: ED481B 2018/062, ED481B 2019/070; European Regional Development Fund</t>
  </si>
  <si>
    <t>NOV 15</t>
  </si>
  <si>
    <t>10.1002/joc.7156</t>
  </si>
  <si>
    <t>WOS:000647897100001</t>
  </si>
  <si>
    <t>Li, Jiaxun; Zhang, Ren; Ling, Zheng; Bo, Wenbo; Liu, Yuhong</t>
  </si>
  <si>
    <t>A small-scale winter warm pool covering an area of about 75,000 km(2) in the Gulf of Thailand (GOT) was uncovered using a suite of new high resolution satellite observations and historical in situ data. The core temperature of this warm pool is about 0.5-0.8 degrees C higher than that of the surroundings. The warm pool exists from the surface to the bottom of the sea. It forms in the first ten days of November, evolves to a mature stage from the mid-November to the early in January, and begins to decay in the mid-January. Our results show the formation of the warm pool is well correlated with the Cardamom Mountains on the Indo-China Peninsula. Due to the orographic effect of Cardamom Mountains, the low surface latent heat flux resulting from the wind wake leads to the formation of the warm pool in the sea. The interannual variability of the warm pool is affected by the El Nino-Southern Oscillation (ENSO) by modulating the strength of northeast monsoon each year. The warm pool has a possible implication for the marine ecosystem in the GoT. (C) 2014 Elsevier Ltd. All rights reserved.</t>
  </si>
  <si>
    <t>[Li, Jiaxun; Zhang, Ren] PLA Univ Sci &amp; Technol, Coll Meteorol &amp; Oceanog, Nanjing, Peoples R China; [Li, Jiaxun; Bo, Wenbo; Liu, Yuhong] Naval Inst Hydrog Surveying &amp; Charting, Tianjin 300061, Peoples R China; [Li, Jiaxun; Ling, Zheng] SOA, Inst Oceanog 2, State Key Lab Satellite Ocean Environm Dynam, Hangzhou, Zhejiang, Peoples R China</t>
  </si>
  <si>
    <t>Army Engineering University of PLA; Ministry of Natural Resources of the People's Republic of China; Second Institute of Oceanography, Ministry of Natural Resources</t>
  </si>
  <si>
    <t>Natural Science Foundation of China(National Natural Science Foundation of China (NSFC)); National Basic Research Program of China(National Basic Research Program of China)</t>
  </si>
  <si>
    <t>We wish to thank Guihua Wang of State Key Laboratory of Satellite Ocean Environment Dynamics (SOED) for constructive suggestions on the paper. This work was initiated when J.X.L. was a visiting student at the SOED. This study was supported by the Natural Science Foundation of China (41406004, 41125019, 41306024, 41276088), and the National Basic Research Program of China (2013CB430301). Comments from the anonymous reviewers and the editor are helpful to improve the manuscript.</t>
  </si>
  <si>
    <t>10.1016/j.csr.2014.10.001</t>
  </si>
  <si>
    <t>WOS:000347603900017</t>
  </si>
  <si>
    <t>Huong Hoang-Thi; Fahad, Shah; Shah, Ashfaq Ahmad; Tung Nguyen-Huu-Minh; Tuan Nguyen-Anh; Song Nguyen-Van; Nguyen To-The; Huong Nguyen-Thi-Lan</t>
  </si>
  <si>
    <t>The steep parts of Vietnam face more rain, frost, flash flooding, and landslides than the plains and lowlands, making them more vulnerable to disasters and experience severe natural calamities every year. In mountainous areas, water shortages are becoming increasingly problematic as a result of the impacts of climate change and measures to promote water conservation in mountainous areas are more challenging. In an attempt to optimize the environmental advantages of water conservation strategies, it is critical to understand the factors that influence household water consumption decisions. This study aims to focus on assessing the adoption behavior of water conservation among 778 households in 8 mountainous provinces of Vietnam. In this study, the multivariate probit model (MPV) is used to examine the relationship between intrinsic and extrinsic variables and five household water-use activities. The current study looked at the factors that influence the adoption of five different water conservation measures by households and variables related to the cognition of climate change, household characteristics and innate human qualities. The findings of this study reveal positive correlations between intrinsic and extrinsic variables and five household water-use activities. The results suggest that all intrinsic factors had a positive effect on the likelihood of implementing all five water-conserving strategies. However, extrinsic factors such as access to microcredit, rain, and cooperation are all factors that have a detrimental impact on water conservation measures. Based on the outcomes of the MPV model, we may assert that awareness of the effects of climate change is a contributing factor in explaining the adoption of water preservation strategies. The study areas and other similar regions in the country could benefit from a better understanding of the intrinsic and extrinsic characteristics of households to build relevant interventions for water conservation. Future studies are needed to determine how psychological mechanisms of behavior change and how perception of water scarcity affects intention of water usage.</t>
  </si>
  <si>
    <t>[Huong Hoang-Thi; Tuan Nguyen-Anh; Nguyen To-The; Huong Nguyen-Thi-Lan] Vietnam Natl Univ, VNU Univ Econ &amp; Business, Hanoi, Vietnam; [Fahad, Shah] Leshan Normal Univ, Sch Econ &amp; Management, Leshan, Peoples R China; [Shah, Ashfaq Ahmad] Hohai Univ, Res Ctr Environm &amp; Soc, Nanjing, Peoples R China; [Shah, Ashfaq Ahmad] Hohai Univ, Sch Publ Adm, Gulou, Jiangsu, Peoples R China; [Tung Nguyen-Huu-Minh] Amsterdam High Sch Gifted, Hanoi, Vietnam; [Song Nguyen-Van] Vietnam Natl Agr Univ, Hanoi, Vietnam; [Nguyen To-The] Thang Long Univ, TIMAS, Hanoi, Vietnam</t>
  </si>
  <si>
    <t>Vietnam National University Hanoi; Leshan Normal University; Hohai University; Hohai University</t>
  </si>
  <si>
    <t>10.1007/s11069-022-05596-1</t>
  </si>
  <si>
    <t>WOS:000850417200002</t>
  </si>
  <si>
    <t>Seekao, Chaiyaporn; Pharino, Chanathip</t>
  </si>
  <si>
    <t>Increasing climate variability, particularly flooding, severely impacts shrimp production yields and global seafood supply. Effective reduction of the impacts of flood vulnerability depends on level and readiness of the adaptive capacity. This study investigated key factors affecting the adaptive capacity of shrimp farmers in Thailand. This case study focused on the largest shrimp farming areas at a provincial level. Data collection was carried out using questionnaires and person-to-person interviews. Approximately 100 shrimp farmers who had experienced previous flood events were interviewed to help classify the impact scales of key factors on adaptation. Five socio-economic characteristics (education level, farming experience, income level, farm size, and supplemental occupations) are important factors in making the decision to apply adaptive alternatives. Currently, the main adaptive practices employed by shrimp farmers in the study area are placing nets around ponds and constructing dykes to enclose shrimp ponds. However, poverty and limited access to financial resources are the major constraints affecting the adaptive capacity to combat future flooding events. For farmers whose farms are located in vulnerable areas and who have limited financial resource, an implementation of non-structural techniques, such as changing crop patterns and altering harvest seasons, should be promoted. (C) 2016 Elsevier Ltd. All rights reserved.</t>
  </si>
  <si>
    <t>[Seekao, Chaiyaporn] Chulalongkorn Univ, Grad Sch, Int Postgrad Program Environm Management, Bangkok 10330, Thailand; [Seekao, Chaiyaporn; Pharino, Chanathip] Ctr Excellence Hazardous Subst Management HSM, Bangkok 10330, Thailand; [Pharino, Chanathip] Chulalongkorn Univ, Dept Environm Engn, Fac Engn, Bangkok 10330, Thailand</t>
  </si>
  <si>
    <t>Chulalongkorn University; Chulalongkorn University</t>
  </si>
  <si>
    <t>Ratchadaphiseksomphot Endowment Fund of Chulalongkorn University(Chulalongkorn University)</t>
  </si>
  <si>
    <t>This research has been supported by the Ratchadaphiseksomphot Endowment Fund 2015 of Chulalongkorn University (CU-58-060-CC). The researchers would like to thank the officers from the Department of Fisheries of Thailand and the Geo-Informatics and Space Technology Development Agency (GISTDA) for providing information and data for the research analysis. We would like to thank all study participants and the questionnaire survey team and others whose names might not be listed here for their kindness and contributions to the research investigation.</t>
  </si>
  <si>
    <t>10.1016/j.ijdrr.2016.04.012</t>
  </si>
  <si>
    <t>WOS:000384837100017</t>
  </si>
  <si>
    <t>Tran, Thanh-Nhan-Duc; Le, Manh-Hung; Zhang, Runze; Nguyen, Binh Quang; Bolten, John D.; Lakshmi, Venkataraman</t>
  </si>
  <si>
    <t>The use of satellite-based precipitation products (SPPs) have become increasingly prevalent as key inputs to provide regional rainfall for improving hydrological simulations in data-spare regions. This study introduces a new approach - Comprehensive Assessment Framework of Rainfall (CAFR) to evaluate six satellite-based precipitation products (SPPs) for eleven basins with different sizes across Vietnam (2007-2015). These SPPs include the Global Precipitation Mission (GPM) Integrated Multi-satellitE Retrievals for Global Precipitation Measurement Final run Version 6 (GPM IMERGF V6), Multi-Source Weighted-Ensemble Precipitation (MSWEP) V2.2, Soil Moisture to Rain (SM2RAIN) - Advanced SCATterometer (ASCAT) V1.5, Asian Precipitation-Highly-Resolved Observational Data Integration Towards Evaluation (APHRODITE) V1901, Climate Hazards group Infrared Precipitation with Stations (CHIRPS) V2.0, and Precipitation Estimation from Remotely Sensed Information using Artificial Neural Networks (PERSIANN) - Climate Data Record (CDR) V1.0. With the proposed CAFR: (1) IMERGF is suggested to have the best performance overall, especially when simulating flood peaks; (2) SM2RAIN-ASCAT demonstrates the best skills in metrics related to the dry season; (3) For streamflow simulations, SPPs' performance is sensitive to basin size, with larger basins showing better performance skills. In this study, we demonstrate the capability of our proposed framework to better understand SPP applications in hydrological modeling.</t>
  </si>
  <si>
    <t>[Tran, Thanh-Nhan-Duc; Zhang, Runze; Lakshmi, Venkataraman] Univ Virginia, Dept Engn Syst &amp; Environm, Charlottesville, VA 22904 USA; [Le, Manh-Hung; Bolten, John D.] NASA Goddard Space Flight Ctr, Hydrol Sci Lab, Greenbelt, MD 20771 USA; [Le, Manh-Hung] Sci Applicat Int Corp, Greenbelt, MD 20771 USA; [Nguyen, Binh Quang] Univ Sci &amp; Technol, Univ Da Nang, Fac Water Resources Engn, Da Nang 550000, Vietnam</t>
  </si>
  <si>
    <t>University of Virginia; National Aeronautics &amp; Space Administration (NASA); NASA Goddard Space Flight Center; Science Applications International Corporation (SAIC); University of Danang</t>
  </si>
  <si>
    <t>University of Virginia, Charlottesville, VA, the U.S.</t>
  </si>
  <si>
    <t>This project received funding from the University of Virginia, Charlottesville, VA, the U.S. We sincerely thank the institutions for granting us access to the in-situ data critical for this study. We extend our gratitude to NASA, the Climate Hazards Group at the University ofCalifornia, Santa Barbara, the Center for Hydrometeorology and Remote Sensing at the University of California, Irvine, the authors of the Soil Moisture to Rain and Multi-Source Weighted-Ensemble Precipitation for providing access to the SPP products. We also thank the Vietnam Meteorological and Hydrological Administration for rain gauge and streamflow observations. Furthermore, we wish to acknowledge the anonymous reviewers for their valuable feedback and recommenda-tions, which have enhanced the quality of this paper.</t>
  </si>
  <si>
    <t>SEP 15</t>
  </si>
  <si>
    <t>10.1016/j.atmosres.2023.106923</t>
  </si>
  <si>
    <t>WOS:001039387200001</t>
  </si>
  <si>
    <t>Huang, Huasheng; Morley, Robert J.; Licht, Alexis; Dupont-Nivet, Guillaume; Perez-Pinedo, Daniel; Westerweel, Jan; Win, Zaw; Aung, Day Wa; Lelono, Eko Budi; Aleksandrova, Galina N.; Saxena, Ramesh K.; Hoorn, Carina</t>
  </si>
  <si>
    <t>The Burma Terrane has yielded some of the earliest pieces of evidence for monsoonal rainfall in the Bay of Bengal. However, Burmese ecosystems and their potential monsoonal imprint remain poorly studied. This study focuses on the late Eocene Yaw Formation (23 degrees N) in central Myanmar, which was located near the equator (c. 5 degrees N) during the Eocene. We quantitatively assessed the past vegetation, climate, and depositional environments with sporomorph diagrams, bioclimatic analysis, and sequence biostratigraphy. We calculated the palynological diversity and drew inferences with rarefaction analysis by comparing with four other middle to late Eocene tropical palynofloras. Palynological results highlight a high floristic diversity for the palynoflora throughout the section formed by six pollen zones characterized by different vegetation. They indicate that lowland evergreen forests and swamps dominated in the Eocene Burmese deltaic plains while terra firma areas were occupied by seasonal evergreen, seasonally dry, and deciduous forests. This vegetation pattern is typical to what is found around the Bay of Bengal today and supports a monsoon-like climate at the time of the Yaw Formation. Bioclimatic analysis further suggests that in the late Eocene, the Yaw Formation was more seasonal, drier, and cooler compared to modern-day climate at similar near-equatorial latitude. More seasonal and drier conditions can be explained by a well-marked seasonal migration of the Intertropical Convergence Zone (ITCZ), driver of proto-monsoonal rainfall. Cooler temperatures in the late Eocene of central Myanmar may be due to the lack of adequate modern analogues for the Eocene monsoonal climate, while those found at other three Eocene Asian paleobotanical sites (India and South China) may be caused by the effect of canopy evapotranspirational cooling. Our data suggest that paleoenvironmental change including two transgressive-regressive depositional sequences is controlled by global sea level change, which may be driven by climate change and tectonics. The high diversity of the Yaw Formation palynoflora, despite well-marked seasonality, is explained by its crossroads location for plant dispersals between India and Asia.(c) 2022 China University of Geosciences (Beijing) and Peking University. Production and hosting by Elsevier B.V. This is an open access article under the CC BY-NC-ND license (http://creativecommons.org/ licenses/by-nc-nd/4.0/).</t>
  </si>
  <si>
    <t>[Huang, Huasheng; Perez-Pinedo, Daniel; Hoorn, Carina] Univ Amsterdam, Inst Biodivers &amp; Ecosyst Dynam IBED, NL-1090 GE Amsterdam, Netherlands; [Morley, Robert J.] Palynova Ltd, 1 Mow Fen Rd, Littleport CB6 1PY, Cambs, England; [Morley, Robert J.] Royal Holloway Univ London, Dept Earth Sci, Surrey TW20 0EX, Surrey, England; [Licht, Alexis] Ctr Rech &amp; Enseignement Geosci Environm CEREGE, Aix En Provence, France; [Dupont-Nivet, Guillaume] Univ Potsdam, Inst Geowissensch, D-14476 Potsdam, Germany; [Dupont-Nivet, Guillaume; Westerweel, Jan] CNRS, Geosci Rennes, F-35042 Rennes, France; [Dupont-Nivet, Guillaume; Westerweel, Jan] Univ Rennes 1, F-35042 Rennes, France; [Win, Zaw] Shwe Bo Univ, Geol Dept, Sagaing Region, Myanmar; [Aung, Day Wa] Univ Yangon, Dept Geol, Pyay Rd, Yangon, Myanmar; [Lelono, Eko Budi] Badan Geol, Jl Soekarno Hatta 444, Bandung 40254, Indonesia; [Aleksandrova, Galina N.] Russian Acad Sci, Geol Inst, Pyzhevsky Pereulok 7, Moscow 119017, Russia; [Saxena, Ramesh K.] Birbal Sahni Inst Palaeosci, 53 Univ Rd, Lucknow 226007, Uttar Pradesh, India; [Huang, Huasheng] Univ Florence, Dept Earth Sci, Via G La Pira 4, I-50121 Florence, Italy; [Perez-Pinedo, Daniel] Mem Univ New Foundland, Dept Earth Sci, St John, NL A1B 3X5, Canada</t>
  </si>
  <si>
    <t>University of Amsterdam; University of London; Royal Holloway University London; Aix-Marseille Universite; University of Potsdam; Centre National de la Recherche Scientifique (CNRS); Universite de Rennes; Universite de Rennes; University of Yangon; Geological Institute, Russian Academy of Sciences; Russian Academy of Sciences; Department of Science &amp; Technology (India); Birbal Sahni Institute of Palaeobotany (BSIP); University of Florence; Memorial University Newfoundland</t>
  </si>
  <si>
    <t>China Scholarship Council (CSC)(China Scholarship Council); University of Amsterdam; European Research Council(European Research Council (ERC)); ANR(Agence Nationale de la Recherche (ANR)); Agence Nationale de la Recherche (ANR)(Agence Nationale de la Recherche (ANR))</t>
  </si>
  <si>
    <t>We are indebted to all members of the Myanmar Paleoclimate and Geodynamics research group for sample collection. We thank Annemarie Philip and Malcolm Jones for processing palynological samples; Friogeir Grimsson and Reinhard Zetter for assistance on microphotography and identification of palynomorphs; Shufeng Li and He Tang for help on bioclimatic analysis; Phillip Jardine for support on rarefaction analysis and helpful comments on an initial draft. We also thank the two anonymous reviewers for their constructive comments that helped us to improve the manuscript. H.H. was supported by the China Scholarship Council (CSC grant 201604910677) and the University of Amsterdam; A.L., G.D.-N., and J.W. acknowledge the European Research Council Consolidator Grant (MAGIC 649081); A.L. was additionally funded by the ANR grant ANR-19-ERC7-0007.</t>
  </si>
  <si>
    <t>CHINA UNIV GEOSCIENCES, BEIJING</t>
  </si>
  <si>
    <t>HAIDIAN DISTRICT</t>
  </si>
  <si>
    <t>29 XUEYUAN RD, HAIDIAN DISTRICT, 100083, PEOPLES R CHINA</t>
  </si>
  <si>
    <t>1674-9871</t>
  </si>
  <si>
    <t>GEOSCI FRONT</t>
  </si>
  <si>
    <t>Geosci. Front.</t>
  </si>
  <si>
    <t>10.1016/j.gsf.2022.101457</t>
  </si>
  <si>
    <t>WOS:000852681600003</t>
  </si>
  <si>
    <t>Teng, Hsu-Feng; Done, James M.; Kuo, Ying-Hwa</t>
  </si>
  <si>
    <t>This study analyses the impacts of tropical cyclones (TCs) that formed in monsoon and easterly environments on the major coastlines of the western North Pacific (WNP) basin during 1981-2009. The TC formation processes, defined as the development of tropical cloud cluster to TC, associated with monsoon environments (monsoon trough, monsoon confluence, and north of monsoon trough) are categorized into monsoon-type TCs (monsoon-TCs). Similarly, those associated with easterly flow environments (easterly flow west and southwest of subtropical high) are categorized into easterly-type TCs (easterly-TCs). Monsoon-TCs form farther westward and at lower latitudes than easterly-TCs, contributing to higher landfall proportion on the coastal countries for monsoon-TCs. Monsoon-TCs have a higher probability of affecting southern China, Taiwan and Vietnam, while easterly-TCs tend to affect eastern China, southern Japan and the Philippines. Monsoon-TCs have more widely dispersed rainfall and slower translation speed during landfall than easterly-TCs. These characteristics are consistent with stronger environmental moisture transport and weaker steering flow in monsoon environments. Landfalling TC intensity and size are not different between easterly- and monsoon-TCs. Both easterly- and monsoon-TCs have interannual (1-4 years) and interdecadal (8-11 years) variability, which are related to variability of the large-scale monsoon trough. El Nino-Southern Oscillation is significantly correlated with the interannual variability of easterly- and monsoon-TCs, and changes in the monsoon-TC landfall proportion and easterly-TC landfall intensity. The interdecadal variability mainly affects the background vorticity and cyclonic circulation, leading to changes in the formation number of easterly- and monsoon-TCs. In summary, this study provides evidence for connections between multiscale variability of the large-scale monsoon and easterly patterns, TC formation environments, and TC impacts on the WNP coasts.</t>
  </si>
  <si>
    <t>[Teng, Hsu-Feng; Done, James M.; Kuo, Ying-Hwa] Natl Ctr Atmospher Res, 3450 Mitchell Ln, Boulder, CO 80301 USA; [Done, James M.] Willis Res Network, London, England; [Kuo, Ying-Hwa] Univ Corp Atmospher Res, Boulder, CO USA</t>
  </si>
  <si>
    <t>National Center Atmospheric Research (NCAR) - USA; National Center Atmospheric Research (NCAR) - USA</t>
  </si>
  <si>
    <t>Ministry of Science and Technology(Spanish Government); UCAR-NSPO</t>
  </si>
  <si>
    <t>Ministry of Science and Technology, Grant/Award Number: 106-2917-I-564-047; UCAR-NSPO, Grant/Award Number: Agreement Implementing Arrangement #5</t>
  </si>
  <si>
    <t>10.1002/qj.4108</t>
  </si>
  <si>
    <t>WOS:000661623000001</t>
  </si>
  <si>
    <t>Manalo, John A.; Matsumoto, Jun; Takahashi, Hiroshi G.; Villafuerte, Marcelino Q.; Olaguera, Lyndon Mark P.; Ren, Guoyu; Cinco, Thelma A.</t>
  </si>
  <si>
    <t>This paper presents a comprehensive analysis of the effect of urbanization on the surface air temperature (SAT) from 1951 to 2018 in the Philippines. The daily minimum temperature (T-min) and daily maximum temperature (T-max) records from 34 meteorological stations were used to derive extreme temperature indices. These stations were then classified as urban or rural based on satellite night-lights. The results showed a significant difference in the SAT trends between urban and rural stations, indicative of the effect of urbanization in the country. Larger and more significant warming trends were observed in indices related to T-min than those related to T-max. In particular, the effects of urbanization were significant in the annual index series of T-min, diurnal temperature range, minimum T-min, percentage of days when T-min was less than the 10th percentile (T-N10p), percentage of days when T-min was greater than 90th percentile (T-N90p), and the number of coldest nights. The effects of urbanization were not as clear on the index series of maximum T-max (T-Xx), minimum T-max (T-Xn), percentage of days when T-max was less than 10th percentile (T-X10p), and the number of hottest days. The effects of urbanization on the annual series of extreme temperature indices were statistically significant at the 95% confidence level, with the exception of T-max, T-Xn, T-Xx, T-X10p, and the number of hottest days. Further analysis revealed that the effect of urbanization was the greatest during the DJF (December-January-February) season. These findings serve as a baseline study that focuses on the countrywide effect of urbanization on SAT trends in the Philippines.</t>
  </si>
  <si>
    <t>[Manalo, John A.; Matsumoto, Jun; Takahashi, Hiroshi G.] Tokyo Metropolitan Univ, Grad Sch Urban Environm Sci, Dept Geog, 1-1 Minami Osawa, Hachioji, Tokyo 1920397, Japan; [Manalo, John A.; Villafuerte, Marcelino Q.; Cinco, Thelma A.] Philippine Atmospher Geophys &amp; Astron Serv Adm DO, Dept Sci &amp; Technol, Quezon City, Philippines; [Matsumoto, Jun] Japan Agcy Marine Earth Sci &amp; Technol, Dept Coupled Ocean Atmosphere Land Proc Res, Yokosuka, Kanagawa, Japan; [Olaguera, Lyndon Mark P.] Ateneo de Manila Univ Campus, Manila Observ, Reg Climate Syst Lab, Quezon City, Philippines; [Olaguera, Lyndon Mark P.] Ateneo Manila Univ, Phys Dept, Quezon City, Philippines; [Ren, Guoyu] China Univ Geosci, Sch Environm Studies, Dept Atmospher Sci, Wuhan, Peoples R China; [Ren, Guoyu] China Meteorol Adm, Natl Climate Ctr, Beijing, Peoples R China</t>
  </si>
  <si>
    <t>Tokyo Metropolitan University; Department of Science &amp; Technology (DOST), Philippines; Japan Agency for Marine-Earth Science &amp; Technology (JAMSTEC); Ateneo de Manila University; Ateneo de Manila University; China University of Geosciences; China Meteorological Administration</t>
  </si>
  <si>
    <t>Japan Society for the Promotion of Science(Ministry of Education, Culture, Sports, Science and Technology, Japan (MEXT)Japan Society for the Promotion of Science); Tokyo Metropolitan Government Advanced Research Program; Tokyo Metropolitan University; National Key Research and Development Program of China; Japan International Cooperation Agency; Japan Science and Technology Agency(Japan Science &amp; Technology Agency (JST)); Science and Technology Research Partnership for Sustainable Development; Grants-in-Aid for Scientific Research(Ministry of Education, Culture, Sports, Science and Technology, Japan (MEXT)Japan Society for the Promotion of ScienceGrants-in-Aid for Scientific Research (KAKENHI))</t>
  </si>
  <si>
    <t>Japan Society for the Promotion of Science, Grant/Award Number: 19H00562, 17H06116, 20H01386; Tokyo Metropolitan Government Advanced Research Program, Grant/Award Number: H28-2; Tokyo Metropolitan University; National Key Research and Development Program of China, Grant/Award Number: 2018YFA0605603; Japan International Cooperation Agency; Japan Science and Technology Agency; Science and Technology Research Partnership for Sustainable Development, Grant/Award Number: JPMJSA1612</t>
  </si>
  <si>
    <t>10.1002/joc.7276</t>
  </si>
  <si>
    <t>WOS:000671854700001</t>
  </si>
  <si>
    <t>Mohammed, Ibrahim Nourein; Bolten, John D.; Srinivasan, Raghavan; Lakshmi, Venkat</t>
  </si>
  <si>
    <t>In this work, we have used the Soil &amp; Water Assessment Tool (SWAT) to examine streamflow variability of the Lower Mekong River Basin (LMRB) associated with changes in the Upper Mekong River Basin (UMRB) inflows. Two hypothetical experiments were formulated and evaluated for the LMRB, where we conducted runoff simulations with multiple inflow changes that include upstream runoff yield increase and decrease scenarios. Streamflow variability of the LMRB was quantified by two streamflow metrics that explain flow variability and predictability, and high flow disturbance. The model experiments were performed for the Lower Mekong River Basin with identical climate, soil, and other watershed characteristics data. Remote sensing precipitation (Tropical Rainfall Measurement Mission, TRMM, and Global Precipitation Measurement mission, GPM), meteorological data as well as spatial data that include a digital elevation model, newly developed soil information (Harmonized World Soil Database, HWSD), and land use and land cover were processed as input to the LMRB model simulations. Observed daily streamflow data along the Lower Mekong River from Chiang Sean, Thailand to Kratie, Cambodia were used for calibration and validation. Our work results suggest that the Lower Mekong River streamflow is highly variable and has a low predictability (Colwell index of about 32%). We found that releasing more water from upstream Mekong during rainfall months by 30% would result in a reduction in the Lower Mekong streamflow predictability by about 21%. This reduction in predictability is mainly attributed to a decrease in the Contingency index. Our work shows that the ability to predict floods/droughts at the Lower Mekong River would be reduced if there is any anticipated change (i.e., increase/decrease) from UMRB releases. Our results also show that releasing more flows from the upstream Mekong would also affect flood duration and the frequency of flood occurrences downstream. The results of this work thus help to quantify the sensitivity of streamflow variability at the Lower Mekong River Basin to upstream anthropogenic changes.</t>
  </si>
  <si>
    <t>[Mohammed, Ibrahim Nourein] NASA, Goddard Space Flight Ctr, Hydrol Sci Lab, Sci Applicat Int Corp, Mail Code 617-0, Greenbelt, MD 20771 USA; [Bolten, John D.] NASA, Goddard Space Flight Ctr, Hydrol Sci Lab, Mail Code 617, Greenbelt, MD 20771 USA; [Srinivasan, Raghavan] Texas A&amp;M Univ, Dept Ecosyst Sci &amp; Management, Spatial Sci Lab, College Stn, TX 77843 USA; [Lakshmi, Venkat] Univ South Carolina, Sch Earth Ocean &amp; Environm, Columbia, SC 29208 USA</t>
  </si>
  <si>
    <t>Science Applications International Corporation (SAIC); National Aeronautics &amp; Space Administration (NASA); NASA Goddard Space Flight Center; National Aeronautics &amp; Space Administration (NASA); NASA Goddard Space Flight Center; Texas A&amp;M University System; Texas A&amp;M University College Station; University of South Carolina System; University of South Carolina Columbia</t>
  </si>
  <si>
    <t>National Aeronautics and Space Administration (NASA), Goddard Space Flight Center (GSFC) Applied Sciences Grants</t>
  </si>
  <si>
    <t>This work was fully supported by the National Aeronautics and Space Administration (NASA), Goddard Space Flight Center (GSFC) Applied Sciences Grants NNX16AT88G, NNX16AT86G, and NNG15HQ01C. Special thanks are extended to Joe Spruce who processed and shared with us the Land Use/Land Cover map for the Lower Mekong Basin. Any opinions, findings, and conclusions or recommendations expressed in this work are those of the author(s) and do not necessarily reflect the views of the National Aeronautics and Space Agency, Science Systems and Applications, Inc., and Science Applications International Corporation.</t>
  </si>
  <si>
    <t>10.1016/j.jhydrol.2018.07.030</t>
  </si>
  <si>
    <t>WOS:000445316200045</t>
  </si>
  <si>
    <t>Priyambodoho, Bambang Adhi; Kure, Shuichi; Yagi, Ryuusei; Januriyadi, Nurul Fajar</t>
  </si>
  <si>
    <t>Jakarta is the capital of Indonesia and is considered one of the most vulnerable cities to climate-related disasters, including flooding, sea-level rise, and storm surges. Therefore, the development of a flood-forecasting system for Jakarta is crucial. However, the accurate prediction of flooding in Jakarta is challenging because of the short flood concentration time in highly urbanized basins and the shortage of rainfall data in poorly gauged areas. The aim of this study is to simulate recent flood inundation using global satellite mapping of precipitation (GSMaP) products. The GSMaP products (NRT and Gauge V7) were evaluated and compared with hourly observation data from five ground stations in the Ciliwung River Basin. In addition, a rainfall-runoff and flood inundation model was applied to the target basin. The results of the analysis showed that the GSMaP Gauge data were more accurate than the GSMaP NRT data. However, the GSMaP Gauge cannot be used to provide real-time rainfall data and is, therefore, inadequate for real-time flood forecasting. We conclude that the GSMaP Gauge is suitable for replicating past flood events, but it is challenging to use the GSMaP NRT for real-time flood forecasting in Jakarta.</t>
  </si>
  <si>
    <t>[Priyambodoho, Bambang Adhi; Yagi, Ryuusei] Toyama Prefectural Univ, Grad Sch Engn, Environm &amp; Civil Engn, 5180 Kurokawa Imizu, Toyama 9390398, Japan; [Kure, Shuichi] Toyama Prefectural Univ, Dept Environm &amp; Civil Engn, 5180 Kurokawa Imizu, Toyama 9390398, Japan; [Januriyadi, Nurul Fajar] Pertamina Univ, Dept Civil Engn, Jalan Teuku Nyak Arief, Jakarta 12220, Indonesia</t>
  </si>
  <si>
    <t>Toyama Prefectural University; Toyama Prefectural University</t>
  </si>
  <si>
    <t>Environment Research and Technology Development Fund of the Environmental Restoration and Conservation Agency of Japan</t>
  </si>
  <si>
    <t>This research was performed by the Environment Research and Technology Development Fund (JPMEERF15S11415) of the Environmental Restoration and Conservation Agency of Japan.</t>
  </si>
  <si>
    <t>MAY 28</t>
  </si>
  <si>
    <t>10.1186/s40645-021-00425-8</t>
  </si>
  <si>
    <t>WOS:000655862100001</t>
  </si>
  <si>
    <t>Priyambodoho, Bambang Adhi; Kure, Shuichi; Januriyadi, Nurul Fajar; Farid, Mohammad; Varquez, Alvin Christopher Galang; Kanda, Manabu; Kazama, So</t>
  </si>
  <si>
    <t>Flood risks associated with changes in land use and climate are a common concern, especially in relation to their potential effects on many cities around the world. Jakarta is a typical urbanized Asian city in Indonesia where flooding presents a consistent challenge. This study aimed to quantify the effects of land use and climate change using a flood inundation model to analyze future urban growth and climate change scenarios. The projected rainfall data of RCP2.6-SSP1 and RCP8.5-SSP3, based on the WRF simulation, were used as inputs for rainfall-runoff and flood inundation simulations in Jakarta. In addition, RCP2.6 and RCP8.5, without urban development scenarios, were investigated to determine the effects of urbanization in Jakarta. The results showed that rainfall intensity, peak discharge, and flood inundation generally increased in the high RCP and SSP future scenarios. Significantly, the RCP2.6-SSP1 scenario showed a higher peak discharge value than RCP8.5, owing to the combination of land-use change and increased rainfall. We conclude that the effects of urban development on atmospheric and runoff processes should be considered in climate change studies in urban areas.</t>
  </si>
  <si>
    <t>[Priyambodoho, Bambang Adhi; Kure, Shuichi] Toyama Prefectural Univ, 5180 Kurokawa, Imizu, Toyama 9390398, Japan; [Januriyadi, Nurul Fajar] Univ Pertamina, Jakarta, Indonesia; [Farid, Mohammad] Inst Teknol Bandung, Bandung, Indonesia; [Varquez, Alvin Christopher Galang; Kanda, Manabu] Tokyo Inst Technol, Tokyo, Japan; [Kazama, So] Tohoku Univ, Sendai, Miyagi, Japan</t>
  </si>
  <si>
    <t>Toyama Prefectural University; Institute Technology of Bandung; Tokyo Institute of Technology; Tohoku University</t>
  </si>
  <si>
    <t>Environment Research and Technology Development Fund; Environmental Restoration and Conservation Agency of Japan; BMKG Indonesia</t>
  </si>
  <si>
    <t>This research was supported by the Environment Research and Technology Development Fund (JPMEERF15S11415) of the Environmental Restoration and Conservation Agency of Japan. Hourly observed rainfall data in Jakarta were provided by BMKG Indonesia under the support of the ITB. We appreciate both BMKG and ITB.</t>
  </si>
  <si>
    <t>10.20965/jdr.2022.p0516</t>
  </si>
  <si>
    <t>WOS:000806742200002</t>
  </si>
  <si>
    <t>Zhang, Peng; Mei, Lianfu; Jiang, Shao-Yong; Xu, Sihuang; Donelick, Raymond A.; Li, Renyuan; Zhang, Hao</t>
  </si>
  <si>
    <t>The evolution of large fluvial drainages in SE Tibet and adjacent areas reflects the degree of coupling between tectonics, erosion, and climate. Reconstruction of their spatio-temporal development provides significant constraints for our understanding of the palaeogeographic evolution of numerous blocks in this domain. The Burmese continental margin drained by the Irrawaddy River and its tributaries includes blocks of the Burma Terrane and the Mount Victoria Land (Eastern Belt of the Indo-Burman Ranges). To investigate how was this margin developed from the amalgamation of the two blocks since the midCretaceous, we present seismic profiles, sedimentary budget, sandstone petrography, bulk-rock geochemistry, and detrital apatite U-Pb ages from the margin. Our results show that provenance of the Burmese Forearc and Backarc depressions shifted from the proximal Western Myanmar Arc and equivalents within northern Burma Terrane to the northern Mogok Metamorphic Belt and Dianxi-Burman batholiths within SE Tibet during the late Paleogene. The provenance transition is synchronous with tectonic evolution of the Burma Terrane from an(a) oceanic/continental island arc setting to an active continental margin. We propose an evolved Western Pacific-type margin for the Burma Terrane, which is dominated by typical accretionary wedge, calc-alkaline island arc, and extensional forearc/backarc basins. An increase in sediment accumulation rates (SARs) in the Burmese Forearc indicates that the input from basement rocks within northern Burma Terrane (Tagaung-Myitkyina Belt) became more prominent and the Eastern Belt of the northern Indo-Burman Ranges were totally exposed in the Middle-Late Eocene. This result corroborates the Burma Terrane assembled with SE Asia (Sibumasu Terrane) before the Middle Eocene. The first presence of SE Tibet-like detritus and the diversification of SARs in the Burmese Forearc and Backarc in the Oligocene are compatible with dextral motion on the Sagaing Fault, which may have triggered the birth of the palaeo-Irrawaddy river and fluvial drainage reorganization in its upper reaches. Higher sedimentary fluxes recorded in the Burmese Forearc and Backarc depressions and the Andaman Sea during the Neogene are compatible with enhanced rock erosion within SE Tibet and thus, can be explained by rapid tectonic uplift and an intensified Asia monsoon in this region. (c) 2021 International Association for Gondwana Research. Published by Elsevier B.V. All rights reserved.</t>
  </si>
  <si>
    <t>[Zhang, Peng] China Univ Geosci, Sch Earth Resources, Wuhan 430074, Peoples R China; [Mei, Lianfu; Xu, Sihuang] China Univ Geosci, Minist Educ, Key Lab Tecton &amp; Petr Resources, Wuhan 430074, Peoples R China; [Jiang, Shao-Yong] China Univ Geosci, Fac Earth Resources, Collaborat Innovat Ctr Explorat Strateg Mineral R, State Key Lab Geol Proc &amp; Mineral Resources, Wuhan 430074, Peoples R China; [Donelick, Raymond A.] Apatitecom Partners LLC, Viola, ID 83872 USA; [Li, Renyuan] China Natl Offshore Oil Corp CNOOC, Int Ltd, Beijing 10027, Peoples R China; [Zhang, Hao] Hubei Coal Geol Explorat Inst, Wuhan 430000, Peoples R China</t>
  </si>
  <si>
    <t>China University of Geosciences; China University of Geosciences; China University of Geosciences; China National Offshore Oil Corporation (CNOOC)</t>
  </si>
  <si>
    <t>National Natural Science Foundation of China(National Natural Science Foundation of China (NSFC)); China Postdoctoral Science Foundation(China Postdoctoral Science Foundation); Open Research Foundation of KLTPR</t>
  </si>
  <si>
    <t>Core samples and seismic data used in this study were provided by China National Ocean Oil Corporation. The authors wish to thank Yani Najman, Alexis Licht, Kai-Jun Zhang, Bin Wen, Fulong Cai, Shihu Li, Peter H. Molnar, Myo Min, and Zhenyu Li for assistance and helpful discussion regarding the geology of Myanmar. The manuscript benefited from careful, constructive reviews by Anthony J. Barber, Andrew Mitchell, and Chris Morley. The authors also thank Editors M. Santosh and Sanghoon Kwon for their useful comments. PZ acknowledges support from National Natural Science Foundation of China (42002130), China Postdoctoral Science Foundation (2019M662742), and Open Research Foundation of KLTPR (TPR-2020-2).</t>
  </si>
  <si>
    <t>1342-937X</t>
  </si>
  <si>
    <t>1878-0571</t>
  </si>
  <si>
    <t>GONDWANA RES</t>
  </si>
  <si>
    <t>Gondwana Res.</t>
  </si>
  <si>
    <t>10.1016/j.gr.2021.04.005</t>
  </si>
  <si>
    <t>WOS:000651645200003</t>
  </si>
  <si>
    <t>Oktari, Rina Suryani; Latuamury, Bokiraiya; Idroes, Rinaldi; Sofyan, Hizir; Munadi, Khairul</t>
  </si>
  <si>
    <t>Indonesia has significant expertise in disaster management due to its disaster geography. Collective expertise and knowledge are valuable resources for lowering disaster risk and enhancing disaster resilience. Additionally, in the current pandemic situation, a clearer understanding of COVID-19 is growing, which could make a difference in how effectively we respond to this and future pandemics. Therefore, it is crucial to record and maintain information related to the event in order to handle any crisis and COVID-19 pandemic appropriately. The goal of this study is to explore KM implementation approaches for handling disasters and the COVID-19 pandemic in Indonesia. In order to collect data for this study, 20 experts were interviewed and 30 experts participated in a Focus Group Discussion (FGD). SWOT analysis was utilised in this study to find different KM implementation strategies. The Analytic Network Process (ANP) was used to prioritize several previously discovered strategies. The study finds that the approach which must be prioritised is to ensure that knowledge products can be accessed by the public, and they must include the community (family) as subjects in establishing knowledge management methods (not only the government or institutions).</t>
  </si>
  <si>
    <t>[Oktari, Rina Suryani] Univ Syiah Kuala, Grad Sch Math &amp; Appl Sci, Jl Tgk Syech Abdul Rauf,Darussalam, Banda Aceh 23111, Indonesia; [Oktari, Rina Suryani; Munadi, Khairul] Tsunami &amp; Disaster Mitigat Res Ctr TDMRC, Jl Prof Dr Ibrahim Hasan,Ulee Lheue,Meuraxa, Banda Aceh 23232, Indonesia; [Oktari, Rina Suryani] Univ Syiah Kuala, Grad Program Disaster Sci, Jl Tgk Syech Abdul Rauf,Darussalam, Banda Aceh 23111, Indonesia; [Oktari, Rina Suryani; Munadi, Khairul] Univ Syiah Kuala, Fac Med, Jl Tgk Syech Abdul Rauf,Darussalam, Banda Aceh 23111, Indonesia; [Latuamury, Bokiraiya] Univ Pattimura, Fac Agr, Dept Forestry, Kampus Unpatti, Jl Ir M Putuhena, Ambon 97233, Indonesia; [Idroes, Rinaldi] Univ Syiah Kuala, Fac Math &amp; Nat Sci, Dept Chem, Jl Tgk Syech Abdul Rauf,Darussalam, Banda Aceh 23111, Indonesia; [Sofyan, Hizir] Univ Syiah Kuala, Fac Math &amp; Nat Sci, Dept Stat, Jl Tgk Syech Abdul Rauf,Darussalam, Banda Aceh 23111, Indonesia; [Munadi, Khairul] Univ Syiah Kuala, Fac Engn, Dept Elect &amp; Comp Engn, Jl Tgk Syech Abdul Rauf,Darussalam, Banda Aceh 23111, Indonesia; [Oktari, Rina Suryani] Univ Syiah Kuala, Jl Tgk Syech Abdul Rauf,Darussalam, Banda Aceh 23111, Indonesia</t>
  </si>
  <si>
    <t>Universitas Syiah Kuala; Universitas Syiah Kuala; Universitas Syiah Kuala; Universitas Pattimura; Universitas Syiah Kuala; Universitas Syiah Kuala; Universitas Syiah Kuala; Universitas Syiah Kuala</t>
  </si>
  <si>
    <t>10.1016/j.ijdrr.2022.103503</t>
  </si>
  <si>
    <t>WOS:000911587400001</t>
  </si>
  <si>
    <t>King, Andrew D.; van Oldenborgh, Geert Jan; Karoly, David</t>
  </si>
  <si>
    <t>El Nino and human-induced climate change have substantially increased the likelihood of rainfall deficits and high temperatures, respectively, in Indonesia such as those experienced in the drought conditions of July-October 2015.</t>
  </si>
  <si>
    <t>[King, Andrew D.; Karoly, David] Univ Melbourne, ARC Ctr Excellence Climate Syst Sci, Sch Earth Sci, Victoria, Australia; [van Oldenborgh, Geert Jan] Royal Netherlands Meteorol Inst KNM, De Bilt, Netherlands</t>
  </si>
  <si>
    <t>University of Melbourne; Royal Netherlands Meteorological Institute</t>
  </si>
  <si>
    <t>ARC Centre of Excellence for Climate System Science(Australian Research Council); NCI National Facility in Australia; EUCLEIA project - European Union's Seventh Framework Programme (FP7)</t>
  </si>
  <si>
    <t>This research was supported by the ARC Centre of Excellence for Climate System Science (grant CE 110001028) and the NCI National Facility in Australia. G. J. van Oldenborgh was supported by the EUCLEIA project funded by the European Union's Seventh Framework Programme (FP7/2007-13) under grant agreement No. 607085. We acknowledge the World Climate Research Programme's Working Group on Coupled Modelling, which is responsible for CMIP, and we thank the climate modeling groups for producing and making available their model output.</t>
  </si>
  <si>
    <t>0003-0007</t>
  </si>
  <si>
    <t>1520-0477</t>
  </si>
  <si>
    <t>B AM METEOROL SOC</t>
  </si>
  <si>
    <t>Bull. Amer. Meteorol. Soc.</t>
  </si>
  <si>
    <t>10.1175/BAMS-D-16-0164.1</t>
  </si>
  <si>
    <t>WOS:000442686900021</t>
  </si>
  <si>
    <t>Cha, Yumi; Choi, JaeWon; Ahn, Joong-Bae</t>
  </si>
  <si>
    <t>This study analyzes time series data on the genesis latitude, longitude, and date of the first tropical cyclone (TC) each year during the 38 years between 1979 and 2016. Statistical change-point analysis applied to these three variables shows that a shift in climate regime occurred around 1998. More specifically, the first TCs in the western North Pacific (WNP) tend to occur later and more northwest area since 1998. Also, we compared differences between 1998 and 2016 (post-1998) and between 1979 and 1997 (pre-1998) in terms of outgoing longwave radiation (OLR), total cloud cover, precipitable water, precipitation, vertical wind shear, 850 hPa relative vorticity, and sea surface temperature. Our results show that a favorable environment for TC genesis formed near the South China Sea (SCS) and the Philippines, and an unfavorable environment for TC genesis formed in the southeastern portion of the WNP during the post-1998. Analysis of stream flow shows that an anomalous cyclonic circulation at 850 hPa formed in the SCS, and a large, anomalous, anticyclonic circulation formed in the North Pacific. From these circulations, a ridge extended to the east sea of the Philippines, and consequently, anomalous trade winds strengthened in the equatorial Pacific. Such an anomalous atmospheric circulation seems to be associated with the cold Pacific Decadal Oscillation (PDO) phase. At 200 hPa, the anomalous anticyclonic circulation strengthened in the SCS, and an anomalous cyclonic circulation formed in the east sea of the Philippines, which strengthened anomalous westerlies in the equatorial Pacific. Furthermore, this circulation pattern is related to a strengthening of the Walker circulation. Therefore, post-1998, when trade winds strengthened from development of the Walker circulation, the cold PDO phase strengthened, the locations for TC genesis moved toward the northwestern portion of the WNP, and the TC genesis day tended to be delayed.</t>
  </si>
  <si>
    <t>[Cha, Yumi] Natl Inst Meteorol Sci, Jeju, South Korea; [Choi, JaeWon] Pusan Natl Univ, Inst Basic Sci, Busan, South Korea; [Ahn, Joong-Bae] Pusan Natl Univ, Dept Atmospher Sci, Busan 46241, South Korea</t>
  </si>
  <si>
    <t>National Institute of Meteorological Sciences; Pusan National University; Pusan National University</t>
  </si>
  <si>
    <t>This work was funded by Korea Meteorological Administration Research and Development Program under Grant KMI2020-01411.</t>
  </si>
  <si>
    <t>10.1007/s00382-022-06382-2</t>
  </si>
  <si>
    <t>WOS:000832530400004</t>
  </si>
  <si>
    <t>Anripa, Nuralfin; Kumar, A.; Maharana, Pyarimohan; Dimri, A. P.</t>
  </si>
  <si>
    <t>Nutmeg is an important spice and contributes significantly to the gross domestic product of Indonesia. The study examines the impact of climate change on Indonesia and the production of nutmeg over Banda Neira Island. For this, the outputs from high-resolution regional climate models under different representative concentration pathways (RCP2.6, RCP4.5 and RCP8.5), within the framework of Coupled Model Intercomparison Project 5/Coordinated Regional Climate Down-scaling Experiment-Coordinated Output for Regional Evaluations (CMIP5/CORDEX-CORE) over southeast Asia domain are employed. The representation of the spatial structure of rainfall and temperature climatology is found to be much better in ensembles as compared to individual model experiments. The behaviour of simulated rainfall and temperature from the model experiments is examined to check whether the projected climate favours an increase in nutmeg production. The study found that projected changes in the number of wet days (ideal 100-160 wet days), heavy rainfall events, rising mean temperature above the optimum temperature range (25-26 degrees C), increasing heatwave spells, and prolongation of the warm period led to an unfavourable climate for nutmeg production. Based on the analysis of dynamically produced (model simulated) climate variables, the study rejects the forecasted increase in nutmeg production using a statistical regression model due to the unfavourable climatic conditions that are likely to affect the growth, production and quality of nutmeg. The changing climate not only reduces regional agricultural production but also impacts the socio-economic condition of the people of Indonesia. Therefore, the study emphasizes implementing stringent climate laws and policies at global, regional and local levels to curb greenhouse gas emissions and reduce the negative impact of climate change.</t>
  </si>
  <si>
    <t>[Anripa, Nuralfin] Mahidol Univ, Fac Med Ramathibodi Hosp, Bangkok, Thailand; [Anripa, Nuralfin; Maharana, Pyarimohan] Nalanda Univ, Sch Ecol Environm Studies, Rajgir, Bihar, India; [Kumar, A.] Nalanda Univ, Sch Management Studies, Rajgir, Bihar, India; [Maharana, Pyarimohan] Univ Delhi, Dept Environm Studies, DCAC, New Delhi, India; [Dimri, A. P.] Jawaharlal Nehru Univ, Sch Environm Sci, New Delhi, India; [Dimri, A. P.] Indian Inst Geomagnet, Navi Mumbai, India</t>
  </si>
  <si>
    <t>Mahidol University; University of Delhi; Jawaharlal Nehru University, New Delhi; Department of Science &amp; Technology (India); Indian Institute of Geomagnetism (IIG)</t>
  </si>
  <si>
    <t>10.1002/joc.8098</t>
  </si>
  <si>
    <t>WOS:000991429400001</t>
  </si>
  <si>
    <t>Kyaw, Yadanar; Nguyen, Thi Phuoc Lai; Winijkul, Ekbordin; Xue, Wenchao; Virdis, Salvatore G. P.</t>
  </si>
  <si>
    <t>Agriculture, entwined with climatic conditions, plays a pivotal role in Thailand's sustenance and economy. This study aimed to examine the trends of climate variability and its correlation with crop yields and social and farm factors affecting farm net income in Chiang Mai province, Thailand. Time series climate data (2002-2020) on temperature and rainfall and yields were analyzed using the Mann-Kendall trend test and Sen's slope estimation to investigate the trends and their changes. The Pearson correlation was used to assess the association between climate variability and cultivated crop yields, and multiple linear regression was used to detect the factors influencing the farm net income. The findings show that the total annual rainfall showed an unchanged trend, but the annual temperature increased over time. Higher temperature negatively impacted longan yield but positively affected maize, with no significant impact on rice yield. The rainfall trend had no effect on crop yields. Despite declining trends in some cultivated crops' yield, farm net income was unaffected by individual crop types. Farm income relied on cumulative output and geographic location. This research emphasizes the need for integrating climate data and forecasting models considering agronomic and socio-economic factors and crop suitability assessments for specific regions into adaptation policies and practice.</t>
  </si>
  <si>
    <t>[Kyaw, Yadanar; Nguyen, Thi Phuoc Lai] Asian Inst Technol, Sch Environm Resources &amp; Dev, Dept Dev &amp; Sustainabil, Pathum Thani 12120, Thailand; [Winijkul, Ekbordin; Xue, Wenchao] Asian Inst Technol, Sch Engn &amp; Technol, Dept Energy Environm &amp; Climate Change, Pathum Thani 12120, Thailand; [Virdis, Salvatore G. P.] Asian Inst Technol, Sch Engn &amp; Technol, Dept Informat &amp; Commun Technol, Pathum Thani 12120, Thailand</t>
  </si>
  <si>
    <t>Asian Institute of Technology; Asian Institute of Technology; Asian Institute of Technology</t>
  </si>
  <si>
    <t>The authors acknowledge the data support from the Land Development Department, Thai Meteorological Department and National Statistical Office, Ministry of Information and Communication Technology. The authors would like to thank Jureerut Somboon for her si; Land Development Department, Thai Meteorological Department; National Statistical Office, Ministry of Information and Communication Technology - NRCT Thailand</t>
  </si>
  <si>
    <t>The authors acknowledge the data support from the Land Development Department, Thai Meteorological Department and National Statistical Office, Ministry of Information and Communication Technology. The authors would like to thank Jureerut Somboon for her significant contribution to the primary data collection in this study and the members under the SDG2 component of the project Earth Observation Big Data for SDGs funded by NRCT Thailand.</t>
  </si>
  <si>
    <t>10.3390/cli11100204</t>
  </si>
  <si>
    <t>WOS:001096506200001</t>
  </si>
  <si>
    <t>De Silva, Yenushi K.; Babel, Mukand S.; Abatan, Abayomi A.; Khadka, Dibesh; Shanmugasundaram, Jothiganesh</t>
  </si>
  <si>
    <t>El Nino Southern Oscillation (ENSO) is a significant form of internal climate variability resulting from the interactions between the atmosphere and ocean in the tropical Pacific. It is a main driver of interannual rainfall variability in Northeast Thailand, where rainfed agriculture is one of the largest economic sectors. Therefore, it is essential to understand the ability of climate models to simulate the basic characteristics of ENSO phenomena and project its impacts in the region. We evaluated the ability of 12 climate models from the sixth phase of the Coupled Model Intercomparison Project (CMIP6) and their 12 predecessor models from the fifth phase (CMIP5) to simulate ENSO and its impact on rainfall over Northeast Thailand using thirteen performance metrics under seven criteria considering the simulation of observed indices, pattern, variability, peaks and seasonal phase locking of ENSO. The intensity and frequency of the ENSO events were projected for the near future (2021-2050). Although six CMIP5 and eight CMIP6 models performed well in simulating half of the ENSO evaluation metrics (performance score &gt; 40%) such as ENSO variability, seasonal phase locking, location of ENSO variability, and dominant secondary peak in SST variability, we did not find very compelling evidence of improved ENSO simulation in CMIP6 compared to CMIP5 models. However, high rainfall in extreme La Nina events and low rainfall in extreme El Nino events with rainfall anomalies of 0.4 mm/day and - 0.3 mm/day, respectively were observed over Northeast Thailand due to the interaction of the easterly winds from the Pacific Ocean with the south-westerly flow from the Indian Ocean. The corresponding sea level pressure maps further confirmed the mechanisms associated with this phenomenon over the region. The ensemble averages of models from both phases predicted an increase in intensity (by 32-47%) and frequency (by 10-50%) in the near-future (2021-2050) with a slightly higher increase by CMIP6 models compared to CMIP5 models under medium and high emission scenarios.</t>
  </si>
  <si>
    <t>[De Silva, Yenushi K.; Babel, Mukand S.; Khadka, Dibesh] Asian Inst Technol, Sch Engn &amp; Technol, Water Engn &amp; Management, POB 4, Klongluang 12120, Pathumthani, Thailand; [Abatan, Abayomi A.] Univ Exeter, Coll Engn Math &amp; Phys Sci, Exeter, England; [Shanmugasundaram, Jothiganesh] Reg Bur Bangkok RBB, United Nations World Food Programme, Wave Pl, Bangkok 10330, Thailand</t>
  </si>
  <si>
    <t>Asian Institute of Technology; University of Exeter</t>
  </si>
  <si>
    <t>The authors would like to extend their gratitude to the Enhancing Resilience to Future Hydro-meteorological Extremes in the Mun River Basin in Northeastern Thailand-ENRICH project funded by Thailand Science Research and Innovation (TSRI), the National Re; Thailand Science Research and Innovation (TSRI); National Research Council of Thailand (NRCT)(National Research Council of Thailand (NRCT)); Natural Environment Research Council (NERC)(UK Research &amp; Innovation (UKRI)Natural Environment Research Council (NERC)); NERC(UK Research &amp; Innovation (UKRI)Natural Environment Research Council (NERC))</t>
  </si>
  <si>
    <t>The authors would like to extend their gratitude to the Enhancing Resilience to Future Hydro-meteorological Extremes in the Mun River Basin in Northeastern Thailand-ENRICH project funded by Thailand Science Research and Innovation (TSRI), the National Research Council of Thailand (NRCT), and the Natural Environment Research Council (NERC).</t>
  </si>
  <si>
    <t>10.1007/s00704-023-04585-z</t>
  </si>
  <si>
    <t>WOS:001063401100002</t>
  </si>
  <si>
    <t>Hoa Thi Tran; Campbell, James B.; Tri Dinh Tran; Ha Thanh Tran</t>
  </si>
  <si>
    <t>This study applies multispectral band ratios to examine vegetation density and vegetation health to assess drought conditions over nearly 30 years (1989-2016) in Tuy Phong district, Binh Thuan province, Vietnam using a sequence of Landsat imagery (TM and OLI). Our research area has a distinctive climate, characterized by arid and semiarid areas adjacent to Binh Thuan's coastline. Drought is likely intensified by rain shadow effects of the Central Highlands (part of the Truong Son- or the Annamese Cordillera, positioned immediately west of the province). The seasonal Land Surface Temperature (LST) and Normalized Difference Vegetation Index (NDVI) were calculated to derive three other indices: Vegetation Condition Index (VCI), Temperature Condition Index (TCI), and Vegetation Health Index (VHI). Results show that approximately two-thirds of Tuy Phong district was influenced by mid-to-severe drought. During the dry season (November to the following April), severity of drought has increased both intensively and extensively toward the North. Hypotheses testing of correlation between LST and NDVI also revealed a significantly negative relationship - increasing surface temperature and decreasing NDVI. To validate our results, we applied the same procedure for generating the VHI from MODIS data. Despite the absence of historical datasets for our region, Landsat data shows many advantages in monitoring drought in remote and small areas compared to MODIS. Our research strategies may be effective in other regions without sufficient climatic records for conventional climatic analysis.</t>
  </si>
  <si>
    <t>[Hoa Thi Tran; Campbell, James B.] Virginia Polytech Inst &amp; State Univ, Dept Geog, 220 Stanger St, Blacksburg, VA 24061 USA; [Tri Dinh Tran; Ha Thanh Tran] Hanoi Univ Min &amp; Geol, Dept Photogrammetry &amp; Remote Sensing, Hanoi, Vietnam</t>
  </si>
  <si>
    <t>Virginia Polytechnic Institute &amp; State University; Hanoi University of Mining &amp; Geology</t>
  </si>
  <si>
    <t>Vietnamese Government; Vietnam International Education Development</t>
  </si>
  <si>
    <t>We acknowledge with thanks the Vietnamese Government, and the Vietnam International Education Development for their funding support for Hoa Tran to pursue a PhD program at Virginia Tech. We are very much thankful to Virginia Tech - Graduate School and the Interdisciplinary Graduate Education Program (IGEP) for their contributions to our research. We express our thanks to Dr. Randolph H. Wynne (Department of Forest Resources and Environmental Conservation, Virginia Tech), Dr. Steve C. Hodges (Department of Crop and Soil Environmental Sciences, Virginia Tech), Dr. Yang Shao (Department of Geography, Virginia Tech), and Dr. Winston Chow (Department of Geography, National University of Singapore) for their suggestions, and encouragement to the evolution of our research ideas. We are grateful to the Guest Editor of the GIScience Remote Sensing, and reviewers for their thorough recommendation, and suggestions for revising our paper.</t>
  </si>
  <si>
    <t>10.1080/15481603.2017.1287838</t>
  </si>
  <si>
    <t>WOS:000398493900003</t>
  </si>
  <si>
    <t>Putri, Nurfiena Sagita; Hayasaka, Tadahiro; Whitehall, Kim Dionne</t>
  </si>
  <si>
    <t>A mesoscale convective system (MCS) is organized thunderstorms with connected anvils, which has a significant impact on the global climate. By focusing on MCSs over the Maritime Continent of Indonesia, this study aims to gain a better understanding on the properties of the MCSs over the study area. The Grab 'em Tag 'em Graph 'em (GTG) tracking algorithm is applied to hourly Multi-functional Transport Satellite-1R data for two years to observe the distribution of MCSs and the evolution of MCSs along their lifetime. The results of MCS identification by using GTG are combined with CloudSat data products to study the vertical structure of the MCSs at various MCS life stages: developing, mature, and dissipating. The distribution of MCSs over Indonesia has a seasonal variation and distinct diurnal cycle. The life stages of the observed MCSs are characterized by distinct cloud microphysics at each stage. In the developing stage, the upper level of the MCS raining region shows the presence of precipitating ice particles. As the MCS progresses to the mature stage, the proportion of the raining area becomes small and the intensity of rain is reduced, accompanied by increasing occurrence of small-sized ice particles at the upper level. In the dissipating stage, large hydrometeors no longer exist at the upper part of the raining region. Within the MCS anvils, the dissipating stage shows a more uniform distribution of ice-particle effective radius compared to that shown by the developing and mature stages. MCS characteristics over the land and ocean differ on the basis of the minimum brightness temperature, the equivalent radius, the maximum rain rate, and the rain fraction that varies along the MCS evolution.</t>
  </si>
  <si>
    <t>[Putri, Nurfiena Sagita; Hayasaka, Tadahiro] Tohoku Univ, Ctr Atmospher &amp; Ocean Studies, 6-3 Aramaki Aza, Sendai, Miyagi 2638522, Japan</t>
  </si>
  <si>
    <t>Ministry of Education, Culture, Sports, Science and Technology (MEXT), Japan(Ministry of Education, Culture, Sports, Science and Technology, Japan (MEXT)); MEXT, Japan(Ministry of Education, Culture, Sports, Science and Technology, Japan (MEXT)); Grants-in-Aid for Scientific Research(Ministry of Education, Culture, Sports, Science and Technology, Japan (MEXT)Japan Society for the Promotion of ScienceGrants-in-Aid for Scientific Research (KAKENHI))</t>
  </si>
  <si>
    <t>The authors are grateful to the editor and anonymous reviewers for their constructive comments and suggestions. The authors also thank Muhammad Rais Abdillah of the Graduate School of Science. Tohoku University for the technical support. NSP would like to thank the Ministry of Education, Culture, Sports, Science and Technology (MEXT), Japan, for the scholarship support. The present study was partly supported by a Grant-in-Aid for Scientific Research (B) No. 16H04046 from MEXT, Japan.</t>
  </si>
  <si>
    <t>10.2151/jmsj.2017-026</t>
  </si>
  <si>
    <t>WOS:000414950600003</t>
  </si>
  <si>
    <t>Promchote, Parichart; Wang, S. -Y. Simon; Johnson, Paul G.</t>
  </si>
  <si>
    <t>Severe flooding occurred in Thailand during the 2011 summer season, which resulted in more than 800 deaths and affected 13.6 million people. The unprecedented nature of this flood in the Chao Phraya River basin (CPRB) was examined and compared with historical flood years. Climate diagnostics were conducted to understand the meteorological conditions and climate forcing that led to the magnitude and duration of this flood. Neither the monsoon rainfall nor the tropical cyclone frequency anomalies alone was sufficient to cause the 2011 flooding event. Instead, a series of abnormal conditions collectively contributed to the intensity of the 2011 flood: anomalously high rainfall in the premonsoon season, especially during March; record-high soil moisture content throughout the year; elevated sea level height in the Gulf of Thailand, which constrained drainage; and other water management factors. In the context of climate change, the substantially increased premonsoon rainfall in CPRB after 1980 and the continual sea level rise in the river outlet have both played a role. The rainfall increase is associated with a strengthening of the premonsoon northeasterly winds that come from East Asia. Attribution analysis using phase 5 of the Coupled Model Intercomparison Project historical experiments pointed to anthropogenic greenhouse gases as the main external climate forcing leading to the rainfall increase. Together, these findings suggest increasing odds for potential flooding of similar intensity to that of the 2011 flood.</t>
  </si>
  <si>
    <t>[Promchote, Parichart; Wang, S. -Y. Simon; Johnson, Paul G.] Utah State Univ, Dept Plants Soils &amp; Climate, Logan, UT 84322 USA; [Wang, S. -Y. Simon] Utah State Univ, Utah Climate Ctr, Logan, UT 84322 USA</t>
  </si>
  <si>
    <t>Royal Thai Government; Utah Agricultural Experiment Station, Utah State University</t>
  </si>
  <si>
    <t>The first author is supported by the Royal Thai Government through a graduate scholarship. This research was partially supported by the Utah Agricultural Experiment Station (8821), Utah State University. CPC soil moisture data were provided by the NOAA/OAR/ESRL PSD, and sea level height data were provided by the CSIRO Oceans and ACE CRC.</t>
  </si>
  <si>
    <t>10.1175/JCLI-D-15-0310.1</t>
  </si>
  <si>
    <t>WOS:000367432600001</t>
  </si>
  <si>
    <t>Imada, Yukiko; Kanae, Shinjiro; Kimoto, Masahide; Watanabe, Masahiro; Ishii, Masayoshi</t>
  </si>
  <si>
    <t>Predictability of above-normal rainfall over Thailand during the rainy season of 2011 was investigated with a one-tier seasonal prediction system based on an atmosphere-ocean coupled general circulation model (CGCM) combined with a statistical downscaling method. The statistical relationship was derived using singular value decomposition analysis (SVDA) between observed regional rainfall and the hindcast of tropical sea surface temperature (SST) from the seasonal prediction system, which has an ability to forecast oceanic variability for lead times up to several months. The downscaled product of 2011 local rainfall was obtained by combining rainfall patterns derived from significant modes of SVDA. This method has the advantage in terms of flexibility that phenomenon-based statistical relationships, such as teleconnections associated with El Nino-Southern Oscillation (ENSO), Indian Ocean dipole (IOD), or the newly recognized central Pacific El Nino, are considered separately in each SVDA mode. The downscaled prediction initialized from 1 August 2011 reproduced the anomalously intense precipitation pattern over Indochina including northern Thailand during the latter half of the rainy season, even though the direct hindcast from the CGCM failed to predict the local rainfall distribution and intensity. Further analysis revealed that this method is applicable to the other recent events such as heavy rainfall during the rainy seasons of 2002 and 2008 in Indochina.</t>
  </si>
  <si>
    <t>[Imada, Yukiko; Ishii, Masayoshi] Japan Meteorol Agcy, Meteorol Res Inst, Tsukuba, Ibaraki 3050052, Japan; [Kanae, Shinjiro] Tokyo Inst Technol, Meguro Ku, Tokyo 152, Japan; [Kimoto, Masahide; Watanabe, Masahiro] Univ Tokyo, Atmosphere &amp; Ocean Res Inst, Kashiwa, Chiba, Japan</t>
  </si>
  <si>
    <t>Japan Meteorological Agency; Meteorological Research Institute - Japan; Tokyo Institute of Technology; University of Tokyo</t>
  </si>
  <si>
    <t>Japanese Ministry of Education, Culture, Sports, Science and Technology(Ministry of Education, Culture, Sports, Science and Technology, Japan (MEXT)); Japan Science and Technology Agency (JST)(Japan Science &amp; Technology Agency (JST)); Japan International Cooperation Agency (JICA); Core Research for Evolutionary Science and Technology (CREST)(Core Research for Evolutional Science and Technology (CREST)); Data Integration and Analysis System (DIAS); Grants-in-Aid for Scientific Research(Ministry of Education, Culture, Sports, Science and Technology, Japan (MEXT)Japan Society for the Promotion of ScienceGrants-in-Aid for Scientific Research (KAKENHI))</t>
  </si>
  <si>
    <t>The authors are grateful to J. Luo and anonymous reviewers for their encouraging comments. This work was supported by the Program for Generation of Climate Change Risk Information (SOUSEI project) of the Japanese Ministry of Education, Culture, Sports, Science and Technology, Japan Science and Technology Agency (JST), Japan International Cooperation Agency (JICA), Core Research for Evolutionary Science and Technology (CREST), and Data Integration and Analysis System (DIAS).</t>
  </si>
  <si>
    <t>0027-0644</t>
  </si>
  <si>
    <t>1520-0493</t>
  </si>
  <si>
    <t>MON WEATHER REV</t>
  </si>
  <si>
    <t>Mon. Weather Rev.</t>
  </si>
  <si>
    <t>10.1175/MWR-D-14-00228.1</t>
  </si>
  <si>
    <t>WOS:000352106400010</t>
  </si>
  <si>
    <t>Wang, Changgui; Liang, Ju; Hodges, Kevin I.</t>
  </si>
  <si>
    <t>The potential changes in tropical cyclone (TC) activity, and the associated large-scale environmental conditions, for Vietnam and the South China Sea, posed by climate change, are examined using a high-resolution regional climate model system, PRECIS 2.1, to downscale the Met Office Hadley Centre CMIP5 model, HadGEM2-ES, to a resolution of 25 km (PRECIS_Had2). The ERA-Interim reanalysis is also downscaled to the same resolution (PRECIS_ERAI) for comparison. An objective algorithm is used to identify and track the TCs. The PRECIS_Had2 is evaluated for the period of 1990-2005 by comparing with the PRECIS_ERAI and the observed best-track data of TCs. Compared to PRECIS_ERAI, PRECIS_Had2 represents the TC-associated large-scale environments reasonably well but shows stronger vertical wind shear over the South China Sea and during the summer southwesterly monsoon. For TCs, PRECIS_Had2 is capable of capturing the TC distribution but shows a notable underestimation of very intense TCs. The analysis of the influence of global warming on the TC activity reveals that PRECIS_Had2 simulates a pronounced seasonal shift of TC activity in a warmer climate for both the RCP4.5 and RCP8.5 scenarios, with an increase in TC activity during winter related to the more favourable large-scale conditions, while a decrease in TCs associated with less favourable large-scale conditions is projected in summer.</t>
  </si>
  <si>
    <t>[Wang, Changgui] Met Off, Hadley Ctr, Exeter, Devon, England; [Liang, Ju; Hodges, Kevin I.] Univ Reading, Dept Meteorol, POB 243, Reading RG6 6BB, Berks, England</t>
  </si>
  <si>
    <t>Met Office - UK; Hadley Centre; University of Reading</t>
  </si>
  <si>
    <t>United Nations Development Programme/The Ministry of Natural Resources and Environment - Strengthening National Capacities to Respond to Climate Change in Vietnam, Reducing Vulnerability and Controlling GHG emissions; China's 12th Five-year National Science &amp; Technology Pillar Program</t>
  </si>
  <si>
    <t>The authors would like to thank the two reviewers for their constructive comments and suggestions on the article. The first author also gratefully acknowledges the funding from the United Nations Development Programme/The Ministry of Natural Resources and Environment - Strengthening National Capacities to Respond to Climate Change in Vietnam, Reducing Vulnerability and Controlling GHG emissions (ID: 00060851). Part of this research is also supported by the China's 12th Five-year National Science &amp; Technology Pillar Program (Grant No. 2013BAC09B04).</t>
  </si>
  <si>
    <t>10.1002/qj.3046</t>
  </si>
  <si>
    <t>WOS:000403437900010</t>
  </si>
  <si>
    <t>Pour, Sahar Hadi; Abd Wahab, Ahmad Khairi; Shahid, Shamsuddin</t>
  </si>
  <si>
    <t>Reliable prediction of rainfall extremes is vital for disaster management, particularly in the context of increasing rainfall extremes due to global climate change. Physical-empirical models have been developed in this study using three widely used Machine Learning (ML) methods namely, Support Vector Machines (SVM), Random Forests (RF), Bayesian Artificial Neural Networks (BANN) for the prediction of rainfall and rainfall related extremes during Northeast Monsoon (NEM) in Peninsular Malaysia from synoptic predictors. The gridded daily rainfall data of Asian Precipitation-Highly Resolved Observational Data Integration Towards Evaluation of Water Resources (APHRODITE) was used to estimate four rainfall indices namely, rainfall amount, average rainfall intensity, days having &gt; 95-th percentile rainfall, and total number of dry days in Peninsular Malaysia during NEM for the period 1951-2015. The National Centers for Environmental Prediction (NCEP) reanalysis sea level pressure (SLP) data was used for the prediction of rainfall indices with different lead periods. The recursive feature elimination (RFE) method was used to select the SLP at different NCEP grid points which were found significantly correlated with NEM rainfall indices. The results showed superior performance of BANN among the ML models with normalised root mean square error of 0.04-0.14, Nash-Sutcliff Efficiency of 0.98-1.0, and modified agreement index of 0.97-0.99 and Kling-Gupta efficient index 0.65-0.96 for one-month lead period prediction. The 95% confidence interval (CI) band for BANN was found narrower than the other ML models. Almost all the forecasted values by BANN were also found with 95% CI, and therefore, the p-factor and the r-factor for BANN in predicting rainfall indices were found in the range of 0.95-1.0 and 0.25-0.49 respectively. Application of BANN in prediction of rainfall indices with higher lead time was also found excellent. The synoptic pattern revealed that SLP over the north of South China Sea is the major driver of NEM rainfall and rainfall extremes in Peninsular Malaysia.</t>
  </si>
  <si>
    <t>[Pour, Sahar Hadi; Abd Wahab, Ahmad Khairi; Shahid, Shamsuddin] Univ Teknol Malaysia, Fac Engn, Sch Civil Engn, Johor Baharu 81310, Malaysia; [Pour, Sahar Hadi; Abd Wahab, Ahmad Khairi; Shahid, Shamsuddin] Univ Teknol Malaysia, Ctr Coastal &amp; Ocean Engn COEI, Kuala Lumpur 54100, Malaysia; [Shahid, Shamsuddin] Univ Malaysia Terengganu, Inst Oceanog &amp; Environm INOS, Kuala Terengganu 21300, Terengganu, Malaysia</t>
  </si>
  <si>
    <t>Post-Doctoral Fellowship Scheme of the Universiti Teknologi Malaysia</t>
  </si>
  <si>
    <t>This research is supported by Post-Doctoral Fellowship Scheme of the Universiti Teknologi Malaysia, Grant Number Q.J130000.21A2.04E38.</t>
  </si>
  <si>
    <t>10.1016/j.atmosres.2019.104720</t>
  </si>
  <si>
    <t>WOS:000513180200017</t>
  </si>
  <si>
    <t>Hirabayashi, Shoko; Yokoyama, Yusuke; Suzuki, Atsushi; Miyairi, Yosuke; Aze, Takahiro; Siringan, Fernando; Maeda, Yasuo</t>
  </si>
  <si>
    <t>The North Equatorial Current (NEC) bifurcates at the eastern coast of the Philippines and moves northward as the Kuroshio, a North Pacific western boundary current. The NEC bifurcation point and Kuroshio variability are known to be affected by changes in climate such as the El Nino-Southern Oscillation and the pacific decadal oscillation. However, observational data are not sufficient to examine the mechanisms of decadal fluctuation. Here, we report seasonal radiocarbon data recorded from 1968 to 1995 in coral skeletons northwest of Luzon Island. The data suggest that the East Asian winter monsoon is a dominant factor in the seasonal fluctuations in water mass northwest of Luzon Island. Compared with other coral records reported for Guam, Ishigaki, Con Dao, and Hon Tre Island, the data suggest that the area of the Kuroshio loop current through the Luzon Strait decreased from the 1970s to 1980s as a result of the change in Kuroshio transport and the migration of the NEC bifurcation latitude after a regime shift in 1976.</t>
  </si>
  <si>
    <t>[Hirabayashi, Shoko; Yokoyama, Yusuke; Miyairi, Yosuke; Aze, Takahiro] Univ Tokyo, Atmosphere &amp; Ocean Res Inst, 5-1-5 Kashiwanoha, Kashiwa, Chiba 2778564, Japan; [Hirabayashi, Shoko; Yokoyama, Yusuke] Univ Tokyo, Grad Sch Sci, Dept Earth &amp; Planetary Sci, Bunkyo Ku, 7-3-1 Hongo, Tokyo 1130033, Japan; [Suzuki, Atsushi] Natl Inst Adv Ind Sci &amp; Technol, Geol Survey Japan, 1-1-1 Higashi, Tsukuba, Ibaraki 3058567, Japan; [Siringan, Fernando] Univ Philippines, Inst Marine Sci, Quezon City 1101, Philippines; [Maeda, Yasuo] Univ Hyogo, Inst Nat &amp; Environm Sci, 6 Yayoigaoka, Sanda, Hyogo 6691546, Japan</t>
  </si>
  <si>
    <t>University of Tokyo; University of Tokyo; National Institute of Advanced Industrial Science &amp; Technology (AIST); University of the Philippines System; University of the Philippines Diliman; University of Hyogo</t>
  </si>
  <si>
    <t>Japan Society for the Promotion of Science (JSPS) Fellows DC1(Ministry of Education, Culture, Sports, Science and Technology, Japan (MEXT)Japan Society for the Promotion of Science); JSPS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</si>
  <si>
    <t>SH is supported by the Japan Society for the Promotion of Science (JSPS) Fellows DC1 (JP14J09489). This work was also partly supported by JSPS KAKENHI (15KK0151, 17H01168).</t>
  </si>
  <si>
    <t>2196-4092</t>
  </si>
  <si>
    <t>GEOSCI LETT</t>
  </si>
  <si>
    <t>Geosci. Lett.</t>
  </si>
  <si>
    <t>AUG 10</t>
  </si>
  <si>
    <t>10.1186/s40562-017-0081-8</t>
  </si>
  <si>
    <t>WOS:000445939000001</t>
  </si>
  <si>
    <t>Wang, Bin; Luo, Xiao; Liu, Jian</t>
  </si>
  <si>
    <t>Instrumental observations (1901-2017) are used to uncover the seasonality, regionality, spatial-temporal coherency, and secular change of the relationship between El Nino-Southern Oscillation (ENSO) and Asian precipitation (AP). We find an abrupt seasonal reversal of the AP-ENSO relationship occurring from October to November in a large area of Asia north of 20 degrees N due to a rapid northward shift of the ENSO-induced subsidence from Indonesia to the Philippines. We identified six subregions that have significant correlations with ENSO over the past 116 years with |r| &gt; 0.5 (p &lt; 0.001). Regardless of the prominent subregional differences, the total amount of AP during a monsoon year (from May to the next April) shows a robust response to ENSO with r = -0.86 (1901-2017), implying a 4.5% decrease in the total Asian precipitation for 1 degrees of SST increase in the equatorial central Pacific. Rainfall in tropical Asia (Maritime Continent, Southeast Asia, and India) shows a stable relationship with ENSO with significant 31-yr running correlation coefficients (CCs). However, precipitation in North China, the East Asian winter monsoon front zone, and arid central Asia exhibit unstable relationships with ENSO. Since the 1950s, the AP-ENSO relationships have been enhanced in all subregions except over India. A major factor that determines the increasing trends of the AP-ENSO relationship is the increasing ENSO amplitude. Notably, the AP response is asymmetric with respect to El Nino and La Nina and markedly different between the major and minor ENSO events. The results provide guidance for seasonal prediction and a metric for assessment of climate models' capability to reproduce the Asian hydroclimate response to ENSO and projected future change.</t>
  </si>
  <si>
    <t>[Wang, Bin; Luo, Xiao] Univ Hawaii Manoa, Dept Atmospher Sci, Honolulu, HI 96822 USA; [Wang, Bin; Luo, Xiao] Univ Hawaii Manoa, Int Pacific Res Ctr, Honolulu, HI 96822 USA; [Liu, Jian] Nanjing Normal Univ, Key Lab Virtual Geog Environm, Minist Educ, Nanjing, Peoples R China; [Liu, Jian] Nanjing Normal Univ, State Key Lab Cultivat Base Geog Environm Evolut, Nanjing, Peoples R China; [Liu, Jian] Nanjing Normal Univ, Sch Geog Sci, Nanjing, Peoples R China</t>
  </si>
  <si>
    <t>University of Hawaii System; University of Hawaii Manoa; University of Hawaii System; University of Hawaii Manoa; Nanjing Normal University; Nanjing Normal University; Nanjing Normal University</t>
  </si>
  <si>
    <t>National Science Foundation (Climate Dynamics Division); National Natural Science Foundation of China(National Natural Science Foundation of China (NSFC)); National Key Research and Development Program of China</t>
  </si>
  <si>
    <t>This work is supported by the National Science Foundation (Climate Dynamics Division) Award AGS-1540783, the National Natural Science Foundation of China (Grant 41420104002), and the National Key Research and Development Program of China (Grant 2016YFA0600401). This is IPRC Publication Number 1421, SOEST Publication Number 10881, and ESMC Publication Number 298.</t>
  </si>
  <si>
    <t>10.1175/JCLI-D-19-0630.1</t>
  </si>
  <si>
    <t>WOS:000526720300001</t>
  </si>
  <si>
    <t>Le Loh, Jui; Tangang, Fredolin; Juneng, Liew; Hein, David; Lee, Dong-In</t>
  </si>
  <si>
    <t>This study investigates projected changes in rainfall and temperature over Malaysia by the end of the 21st century based on the Intergovernmental Panel on Climate Change (IPCC) Special Report on Emission Scenarios (SRES) A2, A1B and B2 emission scenarios using the Providing Regional Climates for Impacts Studies (PRECIS). The PRECIS regional climate model (HadRM3P) is configured in 0.22A degrees x 0.22A degrees horizontal grid resolution and is forced at the lateral boundaries by the UKMO-HadAM3P and UKMOHadCM3Q0 global models. The model performance in simulating the present-day climate was assessed by comparing the modelsimulated results to the Asian Precipitation - Highly-Resolved Observational Data Integration Towards Evaluation (APHRODITE) dataset. Generally, the HadAM3P/PRECIS and HadCM3Q0/PRECIS simulated the spatio-temporal variability structure of both temperature and rainfall reasonably well, albeit with the presence of cold biases. The cold biases appear to be associated with the systematic error in the HadRM3P. The future projection of temperature indicates widespread warming over the entire country by the end of the 21st century. The projected temperature increment ranges from 2.5 to 3.9A degrees C, 2.7 to 4.2A degrees C and 1.7 to 3.1A degrees C for A2, A1B and B2 scenarios, respectively. However, the projection of rainfall at the end of the 21st century indicates substantial spatio-temporal variation with a tendency for drier condition in boreal winter and spring seasons while wetter condition in summer and fall seasons. During the months of December to May, 20-40% decrease of rainfall is projected over Peninsular Malaysia and Borneo, particularly for the A2 and B2 emission scenarios. During the summer months, rainfall is projected to increase by 20-40% across most regions in Malaysia, especially for A2 and A1B scenarios. The spatio-temporal variations in the projected rainfall can be related to the changes in the weakening monsoon circulations, which in turn alter the patterns of regional moisture convergences in the region.</t>
  </si>
  <si>
    <t>[Le Loh, Jui; Tangang, Fredolin; Juneng, Liew] Univ Kebangsaan Malaysia, Fac Sci &amp; Technol, Sch Environm &amp; Nat Resource Sci, Bangi 43600, Selangor, Malaysia; [Hein, David] Met Off Hadley Ctr Climate Sci &amp; Serv, Exeter, Devon, England; [Le Loh, Jui; Lee, Dong-In] Pukyong Natl Univ, Div Earth Environm Syst Sci Major Environm Atmosp, Busan, South Korea</t>
  </si>
  <si>
    <t>Universiti Kebangsaan Malaysia; Met Office - UK; Hadley Centre; Pukyong National University</t>
  </si>
  <si>
    <t>Universiti Kebangsaan Malaysia; BK21 plus Project of the Graduate School of Earth Environmental Hazard System, Pukyong National University, Busan, Korea; Met Office UK; National Research Foundation of Korea(National Research Foundation of Korea)</t>
  </si>
  <si>
    <t>This research was funded by Universiti Kebangsaan Malaysia ICONIC-2013-001, AP-2013-005 grants and the BK21 plus Project of the Graduate School of Earth Environmental Hazard System, Pukyong National University, Busan, Korea. The provision of the PRECIS regional model and associated support by the Met Office UK are noted with thanks. We thank two anonymous reviewers for their constructive suggestions.</t>
  </si>
  <si>
    <t>10.1007/s13143-016-0019-7</t>
  </si>
  <si>
    <t>WOS:000376934700009</t>
  </si>
  <si>
    <t>Muhammad, Mohd Khairul Idlan; Shahid, Shamsuddin; Ismail, Tarmizi; Harun, Sobri; Kisi, Ozgur; Yaseen, Zaher Mundher</t>
  </si>
  <si>
    <t>Reference evapotranspiration (ETo) is one of the foremost elements of the hydrology cycle which is essential for water resources management and irrigation applications. The current study is emphasized on the implementation of evolutionary computing models (i.e., gene expression programming (GEP)) for the simulation daily ETo in different locations of Peninsular Malaysia. The ETo models are developed using various input combinations of meteorological variables including air temperature (mean, maximum, and minimum), relative humidity, solar radiation, and mean wind speed. The in situ measurements of the ET are used to validate the model's performance. The performance of the proposed GEP model is also compared with five well-established empirical formulations (EFs) developed based on the related climatological variability. The attained results evidenced the potential of GEP-derived ETo models in terms of all the statistical measures used. The best GEP model attained when all the meteorological variables are incorporated. However, the study revealed that the use of only temperature information can provide substantial predictability compared to EFs at all the studied stations across Peninsular Malaysia. This confirms the applicability of GEP in simulating ETo with fewer meteorological variables. The major advantage of GEP compared to other black box artificial intelligence algorithms is that GEP provides a set of equations which can be used by practitioners for reliable estimation of ETo at field with a fewer meteorological variable and, thus, can have wide applicability in water resources management.</t>
  </si>
  <si>
    <t>[Muhammad, Mohd Khairul Idlan; Shahid, Shamsuddin; Ismail, Tarmizi; Harun, Sobri; Kisi, Ozgur] Univ Teknol Malaysia UTM, Sch Civil Engn, Fac Engn, Johor Baharu 81310, Malaysia; [Kisi, Ozgur] Ilia State Univ, Fac Nat Sci &amp; Engn, GE-0162 Tbilisi, Georgia; [Yaseen, Zaher Mundher] Al Ayen Univ, New Era &amp; Dev Civil Engn Res Grp, Sci Res Ctr, Thi Qar 64001, Nasiriyah, Iraq</t>
  </si>
  <si>
    <t>Universiti Teknologi Malaysia; Ilia State University; Al-Ayen University</t>
  </si>
  <si>
    <t>10.1007/s00704-021-03606-z</t>
  </si>
  <si>
    <t>WOS:000639775200001</t>
  </si>
  <si>
    <t>Mubarrok, Saat; Jang, Chan Joo</t>
  </si>
  <si>
    <t>Extreme rainfall (ER) in Indonesia frequently leads to floods and landslides, disrupting economic activity and impacting human lives. Here, we investigate ER variability in association with climate teleconnection patterns (CTP) including the El Nino Southern Oscillation (ENSO), Indian Ocean Dipole (IOD), and Madden-Julian Oscillation (MJO), using extreme value analysis based on daily rainfall data from 32 stations for 30 years (1985-2014). By fitting a generalized extreme value distribution, a significant association between the annual maximum rainfall (AMR) and CTP was found in 12 of 32 stations. The sensitivity test of location parameter showed that the AMR-CTP interconnection was spatially inhomogeneous. The positive (negative) significant association of ENSO and IOD to AMR was noticeable in south-western (eastern) Indonesia. Additionally, MJO positive (negative) association was detected at 4 (3) stations mostly located in Sumatra (Java) Island. Furthermore, the return level analysis shows that the 20-year ER intensity waiting time will be shorter and longer when CTP indexes strengthen and weaken, suggesting a potential increase and decrease in the likelihood of future ER occurrences, respectively. These results are relevant for understanding the relationship between ER and CTP that should be considered in the adaptation and mitigation plans to minimize the ER impacts.</t>
  </si>
  <si>
    <t>[Mubarrok, Saat; Jang, Chan Joo] Korea Inst Ocean Sci &amp; Technol KIOST, Ocean Circulat Res Ctr, Busan, South Korea; [Mubarrok, Saat; Jang, Chan Joo] Univ Sci &amp; Technol UST, Dept Ocean Sci, Daejeon, South Korea; [Mubarrok, Saat] Mulawarman Univ, Program Study Geophys, Samarinda, Indonesia</t>
  </si>
  <si>
    <t>Korea Institute of Ocean Science &amp; Technology (KIOST); University of Science &amp; Technology (UST); Universitas Mulawarman</t>
  </si>
  <si>
    <t>Korean Ministry of Oceans and Fisheries; National Research Foundation of Korea (NRF)(National Research Foundation of Korea); Korea Meteorological Administration Research and Development Program(Korea Meteorological Administration (KMA))</t>
  </si>
  <si>
    <t>This research was a part of the project titled 'KIOS (Korea Indian Ocean Study): Korea-US Joint Observation Study of the Indian Ocean', funded by the Korean Ministry of Oceans and Fisheries (20220548, PM63180) and also supported by the National Research Foundation of Korea (NRF) grant (NRF-2020R1F1A 1072447) and the Korea Meteorological Administration Research and Development Program under Grant KMI2021-01511. We are very grateful for the insightful discussion with Professor Marcelino Q. Villafuerte II and Professor Daniel S. Wilks, and two anonymous reviewers for their constructive comments.</t>
  </si>
  <si>
    <t>10.2151/sola.2022-030</t>
  </si>
  <si>
    <t>WOS:000911658800027</t>
  </si>
  <si>
    <t>Shrestha, Badri Bhakta; Kawasaki, Akiyuki; Zin, Win Win</t>
  </si>
  <si>
    <t>Development of a flood damage estimation method that considers house type is important to evaluate the effectiveness of different adaptation options. This study aimed to analyze flood impact on residential areas and household damage, to develop a new, more accurate, method for flood damage assessment, considering different house types. To do this it was necessary to understand the vulnerability of different house types and household assets, and to develop flood damage functions which accounted for these variations. We considered the Bago River basin of Myanmar as a study area. A detailed household questionnaire survey was conducted to collect data. Using this data, new flood damage functions for residential buildings and assets for different types of house were developed by considering building characteristics such as construction materials, number of stories, and height of plinth level from the ground. The actual and potential flood damage data were combined to develop flood damage functions with improved accuracy for extreme floods. Then, flood damage to residential buildings and assets for recent floods were assessed by developing a grid-based approach, integrating hydrologic-hydraulic and flood loss estimation models. The reduction in expected annual damage by use of different flood adaptation options for residential buildings was also evaluated quantitatively. The results of this study show that elevating the plinth level of the building and adding an additional story to the house can significantly reduce the flood damage to residential buildings and assets, and these results provide useful information for establishing flood protection adaptation measures.</t>
  </si>
  <si>
    <t>[Shrestha, Badri Bhakta; Kawasaki, Akiyuki] Univ Tokyo, Dept Civil Engn, Tokyo, Japan; [Zin, Win Win] Yangon Technol Univ, Dept Civil Engn, Yangon, Myanmar</t>
  </si>
  <si>
    <t>Japan Society for the Promotion of Science (JSPS) KAKENHI(Ministry of Education, Culture, Sports, Science and Technology, Japan (MEXT)Japan Society for the Promotion of ScienceGrants-in-Aid for Scientific Research (KAKENHI)); UTokyo Strategic Partnership Program for Yangon Technological University, Japan; Grants-in-Aid for Scientific Research(Ministry of Education, Culture, Sports, Science and Technology, Japan (MEXT)Japan Society for the Promotion of ScienceGrants-in-Aid for Scientific Research (KAKENHI))</t>
  </si>
  <si>
    <t>This research was partially supported by Japan Society for the Promotion of Science (JSPS) KAKENHI Grant Number 18H03823and UTokyo Strategic Partnership Program for Yangon Technological University, Japan. The authors would also like to thank students of the University of Tokyo and Yangon Technological University for their help with field visits and household questionnaire surveys.</t>
  </si>
  <si>
    <t>10.1016/j.ijdrr.2021.102602</t>
  </si>
  <si>
    <t>WOS:000703554100002</t>
  </si>
  <si>
    <t>Dinh, Thi-Hue; Chan, Yu-Chang; Chen, Chih-Tung</t>
  </si>
  <si>
    <t>The Fansipan and Tule mountain ranges, northern Vietnam, are regions with high elevations and are adjacent to the Red River Fault, which is an important structure that is related to the India-Eurasia collision. How mountain elevations are maintained today under a humid subtropical climate is important for improving the knowledge of the tectonic deformations in northern Vietnam and may have broader implications for the crustal dynamics of circum-Tibetan regions. We therefore utilized observations from field and digital elevation model (DEM) data and geomorphic analyses to constrain the active fault systems that have likely contributed to the uplift of mountain ranges. Our observations from DEM and field data indicate potential active normal and strike-slip faults such as the Phong Tho-Nam Pia Fault, Tule Fault, and Nghia Lo Fault. In addition to these observations, the results from geomorphic indices, which include both the stream-length gradient index (SL) and normalized steepness index (k(sn)), present high values for the footwalls of the inferred normal faults and low values for the hanging walls. Most of the identified knickpoints are related to the locations of mapped faults. Correlations of these data indicate that recent movements of the Fansipan and Tule mountain ranges are dominated by strike-slip and normal faulting under a NE-SW minimum extensional regime. We therefore propose that extensional tectonics associated with isostatic rebound likely plays a role in maintaining mountain elevations over long periods despite the continuous weathering and erosion present in monsoon-affected areas.</t>
  </si>
  <si>
    <t>[Dinh, Thi-Hue; Chan, Yu-Chang] Acad Sinica, Earth Syst Sci Program, Taiwan Int Grad Program TIGP, Taipei, Taiwan; [Dinh, Thi-Hue; Chan, Yu-Chang] Natl Cent Univ, Taipei, Taiwan; [Dinh, Thi-Hue; Chan, Yu-Chang] Acad Sinica, Inst Earth Sci, Taipei, Taiwan; [Dinh, Thi-Hue; Chen, Chih-Tung] Natl Cent Univ, Dept Earth Sci, Taoyuan, Taiwan</t>
  </si>
  <si>
    <t>Academia Sinica - Taiwan; National Central University; Academia Sinica - Taiwan; National Central University</t>
  </si>
  <si>
    <t>Taiwan Ministry of Science and Technology; Academia Sinica(Academia Sinica - Taiwan)</t>
  </si>
  <si>
    <t>This research was supported by the Taiwan Ministry of Science and Technology grant No. MOST-108-2116-M-001-0088, MOST-109-2116-M-001-020 and the thematic research project AS-TP-108-M08 of Academia Sinica to Y-CC, as well as MOST-110-2116-M-008-008 to C-TC.</t>
  </si>
  <si>
    <t>JAN 21</t>
  </si>
  <si>
    <t>10.3389/feart.2021.741670</t>
  </si>
  <si>
    <t>WOS:000759179300001</t>
  </si>
  <si>
    <t>Paschall, Olivia; Carmichael, Sarah K.; Koenigshof, Peter; Waters, Johnny A.; Ta, Phuong H.; Komatsu, Toshifumi; Dombrowski, Allison</t>
  </si>
  <si>
    <t>The Devonian-Carboniferous transition (359 Ma) was a time of extreme climate and faunal change and is associated with the end-Devonian biodiversity crisis. The transition is characterized by transgressive/regressive cycles, which culminated in the onset of widespread ocean anoxia (the Hangenberg Black Shale event) and a remarkable sea-level fall close to the Devonian-Carboniferous boundary (the Hangenberg Sandstone event); together these are known as the Hangenberg Crisis. The Hangenberg Crisis has been documented around the globe, but the trigger mechanisms for its onset remain unknown. The Pho Han Formation on Cat Ba Island in northeastern Vietnam preserves the Devonian-Carboniferous transition and Hangenberg Crisis in a sediment starved basinal facies on the South China carbonate platform. Although the Hangenberg Black Shale event is generally preserved as a discrete anoxic interval in Devonian-Carboniferous boundary sections of North America and Europe, the Pho Han Formation records sustained dysoxic/anoxic conditions from the Famennian (Upper Devonian) through the Tournasian (early Carboniferous), with severe anoxia (approaching euxinia) throughout the Hangenberg Black Shale event interval (as determined by trace element proxies, increased total organic carbon, and framboidal pyrite distributions). There is also significant mercury enrichment corresponding to the Hangenberg Crisis in the Pho Han Formation. The isolated paleogeography of the region suggests that the mercury is most likely sourced from distal volcanic emissions. It is therefore possible that large-scale volcanic activity acted as a trigger mechanism for the Hangenberg Crisis and biodiversity drop at the Devonian Carboniferous transition, similar to other major mass extinction events.</t>
  </si>
  <si>
    <t>[Paschall, Olivia; Carmichael, Sarah K.; Waters, Johnny A.; Dombrowski, Allison] Appalachian State Univ, Dept Geol &amp; Environm Sci, ASU Box 32067, Boone, NC 28608 USA; [Koenigshof, Peter] Senckenberg Res Inst, Senckenberganlage 25, D-60325 Frankfurt, Germany; [Koenigshof, Peter] Nat Hist Museum, Senckenberganlage 25, D-60325 Frankfurt, Germany; [Ta, Phuong H.] Vietnam Natl Univ, 334 Nguyen Trai St, Hanoi, Vietnam; [Komatsu, Toshifumi] Kumamoto Univ, Grad Sch Sci &amp; Technol, Kumamoto 8068555, Japan</t>
  </si>
  <si>
    <t>University of North Carolina; Appalachian State University; Senckenberg Gesellschaft fur Naturforschung (SGN); Vietnam National University Hanoi; Kumamoto University</t>
  </si>
  <si>
    <t>Appalachian State University; American Association of Petroleum Geologists; Geological Society of America; National Geographic(National Geographic Society); Deutsche Forschungsgemeinschaft (DFG)(German Research Foundation (DFG)); National Foundation for Science &amp; Technology (NAFOSTED)</t>
  </si>
  <si>
    <t>O. Paschall received funding from Appalachian State University, the American Association of Petroleum Geologists and the Geological Society of America. S. Carmichael received funding from National Geographic (CP-113R-17). Deutsche Forschungsgemeinschaft (DFG) provided financial support (DFG KO-1622/15-1) to P. Konigshof. Phuong H. Ta has received funding from the National Foundation for Science &amp; Technology (NAFOSTED project No. 105.03 - 2016.19). A. Dombrowski received funding from Appalachian State University. This paper is a contribution to IGCP Project 596 (Climate Change and Biodiversity Patterns in the Mid-Paleozoic). We are grateful to Michael Joachimski for providing carbon isotope data, and Drew Coleman and Cameron Batchelor for providing 87Sr/86Sr data, and K. Krommes for providing XRD data. We thank our reviewers for constructive feedback that has greatly improved our manuscript.</t>
  </si>
  <si>
    <t>10.1016/j.gloplacha.2019.01.021</t>
  </si>
  <si>
    <t>WOS:000463982700006</t>
  </si>
  <si>
    <t>Gao, Si; Chen, Zhifan; Zhang, Wei</t>
  </si>
  <si>
    <t>This study examines the impacts of tropical North Atlantic (TNA) sea surface temperature anomaly (SSTA) on western North Pacific (WNP) landfalling tropical cyclones (TCs). The authors find that TNA SSTA has significant negative correlations with the frequency of TCs making landfall in China, Vietnam, the Korean Peninsula and Japan, and the entirety of East Asia. TNA SSTA influences the frequency of TC landfalls in these regions by regulating TC genesis location and frequency associated with modulated environmental conditions. During cold TNA SST years, larger low-level relative vorticity and weaker vertical wind shear lead to more TC formations over the South China Sea (SCS) and western Philippine Sea (WPS), and larger low-level relative vorticity, higher midlevel relative humidity, and weaker vertical wind shear result in more TC formations over the eastern part of WNP (EWNP). More TCs forming over different regions are important for more TC landfalls in Vietnam (mainly forming over the SCS and WPS), south China (predominantly forming over the SCS), Taiwan (mostly forming over the WPS), and the Korean Peninsula and Japan (forming over the WPS and EWNP). Tracks of these landfalling TCs basically follow the mean steering flow in spite of different directions of steering flow anomalies in the vicinity. The modulation of large-scale environments by TNA SSTA may be through two possible pathways proposed in previous studies: the Indian Ocean relaying effect and the subtropical eastern Pacific relaying effect. The results of this study suggest that TNA SSTA is a potential predictor for the frequency of TCs making landfall in China, Vietnam, the Korean Peninsula and Japan, and the entirety of East Asia.</t>
  </si>
  <si>
    <t>[Gao, Si; Chen, Zhifan] Nanjing Univ Informat Sci &amp; Technol, Collaborat Innovat Ctr Forecast &amp; Evaluat Meteoro, Nanjing, Jiangsu, Peoples R China; [Gao, Si; Chen, Zhifan] Nanjing Univ Informat Sci &amp; Technol, Joint Int Res Lab Climate &amp; Environm Change, Minist Educ, Key Lab Meteorol Disaster, Nanjing, Jiangsu, Peoples R China; [Zhang, Wei] Univ Iowa, IIHR Hydrosci &amp; Engn, Iowa City, IA 52242 USA</t>
  </si>
  <si>
    <t>Nanjing University of Information Science &amp; Technology; Nanjing University of Information Science &amp; Technology; University of Iowa</t>
  </si>
  <si>
    <t>National Natural Science Foundation of China(National Natural Science Foundation of China (NSFC)); Jiangsu Shuangchuang Doctor Program; Priority Academic Program Development of Jiangsu Higher Education Institutions (PAPD)</t>
  </si>
  <si>
    <t>NCEP-NCAR Reanalysis data and NOAAERSST v4 data are provided by the NOAA/OAR/ESRL PSD (Boulder, Colorado; http://www.esrl.noaa.gov/psd/). RMSC Tokyo TC best-track data are provided by the Japan Meteorological Agency/RMSC Tokyo-Typhoon Center (http://www.jma.go.jp/jma/jmaeng/jma-center/rsmc-hp-pub-eg/besttrack.html). CMA TC best-track data and annual TC reports are provided by the CMA/Shanghai Typhoon Institute (http://tcdata.typhoon.org.cn/en/). We are grateful to two anonymous reviewers for the helpful comments and suggestions that significantly improved the earlier version of the manuscript. This paper was jointly supported by the National Natural Science Foundation of China (41575078 and 41505035), the Jiangsu Shuangchuang Doctor Program, and the Priority Academic Program Development of Jiangsu Higher Education Institutions (PAPD). This paper is Earth System Modelling Center Contribution Number 192.</t>
  </si>
  <si>
    <t>10.1175/JCLI-D-17-0325.1</t>
  </si>
  <si>
    <t>WOS:000425164800021</t>
  </si>
  <si>
    <t>San, Murat; Akcay, Fatma; Linh, Nguyen Thi Thuy; Kankal, Murat; Pham, Quoc Bao</t>
  </si>
  <si>
    <t>It is a known fact that the size, frequency, and spatial variability of hydrometeorological variables will irregularly increase under the impact of climate change. Among the hydrometeorological variables, rainfall is one of the most important. Trend analysis is one of the most effective methods of observing the effects of climate change on rainfall. Recently, new graphical methods have been proposed as an alternative to classical trend analysis methods. Innovative Polygon Trend Analysis (IPTA), which evolved from Innovative Trend Analysis (ITA), is currently one of the proposed methods and it does not contain any assumptions. The aim of this study is to compare IPTA, ITA with the Significance Test and Mann-Kendall (MK) methods. To achieve this, the monthly total rainfall trends of 15 stations in the Vu Gia-Thu Bon River Basin (VGTBRB) of Vietnam have been examined for the period 1979-2016. The analyses show that rainfall tends to increase (decrease) in March (June) at nearly all stations. IPTA and ITA with the Significance Test are more sensitive than MK in determining the trends. While trends were detected in approximately 90% of all months in IPTA and ITA with the Significance Test, this rate was only 23% in the MK test. Although the arithmetic mean graphs in the 1-year hydrometeorological cycle are considerably regular at almost all stations, their standard deviations are relatively irregular. The most critical month for trend transitions between consecutive months for all the stations is October, which has an average trend slope of -1.35 and a trend slope ranging from -3.98 to -0.21, which shows a decreasing trend.</t>
  </si>
  <si>
    <t>[San, Murat] Gumushane Univ, Civil Engn Dept, TR-29100 Gumushane, Turkey; [Akcay, Fatma; Kankal, Murat] Bursa Uludag Univ, Civil Engn Dept, TR-16059 Bursa, Turkey; [Linh, Nguyen Thi Thuy] Thuyloi Univ, 175 Tay Son, Hanoi, Vietnam; [Pham, Quoc Bao] Ton Duc Thang Univ, Environm Qual Atmospher Sci &amp; Climate Change Res, Ho Chi Minh City, Vietnam; [Pham, Quoc Bao] Ton Duc Thang Univ, Fac Environm &amp; Labour Safety, Ho Chi Minh City, Vietnam</t>
  </si>
  <si>
    <t>Gumushane University; Uludag University; Thuyloi University; Ton Duc Thang University; Ton Duc Thang University</t>
  </si>
  <si>
    <t>10.1007/s00704-021-03574-4</t>
  </si>
  <si>
    <t>WOS:000623702000001</t>
  </si>
  <si>
    <t>Ghimire, Uttam; Srinivasan, Govindarajalu; Agarwal, Anshul</t>
  </si>
  <si>
    <t>Eight rainfall bias correction techniques were compared over the Chindwin River basin in Myanmar to improve hydrological simulation at multiple timescales using two approaches, viz. monthly and annual. The techniques included linear scaling, parametric quantile mapping using linear, scale, power and exponential assymptotic transfer functions and nonparametric quantile mapping using empirical, robust regression and smoothing splines interpolation methods. Three global climate models (GCMs), wet, near-normal and dry in nature to estimate mean rainfall at the country and the basin scales were selected from a set of 13 GCMs. The rainfall bias correction factors for each GCM were generated from the control period 1981-1999 and verified over 2000-2005. Application of bias correction techniques resulted in reduction of biases and improved the flow simulations. These techniques showed better performance statistics in simulating daily, monthly and seasonal flows under the monthly approach, where correction factors were generated and applied separately for different months. The inconsistencies in magnitude and seasonality of flows were addressed under the monthly approach while only the biases related to magnitude were corrected under the annual approach. Linear scaling followed by parametric (linear and power transformation) and nonparametric empirical quantile mapping methods yielded a very good hydrological performance at all temporal scales when applied under the monthly approach. Parametric quantile mapping with scaling function yielded least efficiency under the annual approach for all temporal scales. These results are expected to be valid for other river basins in the region showing similar strong rainfall seasonality.</t>
  </si>
  <si>
    <t>[Ghimire, Uttam; Srinivasan, Govindarajalu; Agarwal, Anshul] Reg Integrated Multi Hazard Early Warning Syst Af, Khlong Luang, Thailand</t>
  </si>
  <si>
    <t>10.1002/joc.5959</t>
  </si>
  <si>
    <t>WOS:000465456400039</t>
  </si>
  <si>
    <t>Choi, Ki-Seon; Cha, Yu-Mi; Kang, Sung-Dae; Kim, Hae-Dong</t>
  </si>
  <si>
    <t>This study analyzed the climate regime shift using statistical change-point analysis on the time-series tropical cyclone (TC) frequency that affected Japan in July to September. The result showed that there was a significant change in 1995, and since then, it showed a trend of rapidly decreasing frequency. To determine the reason for this, differences between 1995 to 2012 (9512) period and 1978 to 1994 (7894) period were analyzed. First, regarding TC genesis, TCs during the 9512 period showed a characteristic of genesis from the southeast quadrant of the tropical and subtropical western North Pacific and TCs during the 7894 period showed their genesis from the northwest quadrant. Regarding a TC track, TCs in the 7894 period had a strong trend of moving from the far east sea of the Philippines via the East China Sea to the mid-latitude region in East Asia while TCs in the 9512 period showed a trend of moving from the Philippines toward the southern part of China westward. Thus, TC intensity in the 7894 period, which can absorb sufficient energy from the sea as they moved a long distance over the sea, was stronger than that of 9512. Large-scale environments were analyzed to determine the cause of such difference in TC activity occurred between two periods. During the 9512 period, anomalous cold and dry anticyclones were developed strongly in the East Asia continent. As a result, Korea and Japan were affected by the anomalous northerlies thereby preventing TCs in this period from moving toward the mid-latitude region in East Asia. Instead, anomalous easterlies (anomalous trade wind) were developed in the tropical western Pacific so that a high passage frequency from the Philippines to the south China region along the anomalous steering flows was revealed. The characteristics of the anomalous cold and dry anticyclone developed in the East Asia continent were also confirmed by the analysis of air temperature, relative humidity, and sensible heat net flux showing that most regions in East Asia had negative values.</t>
  </si>
  <si>
    <t>[Choi, Ki-Seon; Cha, Yu-Mi; Kang, Sung-Dae] Korea Meteorol Adm, Natl Typhoon Ctr, Jeju, South Korea; [Kim, Hae-Dong] Keimyung Univ, Dept Global Environm, Daegu, South Korea</t>
  </si>
  <si>
    <t>10.1007/s00704-014-1221-0</t>
  </si>
  <si>
    <t>WOS:000356539300016</t>
  </si>
  <si>
    <t>Borzino, Natalia; Chng, Samuel; Mughal, Muhammad Omer; Schubert, Renate</t>
  </si>
  <si>
    <t>In many countries, urban heat island (UHI) effects come along with urbanization in metropolitan areas. They have relevant adverse effects on the health and wellbeing of citizens. Singapore is strongly affected by UHI. In this study, we assess Singaporeans' willingness to pay (WTP) for UHI mitigation by implementing a contingent valuation analysis. Specifically, we employ a double-bounded dichotomous survey design on a representative sample of 1822 online respondents. We find that Singaporeans are willing to sacrifice on average 0.43% of their annual income to mitigate UHI. The total WTP for mitigation strategies among Singapore citizens and permanent residents is estimated at SGD$783.08 million per year, the equivalent of USD$563.80 per year. Our findings suggest that there is a positive and significant relationship between the size of UHI effects and the citizens' WTP. People living in the region with the highest intensity of UHI are willing to pay 3.09 times more than those living in the region with the lowest UHI intensity. Furthermore, demographic and socio-economic characteristics are significant determinants of Singaporeans' WTP. The WTP increases with income and education but decreases with age. Students, men, and people with children are willing to pay more. Additional analyses show that the level of UHI awareness, positive attitudes towards UHI mitigation strategies as well as preferences for outdoor activities are positively correlated with the WTP. Our findings suggest that citizens are aware of the impacts of UHI and support UHI mitigation measures to be financed by their taxes. Policy interventions to promote UHI-related education and disseminating UHI-related information might increase the support of UHI mitigation policies.</t>
  </si>
  <si>
    <t>[Borzino, Natalia; Mughal, Muhammad Omer; Schubert, Renate] Singapore ETH Ctr, 1 Create Way,CREATE Tower,06-01, Singapore 138602, Singapore; [Chng, Samuel] Singapore Univ Technol &amp; Design, Lee Kuan Yew Ctr Innovat Cities, 8 Somapah Rd, Singapore 487372, Singapore; [Schubert, Renate] Swiss Fed Inst Technol, Dept Humanities Social &amp; Polit Sci, Chair Econ, CH-8092 Zurich, Switzerland</t>
  </si>
  <si>
    <t>Singapore University of Technology &amp; Design; Swiss Federal Institutes of Technology Domain; ETH Zurich</t>
  </si>
  <si>
    <t>Singapore's National Research Foundation (NRF) under its Virtual Singapore programme; Chen Tianqiao Program for Urban Innovation at the Lee Kuan Yew Centre for Innovative Cities, Singapore University of Technology and Design</t>
  </si>
  <si>
    <t>The research was mainly conducted under the Cooling Singapore project, funded by Singapore's National Research Foundation (NRF) under its Virtual Singapore programme. Cooling Singapore is a collaborative project led by the Singapore-ETH Centre (SEC), with the Singapore-MIT Alliance for Research and Technology (SMART), TUMCREATE (established by the Technical University of Munich), the National University of Singapore (NUS), the Singapore Management University (SMU), and the Agency for Science, Technology and Research (A*STAR). S.C is partially funded by the Chen Tianqiao Program for Urban Innovation at the Lee Kuan Yew Centre for Innovative Cities, Singapore University of Technology and Design. The views expressed are those of the authors and not necessarily those of the above funders.</t>
  </si>
  <si>
    <t>10.3390/cli8070082</t>
  </si>
  <si>
    <t>WOS:000554257600001</t>
  </si>
  <si>
    <t>Schubert, David; van der Linden, Roderick; Reyers, Mark; Fink, Andreas H.; Massmeyer, Klaus; Pinto, Joaquim G.</t>
  </si>
  <si>
    <t>Precipitation over Southeast Asia is primarily controlled by the Southeast Asian monsoon system. This area features complex orography and morphology, and has limited surface precipitation observations. In this study, a statistical-dynamical downscaling approach that combines weather typing and dynamical downscaling is developed to obtain a high-resolution precipitation climatology for tropical Southeast Asia. A transient simulation with the regional climate model COSMO-CLM (COnsortium for Small Scale MOdelling-Climate Limited-area Modelling Community) driven by ERA-Interim (1979-2008) is performed for the study region. Focussing on Vietnam, six weather types (WTs) are selected for the Indochina Peninsula during the wet season (April to October) using a k-means cluster approach on daily 850 and 200hPa zonal wind components from ERA-Interim reanalysis. The six WTs can be physically interpreted as different stages of the seasonal progression of the planetary-scale monsoon circulation. For each WT, selected representatives from the COSMO-CLM run are dynamically downscaled to a resolution of 0.0625 degrees x0.0625 degrees (approximate to 7km). Using the present-day WT frequencies, the simulated COSMO-CLM representatives at 7km are recombined to a high-resolution rainfall climatology for the recent decades. The resulting high-resolution precipitation climatology is generally able to capture the present-day precipitation estimates derived from APHRODITE (Asian Precipitation - Highly Resolved Observational Data Integration Towards Evaluation of Water Resources) and station data. In spite of systematic biases our approach provides a valuable tool to obtain more robust regional climate change projections for the study area.</t>
  </si>
  <si>
    <t>[Schubert, David; van der Linden, Roderick; Reyers, Mark] Univ Cologne, Inst Geophys &amp; Meteorol, Pohligstr 3, D-50969 Cologne, Germany; [Schubert, David; Massmeyer, Klaus] Ostwestfalen Lippe Univ Appl Sci, Dept Environm Engn &amp; Appl Comp Sci, Hoxter, Germany; [Fink, Andreas H.; Pinto, Joaquim G.] Karlsruhe Inst Technol, Inst Meteorol &amp; Climate Res, Karlsruhe, Germany; [Pinto, Joaquim G.] Univ Reading, Dept Meteorol, Reading, Berks, England</t>
  </si>
  <si>
    <t>University of Cologne; Helmholtz Association; Karlsruhe Institute of Technology; University of Reading</t>
  </si>
  <si>
    <t>German Federal Ministry for Education and Research (BMBF)(Federal Ministry of Education &amp; Research (BMBF)); Vietnam National University of Ho Chi Minh City (VNU-HCM); Graduate School of Geoscience (GSGS), University of Cologne; AXA Research Fund(AXA Research Fund)</t>
  </si>
  <si>
    <t>This work is part of the VNU-HCM -BMBF project EWATEC-COAST, supported by the German Federal Ministry for Education and Research (BMBF) grants no. 02WCL1217B and 02WCL1217C and by the Vietnam National University of Ho Chi Minh City (VNU-HCM) grant no. NDT2012-24-01/HD-KHCN. D.S. thanks the Graduate School of Geoscience (GSGS), University of Cologne, for financial support. J.G.P. thanks the AXA Research Fund for support. We gratefully acknowledge the Max-Planck-Institute for Meteorology (Hamburg, Germany) for providing global climate model output data and the Deutsches Klima Rechenzentrum (DKRZ Hamburg, Germany) for computing time and storage. Daily data from APHRODITE have been downloaded free of charge for evaluation (Yatagai et al., 2012) (www.climatedataguide.ucar.edu) and OLR data were downloaded free of charge from the Earth System Research Laboratory of NOAA's Physical Science Division (www.esrl.noaa.gov). We also thank Phan Van Tan from the Hanoi University of Science for providing daily station measurements. Furthermore, we thank European Centre of Medium Range Weather Forecast (ECMWF) for providing the ERA-Interim data (www.ecmwf.int). We thank two anonymous reviewers for their comments that helped to substantially improve the manuscript.</t>
  </si>
  <si>
    <t>10.1002/joc.5062</t>
  </si>
  <si>
    <t>WOS:000409036800018</t>
  </si>
  <si>
    <t>Wang, Guansuo; Zhao, Biao; Qiao, Fangli; Zhao, Chang</t>
  </si>
  <si>
    <t>Super Typhoon Haiyan devastated portions of Southeast Asia, particularly the Philippines, on November 8, 2013. In this paper, observational data are used to analyze the intensification process of Super Typhoon Haiyan. Observational data showed that Typhoon Haiyan intensified and the maximum sustained winds increased to 59 ms(-1) after it encountered a double warm-core ocean eddy, while the central pressure of the typhoon dropped from 970 hPa to 920 hPa. Numerical simulations and observational data show that the presence of the warm-core eddy combined with SST increases due to climate change led to the rapid intensification of Super Typhoon Haiyan. Comparing these two factors, the warm-core ocean eddy, which brings significantly more heat into the upper ocean, plays the leading role in the intensification, with climate warming making a lesser contribution. Moreover, due to the increased thickness of the mixed layer associated with the warm-core ocean eddy, Super Typhoon Haiyan did not significantly decrease the sea surface temperature to the east of the Philippines, as is typical of typhoons, and the largest decrease was approximately 1 degrees C.</t>
  </si>
  <si>
    <t>[Wang, Guansuo; Zhao, Biao; Qiao, Fangli; Zhao, Chang] SOA, Inst Oceanog 1, Qingdao, Peoples R China; [Wang, Guansuo; Zhao, Biao; Qiao, Fangli; Zhao, Chang] Qingdao Natl Lab Marine Sci &amp; Technol, Lab Reg Oceanog &amp; Numer Modeling, Qingdao, Peoples R China; [Wang, Guansuo; Zhao, Biao; Qiao, Fangli; Zhao, Chang] SOA, Key Lab Marine Sci &amp; Numer Modeling MASNUM, Qingdao, Peoples R China</t>
  </si>
  <si>
    <t>First Institute of Oceanography, Ministry of Natural Resources; Laoshan Laboratory</t>
  </si>
  <si>
    <t>1616-7341</t>
  </si>
  <si>
    <t>1616-7228</t>
  </si>
  <si>
    <t>OCEAN DYNAM</t>
  </si>
  <si>
    <t>Ocean Dyn.</t>
  </si>
  <si>
    <t>10.1007/s10236-018-1217-x</t>
  </si>
  <si>
    <t>WOS:000450845700003</t>
  </si>
  <si>
    <t>Richard, Sandra; Walsh, Kevin J. E.</t>
  </si>
  <si>
    <t>Multi-scale interactions between El Nino-Southern Oscillation and the Boreal Winter Monsoon contribute to rainfall variations over Malaysia. Understanding the physical mechanisms that control these spatial variations in local rainfall is crucial for improving weather and climate prediction and related risk management. Analysis using station observations and European Centre for Medium-Range Weather Forecasts Interim Reanalysis (ERA-Interim) reanalysis reveals a significant decrease in rainfall during El Nino (EL) and corresponding increase during La Nina particularly north of 2 degrees N over Peninsular Malaysia (PM). It is noted that the southern tip of PM shows a small increase in rainfall during El Nino although not significant. Analysis of the diurnal cycle of rainfall and winds indicates that there are no significant changes in morning and evening rainfall over PM that could explain the north-south disparity. Thus, we suggest that the key factor which might explain the north-south rainfall disparity is the moisture flux convergence (MFC). During the December to January (DJF) period of EL years, except for the southern tip of PM, significant negative MFC causes drying as well as suppression of uplift over most areas. In addition, lower specific humidity combined with moisture flux divergence results in less moisture over PM. Thus, over the areas north of 2 degrees N, less rainfall (less heavy rain days) with smaller diurnal rainfall amplitude explains the negative rainfall anomaly observed during DJF of EL. The same MFC argument might explain the dipolar pattern over other areas such as Borneo if further analysis is performed.</t>
  </si>
  <si>
    <t>[Richard, Sandra; Walsh, Kevin J. E.] Univ Melbourne, Sch Earth Sci, Melbourne, Vic, Australia</t>
  </si>
  <si>
    <t>University of Melbourne</t>
  </si>
  <si>
    <t>Jabatan Perkhidmatan Awam Malaysia (JPA); ARC Centre of Excellence for Climate System Science (ARCCSS)(Australian Research Council)</t>
  </si>
  <si>
    <t>This research was funded by the Jabatan Perkhidmatan Awam Malaysia (JPA) and the ARC Centre of Excellence for Climate System Science (ARCCSS). We are grateful to the Malaysian Meteorological Department for generously providing the hourly data for the purpose of this study. We thank the anonymous reviewers for their insightful comments on the manuscripts.</t>
  </si>
  <si>
    <t>10.1007/s00704-017-2262-y</t>
  </si>
  <si>
    <t>WOS:000446552300009</t>
  </si>
  <si>
    <t>Surmaini, Elza; Hadi, Tri Wahyu; Subagyono, Kasdi; Puspito, Nanang Tyasbudi</t>
  </si>
  <si>
    <t>El Nio events have been frequently marked by drought occurrences with severe consequences for agricultural production in Indonesia. Paddy drought occurs almost every year and extends during El Nio phenomena. The Nio 3.4 index is commonly used as an important tool for managing a food security policy. However, there are no details regarding the impact of El Nio on drought-induced paddy damage. We developed the Paddy Drought Impact Index (PDII), which is the ratio of drought-induced paddy damaged area to the total paddy area planted in order to investigate the impact of drought on paddies among 335 districts in Indonesia. Unlike other agricultural drought indices, this index represents real-life percentage of drought-induced paddy damage to indicate each district's relative severity to drought, which can be easily understood by practical users. The connection between the Nio 3.4 index and PDII was assessed using cross correlation analysis. Scatter plots of best lag time Nio 3.4 index against PDII were examined. The findings show that with 2 months lag of Nio 3.4 prior to PDII, March and June Nio 3.4 indices can be used to predict May-July and August-October PDII, respectively. Critical thresholds of the March Nio 3.4 index were found to range from 0.0 to 0.5 A degrees C, which is associated with a 0.57 probability of weak El Nio occurrence during the subsequent 5 months. On the other hand, a higher probability of 0.67 for occurrences of moderate El Nio is associated with the critical thresholds of June Nio 3.4 index, which ranges from 0.5-1.0 A degrees C. This study has found that the potential impact of drought due to the weak and moderate El Nio occurrences in Indonesia is such that yields are reduced by about 40 % in average. We also found that the most drought-prone areas are located in West Java for both May-July and August-October and in South Sulawesi for August-October.</t>
  </si>
  <si>
    <t>[Surmaini, Elza] Indonesian Agroclimate &amp; Hydrol Res Inst, Bogor, Indonesia; [Hadi, Tri Wahyu] Bandung Inst Technol, Fac Earth Sci &amp; Technol, Bandung, Indonesia; [Subagyono, Kasdi] Indonesian Agcy Agr Res Dev, Jakarta, Indonesia; [Puspito, Nanang Tyasbudi] Bandung Inst Technol, Fac Min &amp; Petr Engn, Bandung, Indonesia</t>
  </si>
  <si>
    <t>Institute Technology of Bandung; Indonesian Agency for Agricultural Research &amp; Development; Institute Technology of Bandung</t>
  </si>
  <si>
    <t>Indonesian Agency of Agriculture Research Development; Australian Leadership Award Fellowship</t>
  </si>
  <si>
    <t>First of all, we would like to acknowledge the invaluable funding support given by the Indonesian Agency of Agriculture Research Development. We are also beyond gratefulness to the anonymous reviewer for their insightful comments with regards to improving the quality of this paper. We would also like to express our gratitude for the many constructive comments as given by Dr. Dewi Kirono, without whom this paper would never be of such a standard. Our thanks also go to the Australian Leadership Award Fellowship held by Monash University for helping us with the preparation of this paper. Additionally, the authors appreciate the technical assistance given by Ridho Syahputra from the Weather and Climate Prediction Laboratory, Bandung Institute of Technology.</t>
  </si>
  <si>
    <t>10.1007/s00704-014-1258-0</t>
  </si>
  <si>
    <t>WOS:000359055800021</t>
  </si>
  <si>
    <t>Islands are highly vulnerable to natural disasters and extreme weather events due to their physical size, remoteness, and limited resources. This paper measured village-level drought risk in Marinduque, Philippines using Principal Component Analysis (PCA) and fuzzy logic. Standard Precipitation Index was used to measure drought hazards in the province utilizing publicly available rainfall. Principal component analysis was used to derive the drought hazard index from SPI-calculated drought magnitude and total drought event at different time scales. The fuzzy logic approach was used to delineate the physical vulnerability of the province to drought. The social vulnerability index was also derived from the socioeconomic and demographic data of Marinduque using PCA. Based on the results, villages with high drought risk were found in the northwest and eastern portion of the province. The results showed that topography and climate influence the hazard and physical vulnerability to drought in the area. Villages in high mountainous regions, and areas with low rainfall have higher drought hazard and physical vulnerability scores. Meanwhile, villages with high social vulnerability are also those with a large population of women, the elderly, and households engage in agriculture.</t>
  </si>
  <si>
    <t>[Salvacion, Arnold R.] Univ Philippines Banos Coll, Environm Resource Planning Coll Human Ecol, Dept Community, Laguna 4031, Philippines</t>
  </si>
  <si>
    <t>10.1007/s11069-022-05795-w</t>
  </si>
  <si>
    <t>WOS:000903830300001</t>
  </si>
  <si>
    <t>Seiki, Ayako; Kosaka, Yu; Yokoi, Satoru</t>
  </si>
  <si>
    <t>The relationship between the boreal summer intraseasonal oscillation (BSISO) in the tropics and the summertime tropicalextratropical teleconnection called the Pacific-Japan (PJ) pattern is investigated. The positive correlation between the BSISO and intraseasonal PJ pattern peaks during BSISO phase 8 when the convective center of the BSISO reaches the vicinity of the Philippines. A composite analysis based on the BSISO events shows that intraseasonal responses to the migration of the BSISO extend to the midlatitudes and form circulation anomalies reminiscent of the PJ pattern. During phases 7-8, cyclonic wind anomalies with low-pressure signals drastically intensify north of the Philippines and southeasterly wind anomalies blow into midlatitude East Asia, influencing the summer climate. Other apparent intraseasonal signals in pressure and surface air temperature are found over the midlatitude central Pacific and eastern Eurasia, respectively. The intraseasonal variability in the PJ pattern associated with the BSISO undergoes strong interannual modulations, with enhanced intraseasonal signals in summers of the positive seasonal-mean PJ pattern and suppressed signals in those of the negative PJ pattern. This asymmetry between the positive and negative PJ summers highlights the importance of cross-scale interactions for a better understanding of summer climate in East Asia.</t>
  </si>
  <si>
    <t>[Seiki, Ayako; Yokoi, Satoru] Japan Agcy Marine Earth Sci &amp; Technol, Res Inst Global Change, Dynam Coupling Ocean Atmosphere Land Res Program, Yokosuka, Kanagawa, Japan; [Kosaka, Yu] Univ Tokyo, Res Ctr Adv Sci &amp; Technol, Tokyo, Japan</t>
  </si>
  <si>
    <t>Japan Agency for Marine-Earth Science &amp; Technology (JAMSTEC); University of Tokyo</t>
  </si>
  <si>
    <t>Japan Society for the Promotion of Science(Ministry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</si>
  <si>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This study is partly supported by Grants-in-Aid for Scientific Research (18H05879, 18H01278, 19H05703, and 20H01386) of the Japan Society for the Promotion of Science.</t>
  </si>
  <si>
    <t>SEP 1</t>
  </si>
  <si>
    <t>10.2151/sola.2021-031</t>
  </si>
  <si>
    <t>WOS:000753059400002</t>
  </si>
  <si>
    <t>Supari; Tangang, Fredolin; Salimun, Ester; Aldrian, Edvin; Sopaheluwakan, Ardhasena; Juneng, Liew</t>
  </si>
  <si>
    <t>This paper provides a detailed description of how ENSO events affect seasonal and extreme precipitation over Indonesia. Daily precipitation data from 97 stations across Indonesia covering the period from 1981 to 2012 were used to investigate the effects of El Nino and La Nina on extreme precipitation characteristics including intensity, frequency and duration, as defined based on a subset of the Expert Team on Climate Change Detection and Indices (ETCCDI). Although anomalous signals in these three indices were consistent with those of total rainfall, anomalies in the duration of extremes [i.e., consecutive dry days (CDD) and consecutive wet days (CWD)] were much more robust. El Nino impacts were particularly prominent during June-July-August (JJA) and September-October-November (SON), when anomalously dry conditions were experienced throughout the country. However, from SON, a wet anomaly appeared over northern Sumatra, later expanding eastward during December-January-February (DJF) and March-April-May (MAM), creating contrasting conditions of wet in the west and dry in the east. We attribute this apparent eastward expansion of a wet anomaly during El Nino progression to the equatorial convergence of two anti-cyclonic circulations, one residing north of the equator and the other south of the equator. These anti-cyclonic circulations strengthen and weaken according to seasonal changes and their coupling with regional seas, hence shaping moisture transport and convergence. During La Nina events, the eastward expansion of an opposite (i.e., dry) anomaly was also present but less prominent than that of El Nino. We attribute this to differences in regional oceanatmosphere coupling, which result in the contrasting seasonal evolution of the two corresponding anomalous cyclonic circulations and in turn suggests the strong nonlinearity of El Nino and La Nina responses over the Maritime Continent. Based on the seasonal behaviour of anomalous CDD and CWD, we propose five sub-divisions of the Indonesian region for both El Nino and La Nina.</t>
  </si>
  <si>
    <t>[Supari; Tangang, Fredolin; Salimun, Ester; Juneng, Liew] Univ Kebangsaan Malaysia, Fac Sci &amp; Technol, Sch Environm &amp; Nat Resource Sci, Bangi 43600, Selangor, Malaysia; [Supari] Indonesia Agcy Meteorol Climatol &amp; Geophys BMKG, Ctr Climate Change Informat, Jakarta, Indonesia; [Tangang, Fredolin] Ramkhamhang Univ, Ramkhamhaeng Univ Ctr Reg Climate Change &amp; Renewa, Bangkok, Thailand; [Aldrian, Edvin] Indonesia Agcy Assessment &amp; Applicat Technol BPPT, Dept UPTHB, Jakarta, Indonesia; [Sopaheluwakan, Ardhasena] Indonesia Agcy Meteorol Climatol &amp; Geophys BMKG, Ctr R&amp;D, Jakarta, Indonesia</t>
  </si>
  <si>
    <t>Universiti Kebangsaan Malaysia; Indonesian Agency for Meteorology, Climatology &amp; Geophysics; Ramkhamhaeng University; National Research &amp; Innovation Agency of Indonesia (BRIN); Agency for the Assessment &amp; Application of Technology (BPPT); Indonesian Agency for Meteorology, Climatology &amp; Geophysics</t>
  </si>
  <si>
    <t>Indonesia Endowment Fund for Education (LPDP); Universiti Kebangsaan Malaysia; Asia Pacific Network for Global Change Research Grants</t>
  </si>
  <si>
    <t>The first author thanks the Indonesia Endowment Fund for Education (LPDP) (S-140/LPDP.3/2014) for providing a scholarship for his PhD program. This research was also funded by the Universiti Kebangsaan Malaysia ICONIC-2013-001, and is related to the Asia Pacific Network for Global Change Research Grants (ARCP2013-17NMY-Tangang/ST-2013-017, ARCP2014-07CMY-2014-Tangang/ST-2015-013, ARCP2015-04CMY-Tangang/ST-2015-003).</t>
  </si>
  <si>
    <t>7-8</t>
  </si>
  <si>
    <t>10.1007/s00382-017-4028-8</t>
  </si>
  <si>
    <t>WOS:000444947600009</t>
  </si>
  <si>
    <t>Kwan, Meng Sei; Tangang, Fredolin T.; Juneng, Liew</t>
  </si>
  <si>
    <t>This study examines the performance of the regional climate model, PRECIS, in reproducing the historical seasonal mean climatology over the Malaysian region. The performance of the model in simulating the seasonal climate pattern of the temperature, precipitation and large-scale circulation was reasonably good. The biases of temperature are less than 2 A degrees C in general, while the seasonal cycles match the observed pattern despite some differences in certain regions. However, the biases for precipitation were greater, particularly over the mountainous areas. These biases could be associated with the deficiencies of the model physics, related to the misrepresentation of the land-surface interaction and convective scheme. Furthermore, the model fails to simulate the mean sea-level pressure over the interior part of Borneo with a significant low-pressure centre. A higher magnitude of the moisture convergence and divergence simulated by the model also contributed to the biases of precipitation over Malaysia.</t>
  </si>
  <si>
    <t>[Kwan, Meng Sei; Tangang, Fredolin T.; Juneng, Liew] Univ Kebangsaan Malaysia, Res Ctr Trop Climate Change Syst, Fac Sci &amp; Technol, Bangi 43600, Selangor, Malaysia; [Tangang, Fredolin T.] Natl Univ Malaysia, Climate &amp; Ocean Anal Lab, Res Ctr Trop Climate Change Syst, Fac Sci &amp; Technol, Bangi 43600, Selangor, Malaysia</t>
  </si>
  <si>
    <t>Universiti Kebangsaan Malaysia; Universiti Kebangsaan Malaysia</t>
  </si>
  <si>
    <t>UKM</t>
  </si>
  <si>
    <t>This research is funded by UKM Research Grants UKM-GUP-ASPL-08-05-218, UKM-AP-PI-18-2009/2 and LRGS/TD/2011/UKM/PG/01. The authors wish to thank the Hadley Centre for proving the PRECIS modelling system for the Research Centre for Tropical Climate Change System, Universiti Kebangsaan Malaysia. Also, the availability of the CRU gridded precipitation data from the Climate Research Unit, University of East Anglia is acknowledged.</t>
  </si>
  <si>
    <t>10.1007/s00704-013-0873-5</t>
  </si>
  <si>
    <t>WOS:000329251800001</t>
  </si>
  <si>
    <t>Igarashi, Keiichi; Koichiro, Kuraji; Tanaka, Nobuaki; Aranyabhaga, Nilobol</t>
  </si>
  <si>
    <t>One of the main challenges in the world is adaptation to the impacts of climate change, and it is important to understand which impacts will take place in each region. Thailand endures substantial damage from floods every year and needs accurate measurement to mitigate flood disaster predicted under the looming scenario of climate change. The predicted impacts of climate change on flood discharge need to consider land use changes in the future, especially in developing countries because of their vulnerabilities to economic growth. The objective of this study was the quantitative predictions of the impacts of climate change and land use changes on flood discharge, using two simulation models at one watershed in the Song Khwae District, Nan Province, Northern Thailand. This study has three steps: (1) predictions of future land uses (14 scenarios having different proportion of forest cover), (2) calculation of 3.3 and 10-year return period rainfall for the period of 2006-2016 and 2040-2050. and (3) comparisons of average daily discharge from 3.3 and 10-year return period rainfall in 14 land use patterns. The results showed that although climate change will decrease the average daily discharge from the 3.3 and 10-year return period rainfall, discharge from future rainfall that has a 10-year return period, where land use patterns limit forest areas to less than 45%, will be greater than present levels. These quantitative predictions can lead to cost-benefits performance analysis and contribute to positive adaptation to climate change.</t>
  </si>
  <si>
    <t>[Igarashi, Keiichi; Koichiro, Kuraji; Tanaka, Nobuaki] Univ Tokyo, Grad Sch Agr &amp; Life Sci, Tokyo, Japan; [Aranyabhaga, Nilobol] Off Prime Minister, Off Natl Water Resources, Bangkok, Thailand</t>
  </si>
  <si>
    <t>IOS PRESS</t>
  </si>
  <si>
    <t>NIEUWE HEMWEG 6B, 1013 BG AMSTERDAM, NETHERLANDS</t>
  </si>
  <si>
    <t>2395-7611</t>
  </si>
  <si>
    <t>2395-7697</t>
  </si>
  <si>
    <t>J CLIM CHANG</t>
  </si>
  <si>
    <t>J. Clim. Chang.</t>
  </si>
  <si>
    <t>10.3233/JCC190001</t>
  </si>
  <si>
    <t>WOS:000460125200002</t>
  </si>
  <si>
    <t>Manandhar, Sujata; Pratoomchai, Weerayuth; Ono, Keisuke; Kazama, So; Komori, Daisuke</t>
  </si>
  <si>
    <t>This study investigates the perceptions of local people on climate change and related hazards in Yang Luang Village (YLV), which is located in the mountainous region of the Mae Chaem basin in northern Thailand. Furthermore, this study examines the differences between the perceptions of local people and scientific observations in this area. Both quantitative and qualitative methods were used, and the data were collected from various sources. Results show that nearly 45% of households have personally perceived climate change, mainly in the form of increasing rainfall, decreasing number of rainy days in the last two decades and of extremely late rainfall in recent year's rainy season. A comparison of locals' perceptions and climatic observations shows that local people have correctly perceived rainfall changes, which have largely influenced the experiences and perceptions regarding climate-related hazards. More than 70% of households have perceived droughts and floods impacts on their livelihoods but have not completely understood their causes. They have correctly perceived the landslide resulted from increasing amounts of rainfall. However, they are unaware of increasing landslide trends, flood hazards and the associated potential risks. The results are helpful to assess the needs in terms of actions and information to facilitate climate-related hazard management at the local level in Thailand. Hazard awareness campaign, training and early warning system are necessary for breaking the low perception of potential hazards in YLV. Moreover, a hazard management strategy without waiting for proof of a trend coming from reviews of the climate science is essential. (C) 2014 Elsevier Ltd. All rights reserved.</t>
  </si>
  <si>
    <t>[Manandhar, Sujata; Pratoomchai, Weerayuth; Kazama, So; Komori, Daisuke] Tohoku Univ, Dept Civil Engn, Aoba Ku, Sendai, Miyagi 9508579, Japan; [Ono, Keisuke] CTI Engn Co Ltd, Tokyo 1038430, Japan</t>
  </si>
  <si>
    <t>Japan Society for the Promotion of Science (JSPS)(Ministry of Education, Culture, Sports, Science and Technology, Japan (MEXT)Japan Society for the Promotion of Science); Integrated Study Project on Hydro-Meteorological Prediction and Adaptation to Climate Change in Thailand (IMPAC-T Project); Science and Technology Research Partnership; JST-JICA, Japan; Grants-in-Aid for Scientific Research(Ministry of Education, Culture, Sports, Science and Technology, Japan (MEXT)Japan Society for the Promotion of ScienceGrants-in-Aid for Scientific Research (KAKENHI))</t>
  </si>
  <si>
    <t>This study was supported by Grant-in-Aid from the Japan Society for the Promotion of Science (JSPS) Fellows and the Integrated Study Project on Hydro-Meteorological Prediction and Adaptation to Climate Change in Thailand (IMPAC-T Project) funded by the Science and Technology Research Partnership (Grant no. 25.03061) for Sustainable Development, JST-JICA, Japan. In addition, we thank Phonchai Klinkhachorn, Vanvisa Mama, and the staff from RID, Thailand, for helping us conduct the field survey.</t>
  </si>
  <si>
    <t>10.1016/j.ijdrr.2014.11.002</t>
  </si>
  <si>
    <t>WOS:000357734400004</t>
  </si>
  <si>
    <t>Sereenonchai, Sukanya; Arunrat, Noppol</t>
  </si>
  <si>
    <t>Coastal communities and small-scale fisheries are highly vulnerable to climate change. In this study, we aimed to examine fishers' decisions to adapt to climate change and their expectations for their children to pursue the same profession. Data were obtained from fisher households covering 8 districts and 22 sub-districts in the coastal area of Chumphon Province, Thailand, using participatory observation, focus group discussion, and in-person field surveys. A binary logistic regression model was used to determine factors influencing the fishers' decisions and their expectations for their children to inherit their occupation. Results showed that the fishers are aware of the increasing trends in air temperature, sea water temperature, inland precipitation, offshore precipitation, and storms. Increased fishing experience and fishing income increased the likelihood of the fishers applying adaptations to climate change. Looking to the future, fishers with high fishing incomes expect their children to pursue the occupation, whereas increased fishing experience, non-fishing incomes, and perceptions of storms likely discourage them from expecting their children to be fishers. Of the fishers interviewed, 58.06% decided to apply adaptations in response to climate change by incorporating climate-smart agriculture, particularly by cultivating rubber, oil palm, and orchards as a second income source. The adoption of climate-smart fisheries should be considered in relation to the body of local knowledge, as well as the needs and priorities of the fisher community. To cope with the impacts of current and future climate change on coastal communities, the national focal point of adaptation should be climate change, and related governmental agencies should pay more attention to these key factors for adaptation.</t>
  </si>
  <si>
    <t>[Sereenonchai, Sukanya; Arunrat, Noppol] Mahidol Univ, Fac Environm &amp; Resource Studies, Salaya 73170, Nakhon Pathom, Thailand</t>
  </si>
  <si>
    <t>Mahidol University</t>
  </si>
  <si>
    <t>This research project was supported by Mahidol University for the fiscal year of 2017, grant number 860150013000.</t>
  </si>
  <si>
    <t>10.3390/cli7020034</t>
  </si>
  <si>
    <t>WOS:000460705300017</t>
  </si>
  <si>
    <t>Lu, Wenfang; Oey, Lie-Yauw; Liao, Enhui; Zhuang, Wei; Yan, Xiao-Hai; Jiang, Yuwu</t>
  </si>
  <si>
    <t>Biological productivity in the summer Vietnam boundary upwelling system in the western South China Sea, as in many coastal upwelling systems, is strongly modulated by wind. However, the role of ocean circulation and mesoscale eddies has not been elucidated. Here, we show a close spatiotemporal covariability between primary production and kinetic energy. High productivity is associated with high kinetic energy, which accounts for similar to 15 % of the production variability. Results from a physical-biological coupled model reveal that the elevated kinetic energy is linked to the strength of the current separation from the coast. In the low production scenario, the circulation is not only weaker but also shows weak separation. In the higher production case, the separated current forms an eastward jet into the interior South China Sea, and the associated southern recirculation traps nutrients and favors productivity. When separation is absent, the model shows weakened circulation and eddy activity, with similar to 21 % less nitrate inventory and similar to 16 % weaker primary productivity.</t>
  </si>
  <si>
    <t>[Lu, Wenfang] Fuzhou Univ, Minist Educ, Key Lab Spatial Data Min &amp; Informat Sharing, Fuzhou, Fujian, Peoples R China; [Lu, Wenfang] Fuzhou Univ, Natl Engn Res Ctr Geospatial Informat Technol, Fuzhou, Fujian, Peoples R China; [Lu, Wenfang; Zhuang, Wei; Jiang, Yuwu] Xiamen Univ, Coll Ocean &amp; Earth Sci, State Key Lab Marine Environm Sci, Xiamen, Peoples R China; [Lu, Wenfang; Yan, Xiao-Hai] Univ Delaware, Coll Earth Ocean &amp; Environm, Ctr Remote Sensing, Newark, DE USA; [Lu, Wenfang; Zhuang, Wei; Yan, Xiao-Hai; Jiang, Yuwu] Univ Delaware, Joint Inst Coastal Res &amp; Management, Newark, DE 19716 USA; [Lu, Wenfang; Zhuang, Wei; Yan, Xiao-Hai; Jiang, Yuwu] Xiamen Univ, Xiamen, Peoples R China; [Oey, Lie-Yauw] Natl Cent Univ, Grad Inst Hydrol &amp; Ocean Sci, Taoyuan, Taiwan; [Oey, Lie-Yauw] Princeton Univ, Program Atmospher &amp; Ocean Sci, Princeton, NJ 08544 USA; [Liao, Enhui] Princeton Univ, Geosci Dept, Princeton, NJ 08544 USA</t>
  </si>
  <si>
    <t>Fuzhou University; Fuzhou University; Xiamen University; University of Delaware; University of Delaware; Xiamen University; National Central University; Princeton University; National Oceanic Atmospheric Admin (NOAA) - USA; Princeton University</t>
  </si>
  <si>
    <t>Ministry of Science and Technology of the People's Republic of China (MOST)(Ministry of Science and Technology, China); National Natural Science Foundation of China (NSFC)(National Natural Science Foundation of China (NSFC)); Fujian Collaborative Innovation Center for Big Data Applications in Governments; Central Guide Local Science and Technology Development Projects</t>
  </si>
  <si>
    <t>This study was supported by grant no. 2016YFA0601201 from the Ministry of Science and Technology of the People's Republic of China (MOST), and grants 41476005, 41476007, 41876004, and 41630963 from the National Natural Science Foundation of China (NSFC). This study was also partially supported by the Fujian Collaborative Innovation Center for Big Data Applications in Governments (2015750401) and the Central Guide Local Science and Technology Development Projects (2017L3012). The authors would like to thank Fei Chai for providing the code of the CoSINE model. The authors would also like to thank the three reviewers for their useful comments.</t>
  </si>
  <si>
    <t>1812-0784</t>
  </si>
  <si>
    <t>1812-0792</t>
  </si>
  <si>
    <t>OCEAN SCI</t>
  </si>
  <si>
    <t>Ocean Sci.</t>
  </si>
  <si>
    <t>OCT 24</t>
  </si>
  <si>
    <t>10.5194/os-14-1303-2018</t>
  </si>
  <si>
    <t>Meteorology &amp; Atmospheric Sciences; Oceanography</t>
  </si>
  <si>
    <t>WOS:000448186200002</t>
  </si>
  <si>
    <t>Xu, Liqiang; Ji, Chao; Kong, Deming; Guo, Min</t>
  </si>
  <si>
    <t>Coastal upwelling is of great social and economic significance to the human community. The Vietnam coastal upwelling is a fundamental part of upwelling systems in the South China Sea, western Pacific Ocean. However, its sedimentary response to global warming has been largely unknown. Here we reconstruct a 3200-year sedimentary record based on high-resolution geochemical analyses of a marine core from off the Vietnamese coast. The results reveal an abrupt sedimentary change since approximately 1950 ce. The abrupt change is explained by concurrent rapid intensification of the coastal upwelling. This can be ascribed to significant global change since the beginning of the 20th century. Global warming could enhance wind speed during the summer and strengthen the coastal upwelling. The forced upwelling results in an increase in nutrient availability and marine primary production; however, ongoing global warming may also increase the risk of more frequent algal blooms in this area.</t>
  </si>
  <si>
    <t>[Xu, Liqiang; Ji, Chao; Guo, Min] Hefei Univ Technol, Sch Resources &amp; Environm Engn, Hefei, Anhui, Peoples R China; [Xu, Liqiang] Chinese Acad Sci, Inst Earth Environm, State Key Lab Loess &amp; Quaternary Geol, Xian, Shanxi, Peoples R China; [Xu, Liqiang] Univ N Carolina, Dept Geol Sci, Chapel Hill, NC 27515 USA; [Kong, Deming] Guangdong Ocean Univ, Coll Ocean &amp; Meteorol, Guangdong Prov Key Lab Coastal Ocean Variat &amp; Dis, Zhanjiang, Guangdong, Peoples R China</t>
  </si>
  <si>
    <t>Hefei University of Technology; Chinese Academy of Sciences; Institute of Earth Environment, CAS; University of North Carolina; University of North Carolina Chapel Hill; Guangdong Ocean University</t>
  </si>
  <si>
    <t>National Natural Science Foundation of China(National Natural Science Foundation of China (NSFC)); open research fund of the State Key Laboratory of Loess and Quaternary Geology, Institute of Earth Environment, CAS</t>
  </si>
  <si>
    <t>This work was supported by the National Natural Science Foundation of China (41402148), and the open research fund of the State Key Laboratory of Loess and Quaternary Geology, Institute of Earth Environment, CAS (SKLLQG1929). Jianguo Liu and other team members are acknowledged for their help in sampling during the NSFC-sponsored integrated Open Scientific Expedition Cruise to western South China Sea in 2015. Larry Benninger and Noel White are acknowledged for their constructive comments and language help.</t>
  </si>
  <si>
    <t>0267-8179</t>
  </si>
  <si>
    <t>1099-1417</t>
  </si>
  <si>
    <t>J QUATERNARY SCI</t>
  </si>
  <si>
    <t>J. Quat. Sci.</t>
  </si>
  <si>
    <t>10.1002/jqs.3292</t>
  </si>
  <si>
    <t>WOS:000629248800001</t>
  </si>
  <si>
    <t>Fung, K. F.; Huang, Y. F.; Koo, C. H.</t>
  </si>
  <si>
    <t>A strong understanding of severe drought conditions is important for its mitigation and damage alleviation. Given the Peninsular Malaysia's drought vulnerability and its progressively increasing temperatures in the future, this study assessed the significance of temperature for the drought formation through temporal pattern, spatial characteristic and operational accuracy indicated by the Standardized Precipitation Index (SPI) and the Standardized Precipitation Evapotranspiration Index (SPEI) at the timescales of 1-, 3- and 6-month. Temporal analyses of drought frequency and fluctuations of the SPI and SPEI showed similar changes in moisture responsiveness over the increasing timescales. However, in terms of the number of dry months, the two indices showed different trends, consequential of the influence of temperature in the SPEI. The interchangeability of the two indices was confirmed through spatial variation analysis of drought frequency, mean drought duration, mean drought severity and mean drought peak. From an occurrence, duration and onset detection accuracy consideration, the SPI is better for the 1-month short-term drought, while the SPEI is better for the 3-month mid-term and 6-month long-term droughts. This is a result of the increased significance of temperature in drought formations. Further evaluations on drought severity also showed that the SPEI had better description of the long-term drought over Peninsular Malaysia during the 1997/1998 and 2015/2016 El-Nino drought events.</t>
  </si>
  <si>
    <t>[Fung, K. F.; Huang, Y. F.; Koo, C. H.] Univ Tunku Abdul Rahman, Lee Kong Chian Fac Engn &amp; Sci, Dept Civil Engn, Jalan Sg Long, Kajang 43000, Selangor, Malaysia</t>
  </si>
  <si>
    <t>Universiti Tunku Abdul Rahman (UTAR)</t>
  </si>
  <si>
    <t>Universiti Tunku Abdul Rahman, Bandar Sungai Long, Cheras, Kajang, Selangor, Malaysia through the Universiti Tunku Abdul Rahman Research Fund (UTARRF)</t>
  </si>
  <si>
    <t>The authors would like to express their sincere appreciations to the Universiti Tunku Abdul Rahman, Bandar Sungai Long, Cheras, 43000 Kajang, Selangor, Malaysia, for the financial support through the grant of Universiti Tunku Abdul Rahman Research Fund (UTARRF) under Project Number IPSR/RMC/UTARRF/2018-C1/H02.</t>
  </si>
  <si>
    <t>10.1007/s11069-020-04072-y</t>
  </si>
  <si>
    <t>WOS:000534457300003</t>
  </si>
  <si>
    <t>Makama, Ezekiel Kaura; Lim, Hwee San; Abdullah, Khiruddin</t>
  </si>
  <si>
    <t>Precipitable water vapor (PWV) is a highly variable, but important greenhouse gas that regulates the radiation budget of the earth. Its variability in time and space makes it difficult to quantify. Knowledge of its vertical distribution, in particular, is crucial for many reasons. In this study, empirical relationships between isobaric layers of PWV over Peninsular Malaysia are examined. Analysis of variance (ANOVA) technique on Advanced Television and Infrared Observation Satellite Operational Vertical Sounder (ATOVS) observations, from 2005 to 2011, has been used to propose a relationship of the form, W=alpha(WL)(beta) for the middle (MW) and upper (UW) layers PWV. W is either MW or UW with alpha and beta as regression coefficients, which are functions of latitude. Coefficients of determination (R-2) and root mean square error (RMSE) of respective values between 0.75-0.86 and 1.65-2.38 mm, across the zones, were obtained for both the MW and UW predictions, with a mean bias (MB) below +/- 1 mm.The predicted and observed PWV presented a better agreement northerly. Initial predictability test for each model was done on two independent data sets: ATOVS (2012-2015), and radiosonde (2010-2011) at Penang, Kuantan and Sepang stations, with very good outcomes. The results of the tests revealed remarkable performances, when compared with two previously reported models. The inclusion of variable regression coefficients, and the utilization of satellite-derived data, which provide soundings of data-void regions between radiosonde networks, proved to have optimized the results.</t>
  </si>
  <si>
    <t>[Makama, Ezekiel Kaura; Lim, Hwee San; Abdullah, Khiruddin] Univ Sains Malaysia, Sch Phys, Usm 11800, Pulau Pinang, Malaysia; [Makama, Ezekiel Kaura] Univ Jos, Dept Phys, PMB 2084, Jos, Nigeria</t>
  </si>
  <si>
    <t>Universiti Sains Malaysia; University of Jos</t>
  </si>
  <si>
    <t>1364-6826</t>
  </si>
  <si>
    <t>1879-1824</t>
  </si>
  <si>
    <t>J ATMOS SOL-TERR PHY</t>
  </si>
  <si>
    <t>J. Atmos. Sol.-Terr. Phys.</t>
  </si>
  <si>
    <t>10.1016/j.jastp.2017.12.005</t>
  </si>
  <si>
    <t>WOS:000424724100020</t>
  </si>
  <si>
    <t>Kok, Poh Heng; Akhir, Mohd Fadzil; Qiao, Fangli</t>
  </si>
  <si>
    <t>We investigate the southwest monsoon average structure and interannual variability of upwelling along the Peninsular Malaysia's east coast (PMEC) based on satellite-derived sea surface temperature (SST), reanalysis wind data and cruise observations. The upwelling area prompted by southwest monsoon winds is represented by a patch of cooler water along the coast. This cooler water is also an outcome of the cooler water flooded from the Karimata Strait, nonetheless, localised upwelling conditions demonstrating their substantial impact to further cool down this already cooled water. Results from empirical orthogonal function (EOF) analysis revealed that variation in SST was dominated by the first EOF mode, which accountable of 80.99% of total variance and its loading map demonstrated a persistence of SST front, represented the signature of upwelling. The time series of the first EOF mode was highly correlated with the alongshore wind stress anomalies, indicating the Ekman transport driven nature of upwelling interannual variability. We demonstrate that a delayed El Nino Southern Oscillation (ENSO) effect as an important factor for the interannual variations of upwelling along the PMEC. Our analysis focusing on the two recent strongest El Ninos, 2009/10 and 2015/16 revealed that the intense north-west Pacific anticyclone anomaly (NWPAA) and the occurrence of the northerly wind anomalies from the subtropical western Pacific (SWP) in 2010 weakened the upwelling along the PMEC. While in 2016, the occurrence of the 'C-shape' wind anomalies generated by the warming of the southeast tropical Indian Ocean (SETIO) weakened the upwelling along the PMEC.</t>
  </si>
  <si>
    <t>[Kok, Poh Heng; Akhir, Mohd Fadzil] Univ Malaysia Terengga, Inst Oceanog &amp; Environm, Kuala Nerus 21030, Terengganu, Malaysia; [Qiao, Fangli] Minist Nat Resources, Inst Oceanog 1, Qingdao 266061, Shandong, Peoples R China</t>
  </si>
  <si>
    <t>Ministry of Natural Resources of the People's Republic of China; First Institute of Oceanography, Ministry of Natural Resources</t>
  </si>
  <si>
    <t>Higher Centre of Excellence (HICOE) - Ministry of Education (MOE), Malaysia</t>
  </si>
  <si>
    <t>The authors wish to express their gratitude to the researchers from the UKM, Malaysia for their opinions and knowledge sharing. This research was supported by Higher Centre of Excellence (HICOE) research grant, awarded by Ministry of Education (MOE), Malaysia to the Institute of Oceanography and Environment (INOS), UMT, Malaysia, International Collaboration Fund (ICF) provided by Ministry of Energy, Science, Technology, Environment &amp; Climate Change (MESTECC), Malaysia and supported by National Scientific Cruise Expedition 2016 (EPSK'16), MESTECC for data collection and analysis. The authors wish to thank all the manpower on board RV Discovery who involved in the HICOE'15 and EPSK'16 cruises. The SST and wind fields data are freely available at Ocean Color Web (https://oceancolor.gsfc.nasa.gov/) and ECMWF (www.ecmwf.int) databases, respectively. All authors have no conflict of interest, financial or otherwise.</t>
  </si>
  <si>
    <t>10.1016/j.csr.2019.07.004</t>
  </si>
  <si>
    <t>WOS:000480377200002</t>
  </si>
  <si>
    <t>Hui-Mean, Foo; Yusop, Zulkifli; Yusof, Fadhilah</t>
  </si>
  <si>
    <t>Trend analysis for potential evapotranspiration (PET) and climatic water balance (CWB) is critical in identifying the wetness or dryness episodes with respect to the water surplus or deficit. The PET is computed based on the monthly average temperature for the entire Peninsular Malaysia using Thornthwaite parameterization. The trends and slope's magnitude for the PET and CWB were then investigated using Mann-Kendall, Spearman's rho tests and Thiel-Sen estimator. The 1-, 3-, 6- and 12-month standardised precipitation evapotranspiration index (SPEI) is applied to determine the drought episodes and the average recurrence interval are calculated based on the SPEI. The results indicate that most of the stations show an upward trend in annual and monthly PET while majority of the regions show an upward trend in annual CWB except for the Pahang state. The increasing trends detected in the CWB describe water is in excess especially during the northeast monsoons while the decreasing trends imply water insufficiency. The excess water is observed mostly in January especially in the west coast, east coast and southwest regions that suggest more water is available for crop requirement. The average recurrence interval for drought episodes is almost the same for the smaller severity with various time scale of SPEI and high probability of drought occurrence is observed for some regions. The findings are useful for policy makers and practitioners to improve water resources planning and management, in particular to minimise drought effects in the future. Future research shall address the influence of topography on drought behaviour using more meteorological stations and to include east Malaysia in the analysis.</t>
  </si>
  <si>
    <t>[Hui-Mean, Foo; Yusop, Zulkifli] Univ Teknol Malaysia, Ctr Environm Sustainabil &amp; Water Secur, Utm Johor Bahru 81310, Johor, Malaysia; [Yusof, Fadhilah] Univ Teknol Malaysia, Dept Math Sci, Fac Sci, Utm Johor Bahru 81310, Johor, Malaysia</t>
  </si>
  <si>
    <t>Post-Doctoral Fellowship Scheme of Universiti Teknologi Malaysia, PDRU; FRGS</t>
  </si>
  <si>
    <t>The authors are grateful to the Malaysian Meteorological Department for providing the data. This work was supported by the Post-Doctoral Fellowship Scheme of Universiti Teknologi Malaysia, PDRU grant vot. Q.J130000.21A2.03E14 and FRGS vot. R.J130000.7809.4F910.</t>
  </si>
  <si>
    <t>360 PARK AVE SOUTH, NEW YORK, NY 10010-1710 USA</t>
  </si>
  <si>
    <t>10.1016/j.atmosres.2017.10.014</t>
  </si>
  <si>
    <t>WOS:000418981500008</t>
  </si>
  <si>
    <t>Tropical forest is important in tackling global climate change. However, large-scale transformation of tropical forest in Indonesia is being done for oil palm plantation. Till date, there is a lack of scientific documentation that shows the most recent situation of oil palm plantation in the most eastern part of the country. This study documents the real condition of oil palm plantation expansion based on Sentinel data of European Space Agency (ESA). Sentinel-1 data sets of Papua Provinces of the year 2017 acquisition are used to avoid cloud cover problems in tropical regions. Object-based geospatial data feature extraction with Polarimetric SAR compared to the multiple classifier methods (that is, Gaussian Mixture Method, Random Forest, Support Vector Machine, and K-Nearest Neighbors) were introduced and employed using GRASS &amp; QGIS of free open source software (FOSS). Google Earth Engine (GEE) was then used to verify the classification result of oil palm plantation. The preprocessing step is very crucial in achieving high accuracy. However, it is time-consuming. This study concluded that the proposed method and SVM classifiers achieved the highest accuracy, 99.7% and 99.12%, respectively. While the KNN, RF, and GMM classifier produced 94.63%, 89.06%, and 72.87%, respectively. We found that vast scale transformation of tropical rainforest in lowland areas is happening in eastern Indonesia. This situation should be strictly monitored and controlled to avoid more significant issues related to socio-economic-environmental implications.</t>
  </si>
  <si>
    <t>[Ramdani, Fatwa] Brawijaya Univ, Fac Comp Sci, Geoinformat Res Grp, Malang, Indonesia</t>
  </si>
  <si>
    <t>Brawijaya University</t>
  </si>
  <si>
    <t>10.1080/01431161.2018.1508924</t>
  </si>
  <si>
    <t>WOS:000471955100006</t>
  </si>
  <si>
    <t>Dwirahmadi, Febi; Barnes, Paul; Wibowo, Arif; Amri, Avianto; Chu, Cordia; Gioia, Eleonora; Antronico, Loredana; Porfido, Sabina; Martinez-Frias, Jesus</t>
  </si>
  <si>
    <t>This paper examines the challenges of and facilitating strategies for linking disaster risk reduction (DRR) and climate change adaptation (CCA) in addressing urban floods, drawing from Indonesia's experience. The fragmentation between efforts to implement DRR and CCA leading to unnecessary duplication could increase confusion at both the community and wider governance levels and reduce the effectiveness of urban flood management. Through the lens of collaborative governance, this paper analyzes the barriers for integrating DRR and CCA and options to better align their practices in the context of a megapolitan city, Jakarta, Indonesia. The key findings of this study confirmed that institutional fragmentation, in concert with inconsistent facilitation and collaboration mechanisms, were the strongest barriers to aligning DRR and CCA action. The absence of accountable leadership was a key impediment for successful partnership-building processes to support political and technical collaboration. Leadership in these contexts plays an important role in (1) developing sustainable relationships, (2) convincing potential stakeholders to collaborate, (3) persuading partners to commit to sharing resources, and (4) agreeing/sharing a common vision of the partnership actions needed to mitigate harm and reduce urban vulnerability. These factors are critically important for reducing the direct and indirect impacts of flooding in Jakarta. Such lessons from Indonesia on linking DRR and CCA offer valuable insights to inform the development of policies and strategies to deal with urban floods for global cities faced with similar challenges.</t>
  </si>
  <si>
    <t>[Dwirahmadi, Febi; Barnes, Paul; Chu, Cordia] Griffith Univ, Ctr Environm &amp; Populat Hlth, Brisbane 4111, Australia; [Dwirahmadi, Febi; Amri, Avianto] Indonesian Disaster Management Soc, Jakarta 13420, Indonesia; [Barnes, Paul; Chu, Cordia] Natl Network Hlth Environm &amp; Lives HEAL, Parkville 3010, Australia; [Wibowo, Arif] Int Council Local Environm Initiat ICLEI, Jakarta 12920, Indonesia</t>
  </si>
  <si>
    <t>Griffith University</t>
  </si>
  <si>
    <t>2076-3263</t>
  </si>
  <si>
    <t>Geosciences</t>
  </si>
  <si>
    <t>10.3390/geosciences13110353</t>
  </si>
  <si>
    <t>WOS:001119719400001</t>
  </si>
  <si>
    <t>Amri, Avianto; Lassa, Jonatan A.; Tebe, Yusra; Hanifa, Nuraini Rahma; Kumar, Jeeten; Sagala, Saut</t>
  </si>
  <si>
    <t>The World Conference on Disaster Reduction 2005 endorsed the first and significant global promotion for Disaster Risk Reduction (DRR) integration in schools. Within 15 years of progress of the global and national movements for DRR education in Indonesia, this research asks three key research questions: First, how do schools adopt and sustain DRR education? Second, how do local and national actors upscale the integration of DRR education in schools? Third, what are the challenges and opportunities of DRR education in Indonesia? Using an explorative and qualitative approach, this research evaluation combined primary and secondary data. Ten transdisciplinary workshops were carried out involving 211 participants in four provinces involving key stakeholders such as educators, policy-makers, government and NGO workers at both national and local levels during June-August 2020. This paper offers new insights by identifying new pathways of DRR integration in schools where school-based DRR can be inextricably linked to family-based DRR and community-based DRR programming. However, DRR integration in schools and schools' adoption of DRR education remains paternalistic in which schools are heavily dependent on the local government initiatives. In contrast, local governments are hesitant to invest in DRR education. The paper concludes that such institutional gaps delay upscale DRR education and DRR integration in schools. This research is significant because it serves as an early warning of the potential failures to meet the targets of the Sendai Framework for the rest of disaster-prone and low-to-middle-income countries.</t>
  </si>
  <si>
    <t>[Amri, Avianto; Tebe, Yusra] Predikt Indonesia, Jakarta, Indonesia; [Lassa, Jonatan A.] Charles Darwin Univ, Humanitarian Emergency &amp; Disaster Management Stud, CIFAS, Darwin, NT 0909, Australia; [Hanifa, Nuraini Rahma] Indonesia Inst Sci, Inst Teknol Bandung, Ctr Earthquake Sci &amp; Technol, Res Ctr Disaster Mitigat, Jakarta, Indonesia; [Kumar, Jeeten] Resilience Dev Initiat, Bandung, Indonesia; [Sagala, Saut] Bandung Inst Technol ITB, Sch Architecture Planning &amp; Policy Dev, Bandung, Indonesia</t>
  </si>
  <si>
    <t>Charles Darwin University; National Research &amp; Innovation Agency of Indonesia (BRIN); Indonesian Institute of Sciences (LIPI); Institute Technology of Bandung; Institute Technology of Bandung</t>
  </si>
  <si>
    <t>UNICEF Indonesia</t>
  </si>
  <si>
    <t>APR 15</t>
  </si>
  <si>
    <t>10.1016/j.ijdrr.2022.102860</t>
  </si>
  <si>
    <t>WOS:000782589300001</t>
  </si>
  <si>
    <t>Jonell, Tara N.; Clift, Peter D.; Hoang, Long V.; Tina Hoang; Carter, Andrew; Wittmann, Hella; Boening, Philipp; Pahnke, Katharina; Rittenour, Tammy</t>
  </si>
  <si>
    <t>The Song Gianh is a small-sized (similar to 3500km(2)), monsoon-dominated river in northern central Vietnam that can be used to understand how topography and climate control continental erosion. We present major element concentrations, together with Sr and Nd isotopic compositions, of siliciclastic bulk sediments to define sediment provenance and chemical weathering intensity. These data indicate preferential sediment generation in the steep, wetter upper reaches of the Song Gianh. In contrast, detrital zircon U-Pb ages argue for significant flux from the drier, northern Rao Tro tributary. We propose that this mismatch represents disequilibrium in basin erosion patterns driven by changing monsoon strength and the onset of agriculture across the region. Detrital apatite fission track and Be-10 data from modern sediment support slowing of regional bedrock exhumation rates through the Cenozoic. If the Song Gianh is representative of coastal Vietnam then the coastal mountains may have produced around 132000-158000km(3) of the sediment now preserved in the Song Hong-Yinggehai Basin (17-21% of the total), the primary depocenter of the Red River. This flux does not negate the need for drainage capture in the Red River to explain the large Cenozoic sediment volumes in that basin but does partly account for the discrepancy between preserved and eroded sediment volumes. OSL ages from terraces cluster in the Early Holocene (7.4-8.5ka), Pre-Industrial (550-320year BP) and in the recent past (ca. 150year BP). The older terraces reflect high sediment production driven by a strong monsoon, whereas the younger are the product of anthropogenic impact on the landscape caused by farming. Modern river sediment is consistently more weathered than terrace sediment consistent with reworking of old weathered soils by agricultural disruption.</t>
  </si>
  <si>
    <t>[Jonell, Tara N.; Clift, Peter D.] Louisiana State Univ, Dept Geol &amp; Geophys, Baton Rouge, LA 70803 USA; [Hoang, Long V.] Hanoi Univ Min &amp; Geol, Hanoi, Vietnam; [Tina Hoang] Univ Louisiana Lafayette, Sch Geosci, Lafayette, LA 70504 USA; [Carter, Andrew] Birkbeck Coll, Dept Earth &amp; Planetary Sci, London, England; [Wittmann, Hella] GFZ German Res Ctr Geosci, Helmholtz Ctr Potsdam, Potsdam, Germany; [Boening, Philipp; Pahnke, Katharina] Carl von Ossietzky Univ Oldenburg, Max Planck Res Grp Marine Isotope Geochem, Inst Chem &amp; Biol Marine Environm ICBM, Oldenburg, Germany; [Rittenour, Tammy] Utah State Univ, Dept Geol, Logan, UT 84322 USA</t>
  </si>
  <si>
    <t>Louisiana State University System; Louisiana State University; Hanoi University of Mining &amp; Geology; University of Louisiana Lafayette; University of London; Birkbeck University London; Helmholtz Association; Helmholtz-Center Potsdam GFZ German Research Center for Geosciences; Carl von Ossietzky Universitat Oldenburg; Utah System of Higher Education; Utah State University</t>
  </si>
  <si>
    <t>Charles T. McCord Jr. chair in petroleum geology at LSU</t>
  </si>
  <si>
    <t>This work was supported by the Charles T. McCord Jr. chair in petroleum geology at LSU. The authors thank Sergio Ando and an anonymous reviewer for constructive comments that greatly improved this manuscript.</t>
  </si>
  <si>
    <t>0950-091X</t>
  </si>
  <si>
    <t>1365-2117</t>
  </si>
  <si>
    <t>BASIN RES</t>
  </si>
  <si>
    <t>Basin Res.</t>
  </si>
  <si>
    <t>10.1111/bre.12199</t>
  </si>
  <si>
    <t>WOS:000393612500031</t>
  </si>
  <si>
    <t>Firoz, A. B. M.; Nauditt, Alexandra; Fink, Manfred; Ribbe, Lars</t>
  </si>
  <si>
    <t>Hydrological droughts are one of the most damaging disasters in terms of economic loss in central Vietnam and other regions of South-east Asia, severely affecting agricultural production and drinking water supply. Their increasing frequency and severity can be attributed to extended dry spells and increasing water abstractions for e.g. irrigation and hydropower development to meet the demand of dynamic socioeconomic development. Based on hydro-climatic data for the period from 1980 to 2013 and reservoir operation data, the impacts of recent hydropower development and other alterations of the hydrological network on downstream streamflow and drought risk were assessed for a mesoscale basin of steep topography in central Vietnam, the Vu Gia Thu Bon (VGTB) River basin. The Just Another Modelling System (JAMS)/J2000 was calibrated for the VGTB River basin to simulate reservoir inflow and the naturalized discharge time series for the downstream gauging stations. The HEC-ResSim reservoir operation model simulated reservoir outflow from eight major hydropower stations as well as the reconstructed streamflow for the main river branches Vu Gia and Thu Bon. Drought duration, severity, and frequency were analysed for different timescales for the naturalized and reconstructed streamflow by applying the daily varying threshold method. Efficiency statistics for both models show good results. A strong impact of reservoir operation on downstream discharge at the daily, monthly, seasonal, and annual scales was detected for four discharge stations relevant for downstream water allocation. We found a stronger hydrological drought risk for the Vu Gia river supplying water to the city of Da Nang and large irrigation systems especially in the dry season. We conclude that the calibrated model set-up provides a valuable tool to quantify the different origins of drought to support cross-sectorial water management and planning in a suitable way to be transferred to similar river basins.</t>
  </si>
  <si>
    <t>[Firoz, A. B. M.; Nauditt, Alexandra; Ribbe, Lars] TH Koln, Inst Technol &amp; Resources Management Trop &amp; Subtro, D-50679 Cologne, Germany; [Fink, Manfred] Friedrich Schiller Univ Jena, Dept Geog, Chair Geog Informat Sci, D-07743 Jena, Germany</t>
  </si>
  <si>
    <t>Friedrich Schiller University of Jena</t>
  </si>
  <si>
    <t>Federal Ministry of Education and Research (BMBF) in the context of the LUCCi project; Federal Ministry for Economic Cooperation and Development (BMZ) in the context of Higher Education Excellence in Development Cooperation (CNRD-exceed)</t>
  </si>
  <si>
    <t>This research has been funded by the Federal Ministry of Education and Research (BMBF) in the context of the LUCCi project (grant number 01LL0908C) and by the Federal Ministry for Economic Cooperation and Development (BMZ) in the context of Higher Education Excellence in Development Cooperation (CNRD-exceed) (Grant number 57160105). The authors sincerely thank editor Hilary McMillan and three anonymous reviews for their constructive criticism of the paper. The numerous suggestions provided by the editor and reviewers have helped in the improvement of the manuscript. The authors wish to acknowledge the programming contribution by Rony Paul.</t>
  </si>
  <si>
    <t>JAN 23</t>
  </si>
  <si>
    <t>10.5194/hess-22-547-2018</t>
  </si>
  <si>
    <t>WOS:000423233600001</t>
  </si>
  <si>
    <t>Wysocka, Anna; Hoang van Tha; Czarniecka, Urszula; Durska, Ewa; Filipek, Anna; Phan Dong Pha; Nguyen Quoc Cuong; Zaszewski, Daniel; Dang Minh Tuan; Nguyen Trung Thanh; Baranowski, Adam</t>
  </si>
  <si>
    <t>Located on the northern Vietnam onshore/offshore transition, the Hoanh Bo Trough is an excellently exposed terrestrial Palaeogene sedimentary sequence that may be treated as an analogue for regional interpretations of the sedimentary and structural evolution of the northern Song Hong Basin. The Hoanh Bo Trough lies to the north of the northern Song Hong Basin and to the west of the Beibuwan Basin, the origin and evolution of which are linked with Palaeogene South China Sea rifting. Field and archival well sedimentological observations were made throughout the Palaeogene succession of the Hoanh Bo Trough, and samples were collected for palynological, petrographical, and geochemical analysis. Based on the coexistence of particular lithofacies, proximal alluvial fan, distal alluvial fan, fluvial alluvial plain with channels, alluvial plain and/or lake margin, and lacustrine facies associations were distinguished. Palynological analyses suggest the sedimentary infill of the Hoanh Bo Trough is of the Late Eocene-Early Oligocene age and was deposited in a very warm tropical/subtropical climate. In turn, geochemical results demonstrate that the deposits have intermediate chemical maturity and were probably reworked from older sedimentary rock sources. Moreover, it is suggested to combine the Dong Ho and Tieu Giao formations and synonymize them as the Dong Ho Formation. The sedimentary pattern, age, climatic conditions, and structural evolution of the Hoanh Bo Trough align well with the rift initiation, rift development, and rift termination tectonic system tracts. Moreover, the Hoanh Bo Trough could be treated as a landward keyhole for the offshore basins: for instance, the Kien An Basin in the northern Song Hong Basin.</t>
  </si>
  <si>
    <t>[Wysocka, Anna; Durska, Ewa; Filipek, Anna; Zaszewski, Daniel; Baranowski, Adam] Univ Warsaw, Fac Geol, Zwirki &amp; Wigury 93, PL-02089 Warsaw, Poland; [Hoang van Tha; Nguyen Quoc Cuong; Dang Minh Tuan; Nguyen Trung Thanh] Vietnam Acad Sci &amp; Technol, Inst Geol Sci, Hanoi, Vietnam; [Czarniecka, Urszula] Univ Oslo, Dept Geosci, Oslo, Norway; [Phan Dong Pha] Vietnam Acad Sci &amp; Technol, Inst Marine Geol &amp; Geophys, Hanoi, Vietnam</t>
  </si>
  <si>
    <t>University of Warsaw; Vietnam Academy of Science &amp; Technology (VAST); University of Oslo; Vietnam Academy of Science &amp; Technology (VAST)</t>
  </si>
  <si>
    <t>Uniwersytet Warszawski; Vietnam Academy of Science and Technology</t>
  </si>
  <si>
    <t>Uniwersytet Warszawski, Grant/Award Number: VAST05.01/19-20; Vietnam Academy of Science and Technology</t>
  </si>
  <si>
    <t>0072-1050</t>
  </si>
  <si>
    <t>1099-1034</t>
  </si>
  <si>
    <t>GEOL J</t>
  </si>
  <si>
    <t>Geol. J.</t>
  </si>
  <si>
    <t>10.1002/gj.4539</t>
  </si>
  <si>
    <t>WOS:000827851800001</t>
  </si>
  <si>
    <t>Huy Hoang-Cong; Thanh Ngo-Duc; Tuyet Nguyen-Thi; Long Trinh-Tuan; Chung, Jing Xiang; Tangang, Fredolin; Santisirisomboon, Jerasorn; Tan Phan-Van</t>
  </si>
  <si>
    <t>This study first evaluates the performance of three model experiments in representing rainfall over part of Vietnam and the Lower Mekong Basin for the historical period 1986-2005. The three experiments include the Coupled Model Intercomparison Project Phase 5 (CMIP5) EC-EARTH Global Climate Model (GCM) and two downscaling runs based on a regional climate model at 25km resolution with the GCM forcing (RCM-25km) and at 5km resolution with the RCM-25km forcing (RCM-51cm). Verifications against observations show that the experiments generally capture the spatial distribution of climatological rainfall. While the GCM well represents the observed average rainfall cycles, its coarse resolution limits its capability in reproducing extreme rainfall values. The downscaling experiments do not clearly show their advantage in simulating average rainfall but exhibit significant added values when representing extreme rainfall in the study region. The RCM-51cm does not outperform its driving 25km experiment in representing the mean and extreme rainfall values, suggesting that having a better resolution may not compensate for having a good model configuration with appropriate physical schemes. Analysis of climate projection for the far future period 2080-2099 under two representative concentration pathways (RCP) scenarios, RCP4.5 and RCP8.5, reveals that the downscaling experiments can modify the change direction of future rainfall obtained with the GCM. While the EC-EARTH GCM generally projects wetter tendencies of up to 50%, the downscaling experiments project a general decrease of down to -50% under both scenarios over the study domain. Regarding extreme rainfall, the annual maximum 1-day rainfall amount (RX1day) is projected to increase for the three experiments. The simple daily intensity index (SDII) future changes follow those of the annual rainfall values.</t>
  </si>
  <si>
    <t>[Huy Hoang-Cong] Northern Ctr Environm Monitoring NC, Vietnam Environm Adm VEA, Minist Nat Resources &amp; Environm MONRE, Hanoi, Vietnam; [Thanh Ngo-Duc] Univ Sci &amp; Technol Hanoi USTH, VAST, Hanoi, Vietnam; [Tuyet Nguyen-Thi] Vietnam Inst Dev Strategies, Minist Planning &amp; Investment, Hanoi, Vietnam; [Long Trinh-Tuan] VNU Univ Sci, Ctr Environm Fluid Dynam, Hanoi, Vietnam; [Chung, Jing Xiang] Univ Malaysia Terengganu, Fac Sci &amp; Marine Environm, Terengganu, Malaysia; [Tangang, Fredolin] Univ Kebangsaan Malaysia, Fac Sci &amp; Technol, Dept Earth Sci &amp; Environm, Bangi, Selangor, Malaysia; [Santisirisomboon, Jerasorn] Ramkhamhang Univ, Ramkhamhaeng Univ Ctr Reg Climate Change &amp; Renewa, Bangkok, Thailand; [Tan Phan-Van] VNU Univ Sci, Fac Hydrometeorol &amp; Oceanog, Hanoi, Vietnam</t>
  </si>
  <si>
    <t>Vietnam Academy of Science &amp; Technology (VAST); University of Science &amp; Technology of Hanoi (USTH); Vietnam National University Hanoi; Universiti Malaysia Terengganu; Universiti Kebangsaan Malaysia; Ramkhamhaeng University; Vietnam National University Hanoi</t>
  </si>
  <si>
    <t>Asia-Pacific Network for Global Change Research; Universiti Kebangsaan Malaysia</t>
  </si>
  <si>
    <t>This work is supported by the Asia-Pacific Network for Global Change Research (ARCP2013-17NMY-Tangang, ARCP2014-07CMY-Tangang, ARCP2015-04CMY-Tangang, CRRP2016-02MY Santisirisomboon) . F. Tangang is funded by Universiti Kebangsaan Malaysia GUP-2019-035.</t>
  </si>
  <si>
    <t>10.15625/2615-9783/16942</t>
  </si>
  <si>
    <t>WOS:000767348300006</t>
  </si>
  <si>
    <t>Shukla, Ravi P.; Huang, Bohua</t>
  </si>
  <si>
    <t>The capability of the National Centers for Environmental Prediction climate forecast system version 2 (CFSv2) in simulating the Indian summer monsoon (ISM) is evaluated in the context of the global monsoon in the Indo-Pacific domain and its variability. Although the CFSv2 captures the ISM spatial structure qualitatively, it demonstrates a severe dry bias over the Indian subcontinent. The weaker model monsoon may be related to an excessive surface convergence over the equatorial Indian Ocean, which reduces the moisture transport toward the Indian subcontinent. The excessively low equatorial pressure is in turn a part of a tropical-wise bias with the largest errors in the central and eastern equatorial Pacific associated with the cold sea surface temperature bias and an overly strong inter-tropical convergence zone. In this sense, the model bias in the tropical Pacific influences those in the Indian Ocean-ISM region substantially. The leading mode of the June-September averaged CFSv2 rainfall anomalies covering the ISM and its adjacent oceanic regions is qualitatively similar to that of the observations, characterized by a spatial pattern of strong anomalies over either side of the Indian peninsula as well as center of opposite sign over Myanmar. However, the model fails to reproduce the northward expansion of rainfall anomalies from Myanmar, leading to opposite anomalies over northeast India and Himalayas region. A substantial amount of the anomalous fluctuation is attributed to the El Nino and the Southern Oscillation (ENSO), although the model variability depends more strongly on ENSO. The active regional influences in the observations may contribute to its baroclinic vertical structure of the geopotential height anomalies in the ISM region, compared with the predominantly barotropic one in CFSv2. Model ENSO deficiencies also affects its ISM simulation significantly.</t>
  </si>
  <si>
    <t>[Shukla, Ravi P.; Huang, Bohua] George Mason Univ, Ctr Ocean Land Atmosphere Studies COLA, 270 Res Hall,Mail Stop 6C5,4400 Univ Dr, Fairfax, VA 22030 USA; [Huang, Bohua] George Mason Univ, Dept Atmospher Ocean &amp; Earth Sci, 270 Res Hall,Mail Stop 6C5,4400 Univ Dr, Fairfax, VA 22030 USA</t>
  </si>
  <si>
    <t>Center for Ocean Land Atmosphere Studies; George Mason University; George Mason University</t>
  </si>
  <si>
    <t>National Science Foundation(National Science Foundation (NSF)); National Oceanic and Atmospheric Administration(National Oceanic Atmospheric Admin (NOAA) - USA); National Aeronautics and Space Administration(National Aeronautics &amp; Space Administration (NASA))</t>
  </si>
  <si>
    <t>Funding for this study was provided by Grants from the National Science Foundation (ATM-0830068, 0947837 and 1338427), the National Oceanic and Atmospheric Administration (NA09OAR4310058 and NA14OAR4310160), and the National Aeronautics and Space Administration (NNX09AN50G, NNX09AI84G and NNX14AM19G). The authors thank Prof. Jagadish Shukla, Prof. James L. Kinter III and national monsoon mission (NMM) group at COLA/GMU for their helpful comments. We also thank Dr. M. A. Balmaseda from ECMWF for providing their ocean initial conditions and L. Marx's help in the experiment setup. Computing resources provided by the Extreme Science and Engineering Discovery Environment (XSEDE) division are also gratefully acknowledged.</t>
  </si>
  <si>
    <t>10.1007/s00382-015-2808-6</t>
  </si>
  <si>
    <t>WOS:000381108600029</t>
  </si>
  <si>
    <t>Schollaen, K.; Karamperidou, C.; Krusic, P.; Cook, E.; Helle, G.</t>
  </si>
  <si>
    <t>Indonesia's climate is dominated by the equatorial monsoon system, and has been linked to El Nino-Southern Oscillation (ENSO) events that often result in extensive droughts and floods over the Indonesian archipelago. In this study we investigate ENSO-related signals in a tree-ring delta O-18 record (1900-2007) of Javanese teak. Our results reveal a clear influence of Warm Pool (central Pacific) El Nino events on Javanese tree-ring delta O-18, and no clear signal of Cold Tongue (eastern Pacific) El Nino events. These results are consistent with the distinct impacts of the two ENSO flavors on Javanese precipitation, and illustrate the importance of considering ENSO flavors when interpreting palaeoclimate proxy records in the tropics, as well as the potential of palaeoclimate proxy records from appropriately selected tropical regions for reconstructing past variability of. ENSO flavors.</t>
  </si>
  <si>
    <t>[Schollaen, K.; Helle, G.] GFZ German Res Ctr Geosci, Sect Climate Dynam &amp; Landscape Evolut 5 2, Potsdam, Germany; [Schollaen, K.] Helmholtz Ctr Polar &amp; Marine Res, Alfred Wegener Inst, Potsdam, Germany; [Karamperidou, C.] Univ Hawaii Manoa, Dept Atmospher Sci, Honolulu, HI 96822 USA; [Krusic, P.] Navarino Environm Obs Messinia, Messinia, Greece; [Krusic, P.] Stockholm Univ, Dept Phys Geog &amp; Quaternary Geol, S-10691 Stockholm, Sweden; [Cook, E.] Columbia Univ, Lamont Doherty Earth Observ, Tree Ring Lab, New York, NY 10027 USA</t>
  </si>
  <si>
    <t>Helmholtz Association; Helmholtz-Center Potsdam GFZ German Research Center for Geosciences; Helmholtz Association; Alfred Wegener Institute, Helmholtz Centre for Polar &amp; Marine Research; University of Hawaii System; University of Hawaii Manoa; Stockholm University; Columbia University</t>
  </si>
  <si>
    <t>HIMPAC; CADY (BMBF)(Federal Ministry of Education &amp; Research (BMBF)); DFG/FAPESP(Fundacao de Amparo a Pesquisa do Estado de Sao Paulo (FAPESP)); NSF(National Science Foundation (NSF)); Division Of Ocean Sciences; Directorate For Geosciences(National Science Foundation (NSF)NSF - Directorate for Geosciences (GEO))</t>
  </si>
  <si>
    <t>We acknowledge the Bolin Centre's, Climate Research Summer School during which this project and collaboration was conceived. We also thank two anonymous reviewers who provided excellent suggestions that improved the paper. Karina Schollaen was funded by the HIMPAC (HE3089/4-1) and the CADY (BMBF, 03G0813H) project. Isotope analyses were funded by a Joint DFG/FAPESP Research Grant (HE3089/5-1). Christina Karamperidou is funded by NSF Award 1304910. Lamont-Doherty Earth Observatory contribution number 7935.</t>
  </si>
  <si>
    <t>10.5194/cp-11-1325-2015</t>
  </si>
  <si>
    <t>WOS:000364324600004</t>
  </si>
  <si>
    <t>Guo, Shun; Chu, Xu; Hermann, Joerg; Chen, Yi; Li, Qiuli; Wu, Fuyuan; Liu, Chuanzhou; Sein, Kyaing</t>
  </si>
  <si>
    <t>Fluid infiltration into metacarbonates is a key mechanism to induce orogenic decarbonation, which influences the global carbon cycle and long-term climate evolution. Little is known regarding the fluid pathways during episodic infiltration events and how flow patterns control time-integrated CO2 outflux. We investigate the vein-like polycrystalline mineral reaction zones (PMRZs) in dolomite marbles (Mogok metamorphic belt, Myanmar), which are formed by metasomatism via the infiltration of Si-Al-K-Ti-Zr-bearing fluids. The petrographic textures and mineral U-Pb chronology reveal three episodes of fluid influx in a single PMRZ: (1) the initial episode (Stage-I) transformed most dolomite into Mg-rich silicates/oxides and calcite at similar to 35-36 Ma indicated by baddeleyite cores; (2) baddeleyite rims gave ages of similar to 23-24 Ma, representing a subsequent infiltration episode (Stage-II) that modified Stage-I minerals via a dissolution-precipitation mechanism; (3) the final episode (Stage-III) is recorded by zircon replacing baddeleyite, which yielded ages of similar to 17 Ma. Stage-III fluid has a higher SiO2 activity and XCO2 [CO2/(CO2 + H2O)] than Stage-I/Stage-II fluids. Thermodynamic and mass-balance analyses indicate that Stage-I infiltration causes &gt;62-67% loss of CO2 by both dolomite-consuming reactions and calcite dissolution, whereas the latter two infiltration episodes induce &lt;12-18% loss of CO2 via calcite dissolution. Our results provide compelling evidence that repeated episodes of infiltration (each separated in time by 7-13 Ma) occurred along a single channel in marbles. The initial infiltration episode may create high-permeability regions, offering favorable channels for later-stage fluids that transfer obviously less CO2 than the initial metasomatism. This considerably complicates a quantitative assessment of CO2 liberation from metacarbonates during orogenesis.</t>
  </si>
  <si>
    <t>[Guo, Shun; Chen, Yi; Li, Qiuli; Wu, Fuyuan; Liu, Chuanzhou] Chinese Acad Sci, Inst Geol &amp; Geophys, State Key Lab Lithospher Evolut, Beijing, Peoples R China; [Guo, Shun; Chen, Yi; Liu, Chuanzhou] CAS Ctr Excellence Tibetan Plateau Earth Sci, Beijing, Peoples R China; [Chu, Xu] Univ Toronto, Dept Earth Sci, Toronto, ON, Canada; [Hermann, Joerg] Univ Bern, Inst Geol Sci, Bern, Switzerland; [Sein, Kyaing] Myanmar Geosci Soc, Hlaing Univ Campus, Yangon, Myanmar</t>
  </si>
  <si>
    <t>Chinese Academy of Sciences; Institute of Geology &amp; Geophysics, CAS; University of Toronto; University of Bern</t>
  </si>
  <si>
    <t>National Key R&amp;D Program of China; National Science Foundation of China(National Natural Science Foundation of China (NSFC)); State Key Laboratory of Lithospheric Evolution; Youth Innovation Promotion Association CAS</t>
  </si>
  <si>
    <t>This study was supported by the National Key R&amp;D Program of China (2018YFA0702701), National Science Foundation of China (Nos. 41490614, 41672059, and 41922013), and the State Key Laboratory of Lithospheric Evolution (SKL-Z202002). S.G. also acknowledges the supports from the Youth Innovation Promotion Association CAS (2017090). We thank Daniela Rubatto, Guanghai Shi, , Ji'en Zhang, Meng Tian, Bo Wan, and Jingbo Liu for beneficial discussions. We also thank Thiha Soee and Jian'gang Wang for the assistance during the field work, Guoqiang Tang and Xiaoxiao Ling for the SIMS analyses, Yijie Gao and Bin Su for the LA-ICP-MS analyses, Jiaqing Liu and Pan Tang for the CL analyses, and Di Zhang for the electron probe analyses. We gratefully acknowledge two anonymous reviewers and editor Stephen Parman for their detailed comments and suggestions that help significantly improve the manuscript.</t>
  </si>
  <si>
    <t>10.1029/2020JB020988</t>
  </si>
  <si>
    <t>WOS:000617378900007</t>
  </si>
  <si>
    <t>Hur, Jina; Raghavan, Srivatsan V.; Ngoc Son Nguyen; Liong, Shie-Yui</t>
  </si>
  <si>
    <t>The uncertainties in two high-resolution satellite precipitation products (TRMM 3B42 v7.0 and GSMaP v5.222) were investigated by comparing them against rain gauge observations over Singapore on sub-daily scales. The satellite-borne precipitation products are assessed in terms of seasonal, monthly and daily variations, the diurnal cycle, and extreme precipitation over a 10-year period (2000-2010). Results indicate that the uncertainties in extreme precipitation is higher in GSMaP than in TRMM, possibly due to the issues such as satellite merging algorithm, the finer spatio-temporal scale of high intensity precipitation, and the swath time of satellite. Such discrepancies between satellite-borne and gauge-based precipitations at sub-daily scale can possibly lead to distorting analysis of precipitation characteristics and/or application model results. Overall, both satellite products are unable to capture the observed extremes and provide a good agreement with observations only at coarse time scales. Also, the satellite products agree well on the late afternoon maximum and heavier rainfall of gauge-based data in winter season when the Intertropical Convergence Zone (ITCZ) is located over Singapore. However, they do not reproduce the gauge-observed diurnal cycle in summer. The disagreement in summer could be attributed to the dominant satellite overpass time (about 14:00 SGT) later than the diurnal peak time (about 09:00 SGT) of gauge precipitation. From the analyses of extreme precipitation indices, it is inferred that both satellite datasets tend to overestimate the light rain and frequency but underestimate high intensity precipitation and the length of dry spells. This study on quantification of their uncertainty is useful in many aspects especially that these satellite products stand scrutiny over places where there are no good ground data to be compared against. This has serious implications on climate studies as in model evaluations and in particular, climate model simulated future projections, when information on precipitation extremes need to be reliable as they are highly crucial for adaptation and mitigation.</t>
  </si>
  <si>
    <t>[Hur, Jina; Raghavan, Srivatsan V.; Ngoc Son Nguyen; Liong, Shie-Yui] Natl Univ Singapore, Trop Marine Sci Inst, 18 Kent Ridge Rd, Singapore 119227, Singapore; [Hur, Jina; Raghavan, Srivatsan V.; Liong, Shie-Yui] SMART, Ctr Environm Sensing &amp; Modeling, Singapore, Singapore; [Hur, Jina; Raghavan, Srivatsan V.; Ngoc Son Nguyen; Liong, Shie-Yui] Natl Univ Singapore, Dept Civil &amp; Environm Engn, Ctr Hazards Res, Singapore, Singapore; [Liong, Shie-Yui] Willis Re Inc, London, England</t>
  </si>
  <si>
    <t>National Research Foundation Singapore(National Research Foundation, Singapore)</t>
  </si>
  <si>
    <t>This research is supported by the National Research Foundation Singapore under its Campus for Research Excellence and Technological Enterprise programme. The Center for Environmental Sensing and Modeling is an interdisciplinary research group of the Singapore MIT Alliance for Research and Technology.</t>
  </si>
  <si>
    <t>10.1007/s00704-017-2132-7</t>
  </si>
  <si>
    <t>WOS:000430539000018</t>
  </si>
  <si>
    <t>Chu, Xiaoqing; Dong, Changming; Qi, Yiquan</t>
  </si>
  <si>
    <t>An eddy pair off the Vietnam coast is one of the most important features of the summertime South China Sea circulation. Its variability is of interest due to its profound impact on regional climate, ecosystems, biological processes, and fisheries. This study examines the influence of the El Nino-Southern Oscillation (ENSO), a basin-scale climatic mode, on the interannual variability of this regional eddy pair using satellite observational data and historical hydrographic measurements. Over the last three decades, the eddy pair strengthened in 1994 and 2002, and weakened in 2006, 2007, and 2008. It was absent in 1988, 1995, 1998, and 2010, coinciding with strong El Nino-to-La Nina transitions. Composite analyses showed that the strong transition events of ENSO led to radical changes in the summer monsoon, through the forcing of a unique sea surface temperature anomaly structure over the tropical Indo-Pacific basin. With weaker zonal wind, a more northward wind direction, and the disappearance of a pair of positive and negative wind stress curls, the eastward current jet turns northward along the Vietnam coast and the eddy pair disappears.</t>
  </si>
  <si>
    <t>[Chu, Xiaoqing; Qi, Yiquan] Chinese Acad Sci, South China Sea Inst Oceanol, State Key Lab Trop Oceanog, Guangzhou, Guangdong, Peoples R China; [Dong, Changming] Univ Informat Sci &amp; Technol, Marine Sci Coll, Nanjing, Jiangsu, Peoples R China; [Dong, Changming] Univ Calif Los Angeles, Dept Atmospher &amp; Ocean Sci, Los Angeles, CA USA; [Qi, Yiquan] Hohai Univ, Coll Oceanog, Nanjing, Jiangsu, Peoples R China</t>
  </si>
  <si>
    <t>Chinese Academy of Sciences; South China Sea Institute of Oceanology, CAS; Nanjing University of Information Science &amp; Technology; University of California System; University of California Los Angeles; Hohai University</t>
  </si>
  <si>
    <t>National Natural Science Foundation of China(National Natural Science Foundation of China (NSFC)); Chinese Academy of Sciences(Chinese Academy of Sciences); NSFC(National Natural Science Foundation of China (NSFC)); national key research program of China; National Programme on Global Change and Air-Sea Interaction</t>
  </si>
  <si>
    <t>The authors appreciate discussions and comments from Dudley B. Chelton, Shang-ping Xie, Yan Du, and Greg King. The altimeter products were produced by Ssalto/Duacs and distributed by AVSIO, with support from CNES (http://www.aviso.altimetry.fr/). Blended sea surface wind data were sourced from ERDDAP of NOAA/NCDC (http://www.ncdc.noaa.gov/oa/rsad/air-sea/seawinds.html). OISST V2 data were provided by the NOAA/OAR/ESRL PSD (http://www.esrl.noaa.gov/psd/). NCEP Reanalysis Derived data were provided by the NOAA/OAR/ESRL PSD, Boulder, Colorado, USA (http://www.esrl.noaa.gov/psd/). OFES data were obtained at http://www.jamstec.go.jp/esc/research/AtmOcn/product/ofes.html. Xiaoqing Chu and Yiquan Qi are supported by the National Natural Science Foundation of China (grants 41676010, 41476011, 41276108, and 41476014) and the Strategic Priority Research Program of the Chinese Academy of Sciences (grant XDA11010203). Changming Dong is supported by NSFC (grants 41476022, 41490643), the national key research program of China (2016YFA0601803), and the National Programme on Global Change and Air-Sea Interaction (grant GASI-03-IPOVAI-05).</t>
  </si>
  <si>
    <t>2169-9275</t>
  </si>
  <si>
    <t>2169-9291</t>
  </si>
  <si>
    <t>J GEOPHYS RES-OCEANS</t>
  </si>
  <si>
    <t>J. Geophys. Res.-Oceans</t>
  </si>
  <si>
    <t>10.1002/2016JC012642</t>
  </si>
  <si>
    <t>WOS:000400678900002</t>
  </si>
  <si>
    <t>Kajita, Ryosuke; Yamanaka, Manabu D. D.; Kozan, Osamu</t>
  </si>
  <si>
    <t>This study reconstructed historical monthly rainfall data at 24 observation stations in Sumatera, Indonesia, for 22 years (1879-1900) during the Dutch colonial era. The literature research was conducted in libraries in Indonesia and the Netherlands to collect meteorological data recorded in a series of Regenwaarnemingen in Nederlandsch-Indie, which have never been reconstructed or analyzed previously. The results showed that the six western coast stations (97 degrees-103 degrees E, 3 degrees N-4 degrees S) have abundant rainfall exceeding 3000 mm yr(-1), and the 10 eastern coast stations and three stations east of the Barisan ridge obtained rainfall below 3050 mm yr(-1). Abundant coastal rainfall appeared only along the western coast, but not in the eastern coast and east of the Barisan ridge. The El Nino events of 1888/89 had low impact on rainfall amounts during the dry season (May-October) at the six stations of the Southern Hemispheric climate type. A significant decrease in annual dry-season precipitation was observed in 1881, 1885, and 1896. When comparing monthly data for 1931-60 and 1971-2014 at the northernmost station Banda Aceh (5.5 degrees N, 95.3 degrees E) and the eastern coast station Bengkalis (1.5 degrees N, 102.1 degrees E), a noticeable decrease and increase occurred in June-December and January-May, respectively, throughout the last century. The recent El Nino events have resulted in a decline in rainfall and dry conditions in Sumatera, but the Indian Ocean dipole had much influence on the amount of rainfall in the late-nineteenth century.</t>
  </si>
  <si>
    <t>[Kajita, Ryosuke; Yamanaka, Manabu D. D.; Kozan, Osamu] Res Inst Humanity &amp; Nat, Kyoto, Kyoto, Japan; [Yamanaka, Manabu D. D.] Kobe Univ, Kobe, Hyogo, Japan; [Kozan, Osamu] Kyoto Univ, Ctr Southeast Asian Studies, Kyoto, Kyoto, Japan</t>
  </si>
  <si>
    <t>Research Institute for Humanity &amp; Nature (RIHN); Kobe University; Kyoto University</t>
  </si>
  <si>
    <t>Research Institute for Humanity and Nature; JSPS KAKENHI(Ministry of Education, Culture, Sports, Science and Technology, Japan (MEXT)Japan Society for the Promotion of ScienceGrants-in-Aid for Scientific Research (KAKENHI))</t>
  </si>
  <si>
    <t>This research was supported by the Research Institute for Humanity and Nature (RIHN: a constituent member of NIHU) Project 14200117. In addition, this work was supported by JSPS KAKENHI Grant JP18K18269. We acknowledge Dr. Jun-Ichi Hamada for his careful reading of the original paper. We deeply appreciate the great support from the Special Collection Room of Leiden University Libraries and the National Library of Republic Indonesia for our survey material. We acknowledge the data provided by the BMKG, Data IKLIM, for meteorological data (http://dataonline.bmkg.go.id/home). We also acknowledge the data providers in the SACA &amp; D project (http://sacad.database.bmkg.go.id; van den Besselaar et al. 2017).</t>
  </si>
  <si>
    <t>10.1175/JHM-D-20-0245.1</t>
  </si>
  <si>
    <t>WOS:000879236000006</t>
  </si>
  <si>
    <t>Kurniadi, Ari; Weller, Evan; Kim, Yeon-Hee; Min, Seung-Ki</t>
  </si>
  <si>
    <t>The ability of 42 global climate models from the Coupled Model Intercomparison Project Phase 6 (CMIP6), consisting of 20 low resolution (LR) and 22 medium resolution (MR), are evaluated for their performance in simulating mean and extreme precipitation over Indonesia. Compared to Climate Hazards Group InfraRed Precipitation with Station data (CHIRPS), the model climatologies and interannual variability are investigated individually and as multimodel ensemble means (MME-mean) at monthly and seasonal time scales for the historical simulation over the period 1988-2014. Overall, results show that both LR and MR CMIP6 model skills in simulating mean and extreme precipitation indices vary across specific Indonesian regions and seasons. The individual and MME-mean tend to overestimate the observed climatology, being largest over drier regions, yet MR models perform better compared to the LR regarding the mean bias presumably due to increased resolution. CMIP6 models tend to simulate extreme precipitation better in the dry seasons compared to the wet season. The MME-means of the LR and MR groups mostly outperform the individual models of each group in simulating wet extremes (R95p and Rx5d) but not for the dry extremes (CDD). Among the 42 CMIP6 models, three models consistently perform poorly in simulating Rx5d and R95p, namely FGOALS-g3, IPSL-CM6A-LR, and IPSL-CM6A-LR-INCA, and one model in consecutive dry day (CDD) simulation, MPI-ESM-1-2-HAM, and caution is warranted. Given the knowledge of such biases, the LR and MR CMIP6 climate models can be suitably applied to assist policy makers in their decision on climate change adaptation and mitigation action.</t>
  </si>
  <si>
    <t>[Kurniadi, Ari; Weller, Evan] Univ Auckland, Sch Environm, Auckland, New Zealand; [Kurniadi, Ari] Indonesia Agcy Meteorol Climatol &amp; Geophys BMKG, Ctr Climate Change Informat, Jakarta, Indonesia; [Kim, Yeon-Hee; Min, Seung-Ki] Pohang Univ Sci &amp; Technol, Div Environm Sci &amp; Engn, Pohang, South Korea</t>
  </si>
  <si>
    <t>Ministry of Foreign Affairs and Trade, New Zealand: New Zealand Scholarship (NZS)</t>
  </si>
  <si>
    <t>10.1002/joc.7744</t>
  </si>
  <si>
    <t>WOS:000810804600001</t>
  </si>
  <si>
    <t>Hariadi, Mugni Hadi; van der Schrier, Gerard; Steeneveld, Gert-Jan; Ratri, Dian Nur; Sopaheluwakan, Ardhasena; Tank, Albert Klein; Aldrian, Edvin; Gunawan, Dodo; Moine, Marie-Pierre; Bellucci, Alessio; Senan, Retish; Tourigny, Etienne; Putrasahan, Dian Ariyani; Linarka, Utoyo Ajie</t>
  </si>
  <si>
    <t>Modelling rainfall extremes and dry periods over the Southeast Asia (SEA) region is challenging due to the characteristics of the region, which consists of the Maritime Continent and a mountainous region; it also experiences monsoonal conditions, as it is located between the Asian summer monsoon and the Australian summer monsoon. Representing rainfall extremes is important for flood and drought assessments in the region. This paper evaluates extreme rainfall climatic indices from regional climate models from CORDEX Southeast Asia and compares them with the results of high-resolution global climate models with a comparable spatial resolution from the HighResMIP experiment. Observations indicate a high intensity of rainfall over areas affected by tropical cyclones and long consecutive dry day periods over some areas in Indochina and the southern end of Indonesia. In the model simulations, we find that both coupled and sea surface temperature-forced HighResMIP model experiments are more similar to the observations than CORDEX model results. However, the models produce a poorer simulation of precipitation intensity-related indices due to model biases in the rainfall intensity. This bias is higher in CORDEX than in HighResMIP and is evident in both the low- and high-resolution HighResMIP model versions. The comparable performances of HighResSST (atmosphere-only runs) and Hist-1950 (coupled ocean-atmosphere runs) demonstrate the accuracy of the ocean model. Comparable performances were also found for the two different resolutions of HighResMIP, suggesting that there is no improvement in the performance of the high-resolution HighResMIP model compared to the low-resolution HighResMIP model.</t>
  </si>
  <si>
    <t>[Hariadi, Mugni Hadi; van der Schrier, Gerard] Royal Netherlands Meteorol Inst KNMI, Utrechtseweg 297, NL-3731 GA De Bilt, Netherlands; [Hariadi, Mugni Hadi; Steeneveld, Gert-Jan; Tank, Albert Klein] Wageningen Univ, Meteorol &amp; Air Qual MAQ Sect, Wageningen, Netherlands; [Hariadi, Mugni Hadi; Ratri, Dian Nur; Sopaheluwakan, Ardhasena; Gunawan, Dodo] Indonesian Agcy Meteorol Climatol &amp; Geophys BMKG, Jakarta, Indonesia; [Tank, Albert Klein] Hadley Ctr Climate Sci &amp; Serv, Met Off, Exeter, Devon, England; [Aldrian, Edvin; Linarka, Utoyo Ajie] Natl Res &amp; Innovat Agcy BRIN, Jakarta, Indonesia; [Moine, Marie-Pierre] Ctr Europeen Rech &amp; Format Avancee Calcul Sci CER, Toulouse, France; [Bellucci, Alessio] CNR, Ist Sci Atmosfera &amp; Clima CNR ISAC, Bologna, Italy; [Senan, Retish] European Ctr Medium Range Weather Forecasts ECMWF, Reading, Berks, England; [Tourigny, Etienne] Barcelona Supercomp Ctr BSC, Barcelona, Spain; [Putrasahan, Dian Ariyani] Max Planck Inst Meteorol MPI M, Hamburg, Germany</t>
  </si>
  <si>
    <t>Royal Netherlands Meteorological Institute; Wageningen University &amp; Research; Indonesian Agency for Meteorology, Climatology &amp; Geophysics; Met Office - UK; Hadley Centre; National Research &amp; Innovation Agency of Indonesia (BRIN); CERFACS; Consiglio Nazionale delle Ricerche (CNR); Istituto di Scienze dell'Atmosfera e del Clima (ISAC-CNR); European Centre for Medium-Range Weather Forecasts (ECMWF); Universitat Politecnica de Catalunya; Barcelona Supercomputer Center (BSC-CNS)</t>
  </si>
  <si>
    <t>Indonesia Endowment Fund for Education (LPDP); Royal Netherlands Embassy; European Union(European Union (EU)); Marie Curie Actions (MSCA)(Marie Curie Actions)</t>
  </si>
  <si>
    <t>Indonesia Endowment Fund for Education (LPDP), Grant/Award Number: S-353/LPDP.3/2019; Royal Netherlands Embassy; European Union's Horizon 2020, Grant/Award Numbers: 748750, 824084, 641727</t>
  </si>
  <si>
    <t>10.1002/joc.7938</t>
  </si>
  <si>
    <t>WOS:000895880100001</t>
  </si>
  <si>
    <t>Rico, Emerson R.; Lutero, Destiny S.; Nazareno, Allen L.; Salvacion, Arnold R.</t>
  </si>
  <si>
    <t>Crop production faces an increasing threat due to anthropogenic activities and natural hazards. Crop rotation is a tool that can address these issues in crop production. This study proposes an optimization model that generates a crop rotation plan using spatiotemporal suitability scores given a set of crops, with an objective to maximize the total suitability of the assignment of crops while satisfying principles of crop rotation such as suitability threshold and crop succession requirements. Biophysical and climatic characteristic data from Marinduque, Philippines, with upland rice, corn, and mungbean as crops, were used to validate the model. The results show that with a minimum suitability threshold of 0.6, an optimal crop rotation plan for one annual cycle included corn and mungbean for one (May to October) and two (June to August, September to November) cropping periods, respectively. Throughout each cropping period, the corn and mungbean will cover 46.64% and 10.33% of the arable land, respectively. Based on the crop rotation plan, corn can be cultivated along the shorelines except in the southeast area of the island, where mungbean is more suitable. The results suggest that other crops should be considered since the current set of crops leaves 43% of the arable land unutilized. This model can be used for any combination of crops and other spatiotemporal suitability factors, allowing it to be applied to different sites and scenarios.</t>
  </si>
  <si>
    <t>[Rico, Emerson R.; Lutero, Destiny S.; Nazareno, Allen L.] Univ Philippines Los Banos, Coll Arts &amp; Sci, Inst Math Sci &amp; Phys, Victoria M Ela St, Los Banos 4031, Laguna, Philippines; [Salvacion, Arnold R.] Univ Philippines Los Banos, Coll Human Ecol, Dept Community &amp; Environm Resource Planning, Harold Cuzner Royal Palm Ave, Los Banos 4031, Laguna, Philippines</t>
  </si>
  <si>
    <t>University of the Philippines System; University of the Philippines Los Banos; University of the Philippines System; University of the Philippines Los Banos</t>
  </si>
  <si>
    <t>10.1007/s41324-022-00435-8</t>
  </si>
  <si>
    <t>WOS:000781278800001</t>
  </si>
  <si>
    <t>Tan, Mou Leong; Juneng, Liew; Tangang, Fredolin T.; Samat, Narimah; Chan, Ngai Weng; Yusop, Zulkifli; Ngai, Sheau Tieh</t>
  </si>
  <si>
    <t>A holistic framework was introduced to project the potential hydro-meteorological droughts of the Kelantan River basin, Malaysia. The framework integrates the mull-model high-resolution climate projections of the Coordinated Regional Climate Downscaling Experiment - Southeast Asia (CORDEX-SEA) and the widely applied Soil and Water Assessment Tool (SWAT) model. The quantile mapping approach was used to reduce the biases in the CORDEX-SEA projections before applying into SWAT. The SWAT-simulated standardized streamflow index (SSI) was validated with observed data to check the capability of SWAT in drought estimation. The result indicated that SWAT was able to reproduce the historical 1982, 1987 and 1997-1998 droughts and simulate SSI from one to twelve-month scales well, with the NSE and R-2 values of 0.74-0.79 and 0.76-0.80, respectively. Overall, the annual precipitation, maximum and minimum temperatures are projected to change from -8.19 to 13.11% ( -13.35 to 10.10%), 0.45 to 2.41 degrees C (0.43 to 3.99 degrees C) and 0.73 to 2.98 degrees C (0.70 to 4.69 degrees C), respectively, by the end of the 21st century under the RCP4.5 (RCP8.5) scenario. This would cause the future annual streamflow to vary from -10.37 to 31.09% and - 19.87 to 13.24% under RCP4.5 and RCP8.5, respectively, with the reductions are mainly found in the north-western region of the basin. Monthly precipitation and streamflow would be likely to decrease in January and February and increase in September. Robust evidence shows that the meteorological drought duration is likely to become longer in the 2081-2100 period under RCP4.5. Meanwhile, there is not enough evidence to claim that hydrological drought will become more significant in the near future.</t>
  </si>
  <si>
    <t>[Tan, Mou Leong; Samat, Narimah; Chan, Ngai Weng] Univ Sains Malaysia, Sch Humanities, Geog Sect, George Town 11800, Malaysia; [Juneng, Liew; Tangang, Fredolin T.] Univ Kebangsaan Malaysia, Fac Sci &amp; Technol, Dept Sci &amp; Environm, Bangi, Malaysia; [Yusop, Zulkifli] Univ Teknol Malaysia, Ctr Environm Sustainabil &amp; Water Secur, Skudai 81310, Malaysia; [Ngai, Sheau Tieh] Sun Yat Sen Univ, Sch Atmospher Sci, Tangjiawan Zhuhai, Guongdong Provi, Peoples R China</t>
  </si>
  <si>
    <t>Universiti Sains Malaysia; Universiti Kebangsaan Malaysia; Universiti Teknologi Malaysia; Sun Yat Sen University</t>
  </si>
  <si>
    <t>Ministry of Higher Education (MOHE) Malaysia under the Fundamental Research Grant Scheme; Newton-Natural Environment Research Council (NERC) grant (IMpacts of PRecipitation from Extreme StormS - Malaysia (IMPRESS-MALAYSIA); Asia Pacific Network for Global Change Research (APN); MOHE(Ministry of Higher Education &amp; Scientific Research (MHESR)); Universiti Kebangsaan Malaysia (UKM)</t>
  </si>
  <si>
    <t>This research was funded by the Ministry of Higher Education (MOHE) Malaysia under the Fundamental Research Grant Scheme (203.PHUMANITI.6711695) and Newton-Natural Environment Research Council (NERC) grant (IMpacts of PRecipitation from Extreme StormS -Malaysia (IMPRESS-MALAYSIA), grant number 203.PHUMANITI.6780001). CORDEX-SEA was funded by the Asia Pacific Network for Global Change Research (APN) (grant number ARCP2015-04CMY-Tangang), MOHE (grant number FRGS/1/2017/WAB05/UKM/01/2) and Universiti Kebangsaan Malaysia (UKM) (grant number ICONIC-2013-001, GUP-2019-035). We also the acknowledge Malaysia Meteorological Department, Department of Irrigation and Drainage Malaysia, Ministry of Agriculture and Agro-based Industry for providing hydro-climatic and geospatial data. Special thanks to Mr. Khai Loong Chong for helping in processing the streamflow data.</t>
  </si>
  <si>
    <t>10.1016/j.atmosres.2020.105155</t>
  </si>
  <si>
    <t>WOS:000581845700032</t>
  </si>
  <si>
    <t>Khan, Najeebullah; Pour, Sahar Hadi; Shahid, Shamsuddin; Ismail, Tarmizi; Ahmed, Kamal; Chung, Eun-Sung; Nawaz, Nadeem; Wang, Xiaojun</t>
  </si>
  <si>
    <t>The presence of long-term persistence (LTP) in hydroclimatic time series can lead to considerable change in the significance of trend. Therefore, past findings of climatic trend analysis without considering LTP in time series has become a disputable issue. The objective of this study was to assess the spatial patterns in the trends of annual and seasonal rainfall amounts and extremes in Peninsular Malaysia considering LTP. Daily rainfall data of APHRODITE (Asian Precipitation-Highly-Resolved Observational Data Integration Towards Evaluation) for the period 1951-2007 was used to assess the trends using the classical Mann-Kendall (MK) test and the modified version of the MK test, which can remove the influence of LTP in the significance of trends. The results indicate that significant trends in different rainfall indices of Peninsular Malaysia obtained using the MK test reduced drastically when LTP was taken into consideration. There was almost no change in annual and seasonal rainfall amounts, which contradicts the findings of previous studies. The field significance of regional trends revealed an increase in wet spells at an average rate of 4.8 and 4.9 days/decade in the southeast and the southwest respectively during the northeast monsoon, and a decrease in rainy days by-1.4 days/decade in the north and an increase both in dry spells by 1.0 day/decade in the southeast and in the maximum 1 day rainfall by 1.7 mm/decade on the west coast during the southwest monsoon. The results indicate that the trends in rainfall indices reported in the maritime continent in previous studies should be re-evaluated as most of them are due to LTP.</t>
  </si>
  <si>
    <t>[Khan, Najeebullah; Pour, Sahar Hadi; Shahid, Shamsuddin; Ismail, Tarmizi; Ahmed, Kamal] Univ Teknol Malaysia, Fac Engn, Sch Civil Engn, Johor Baharu 81310, Malaysia; [Chung, Eun-Sung] Seoul Natl Univ Sci &amp; Technol, Dept Civil Engn, Seoul, South Korea; [Khan, Najeebullah; Ahmed, Kamal; Nawaz, Nadeem] LUAWMS, Fac Engn Sci &amp; Technol, Uthal, Balochistan, Pakistan; [Wang, Xiaojun] Nanjing Hydraul Res Inst, State Key Lab Hydrol Water Resources &amp; Hydraul En, Nanjing, Peoples R China; [Wang, Xiaojun] Minist Water Resources, Res Ctr Climate Change, Nanjing, Peoples R China</t>
  </si>
  <si>
    <t>Universiti Teknologi Malaysia; Seoul National University of Science &amp; Technology; Nanjing Hydraulic Research Institute</t>
  </si>
  <si>
    <t>Ministry of Education Malaysia(Ministry of Education, Malaysia); Universiti Teknologi Malaysia; Ministry of Education; Universiti Teknologi Malaysia</t>
  </si>
  <si>
    <t>Ministry of Education Malaysia and Universiti Teknologi Malaysia, Grant/Award Number: Q.J130000.2522.10H36; Universiti Teknologi Malaysia; Ministry of Education</t>
  </si>
  <si>
    <t>10.1002/met.1792</t>
  </si>
  <si>
    <t>WOS:000525751800012</t>
  </si>
  <si>
    <t>Pour, Amin Beiranvand; Hashim, Mazlan</t>
  </si>
  <si>
    <t>The application of optical remote sensing data for geological mapping is difficult in the tropical environment. The persistent cloud coverage, dominated vegetation in the landscape and limited bedrock exposures are constraints imposed by the tropical climate. Structural geology investigations that are searching for epithermal or polymetallic vein-type ore deposits can be developed using Synthetic Aperture Radar (SAR) remote sensing data in tropical/sub-tropical regions. The Bau gold mining district in the State of Sarawak, East Malaysia, on the island of Borneo has been selected for this study. The Bau is a gold field similar to Carlin style gold deposits, but gold mineralization at Bau is much more structurally controlled. Geological analyses coupled with the Phased Array type L-band Synthetic Aperture Radar (PALSAR) remote sensing data were used to detect structural elements associated with gold mineralization. The PALSAR data were used to perform lithological-structural mapping of mineralized zones in the study area and surrounding terrain. Structural elements were detected along the SSW to NNE trend of the Tuban fault zone and Tai Pant fault that corresponds to the areas of occurrence of the gold mineralization in the Bau Limestone. Most of quartz-gold bearing veins occur in high-angle faults, fractures and joints within massive units of the Bau Limestone. The results show that four deformation events (D1-D4) in the structures of the Bau district and structurally controlled gold mineralization indicators, including faults, joints and fractures are detectable using PALSAR data at both regional and district scales. The approach used in this study can be more broadly applicable to provide preliminary information for exploration potentially interesting areas of epithermal or polymetallic vein-type mineralization using the PALSAR data in the tropical/sub-tropical regions. (C) 2014 COSPAR. Published by Elsevier Ltd. All rights reserved.</t>
  </si>
  <si>
    <t>[Pour, Amin Beiranvand; Hashim, Mazlan] Univ Teknol Malaysia, Inst Geospatial Sci &amp; Technol INSTeG, Utm Skudai 81310, Johor Bahru, Malaysia</t>
  </si>
  <si>
    <t>This study was conducted as a part of Potential Academic Staff (PAS) scheme granted by Universiti Teknologi Malaysia (UTM). We acknowledge the assistance of the Olympus Pacific Minerals INC. Company (North Borneo Gold SDN BHD) for their logistic support during the field investigations and ground truth data collection, as well as appreciate their assistance in various other ways during this research. We also would like to express our great appreciation to the anonymous reviewers for their very useful and constructive comments and suggestions for improvement of this manuscript.</t>
  </si>
  <si>
    <t>0273-1177</t>
  </si>
  <si>
    <t>1879-1948</t>
  </si>
  <si>
    <t>ADV SPACE RES</t>
  </si>
  <si>
    <t>Adv. Space Res.</t>
  </si>
  <si>
    <t>10.1016/j.asr.2014.02.012</t>
  </si>
  <si>
    <t>Engineering, Aerospace; Astronomy &amp; Astrophysics; Geosciences, Multidisciplinary; Meteorology &amp; Atmospheric Sciences</t>
  </si>
  <si>
    <t>WOS:000339692800008</t>
  </si>
  <si>
    <t>Sa'adi, Zulfaqar; Shahid, Shamsuddin; Ismail, Tarmizi; Chung, Eun-Sung; Wang, Xiao-Jun</t>
  </si>
  <si>
    <t>This study assesses the spatial pattern of changes in rainfall extremes of Sarawak in recent years (1980-2014). The Mann-Kendall (MK) test along with modified Mann-Kendall (m-MK) test, which can discriminate multi-scale variability of unidirectional trend, was used to analyze the changes at 31 stations. Taking account of the scaling effect through eliminating the effect of autocorrelation, m-MK was employed to discriminate multi-scale variability of the unidirectional trends of the annual rainfall in Sarawak. It can confirm the significance of the MK test. The annual rainfall trend from MK test showed significant changes at 95% confidence level at five stations. The seasonal trends from MK test indicate an increasing rate of rainfall during the Northeast monsoon and a decreasing trend during the Southwest monsoon in some region of Sarawak. However, the m-MK test detected an increasing trend in annual rainfall only at one station and no significant trend in seasonal rainfall at any stations. The significant increasing trends of the 1-h maximum rainfall from the MK test are detected mainly at the stations located in the urban area giving concern to the occurrence of the flash flood. On the other hand, the m-MK test detected no significant trend in 1- and 3-h maximum rainfalls at any location. On the contrary, it detected significant trends in 6- and 72-h maximum rainfalls at a station located in the Lower Rajang basin area which is an extensive low-lying agricultural area and prone to stagnant flood. These results indicate that the trends in rainfall and rainfall extremes reported in Malaysia and surrounding region should be verified with m-MK test as most of the trends may result from scaling effect.</t>
  </si>
  <si>
    <t>[Sa'adi, Zulfaqar; Shahid, Shamsuddin; Ismail, Tarmizi] Univ Teknol Malaysia, Fac Civil Engn, Johor Baharu, Malaysia; [Shahid, Shamsuddin] Univ Teknol Malaysia, Ctr Environm Sustainabil &amp; Water Secur IPASA, Johor Baharu, Malaysia; [Chung, Eun-Sung] Seoul Natl Univ Sci &amp; Technol, Fac Civil Engn, Seoul 01811, South Korea; [Wang, Xiao-Jun] Nanjing Hydraul Res Inst, State Key Lab Hydrol Water Resources &amp; Hydraul En, Nanjing 210029, Jiangsu, Peoples R China; [Wang, Xiao-Jun] Minist Water Resources, Res Ctr Climate Change, Nanjing 210029, Jiangsu, Peoples R China</t>
  </si>
  <si>
    <t>Universiti Teknologi Malaysia; Universiti Teknologi Malaysia; Seoul National University of Science &amp; Technology; Nanjing Hydraulic Research Institute</t>
  </si>
  <si>
    <t>Ministry of Education Malaysia(Ministry of Education, Malaysia); Universiti Teknologi Malaysia; Global Research Collaboration Project of the National Research Foundation of Korea(National Research Foundation of Korea)</t>
  </si>
  <si>
    <t>The authors are grateful to the Ministry of Education Malaysia and Universiti Teknologi Malaysia for providing financial support for this research through GUP grant no. Q.J130000.2522.10H36. This study was also supported by funding from the Global Research Collaboration Project of the National Research Foundation of Korea (NRF-2015K2A1A2070940).</t>
  </si>
  <si>
    <t>10.1007/s00703-017-0564-3</t>
  </si>
  <si>
    <t>WOS:000473164300001</t>
  </si>
  <si>
    <t>Sajid, Zulqarnain; Ismail, Mohd S.; Zakariah, Muhammad Noor Amin; Tsegab, Haylay; Gamez Vintaned, Jose Antonio; Hanif, Tanzila; Ahmed, Nisar</t>
  </si>
  <si>
    <t>Turbidite-associated black shale of the Semanggol Formation is extensively distributed in the northwestern part of the Western Belt, Peninsular Malaysia. The black shale occurs as a dark grey to black and thick to medium-bedded deposit. It represents the distal part of submarine fan system (outer-fan) overlying interbedded sandstone to shale facies of the mid-fan and conglomeratic pebbly sandstone facies of the inner-fan. Field observations and its widespread occurrence have resulted in the black shale being considered as a potential analog for a source rock in offshore Peninsular Malaysia. The present study includes detailed mineralogical (XRD, SEM, and EDX analysis), inorganic geochemical (major oxides, trace elements TEs, and rare earth elements REEs), and Rock-Eval pyrolysis analyses of the black shale samples, collected from the Gunung Semanggol, Bukit Merah, and Nami areas in northwestern Peninsular Malaysia. The primary focus of this study is to investigate the provenance, paleoredox conditions, paleoclimate, sedimentary rate, paleoproductivity, and upwelling system that would be helpful to understanding the role of these parameters in the enrichment of organic matter (OM) in the black shale. The Rock-Eval analysis shows that the black shale of the Semanggol Formation comprises type-III kerogens, which suggests organic input from a terrestrial source. The black shale also contains mature to postmature organic matter. Based on the mineralogical analysis, the mineral composition of the black shale comprises illite and kaolinite, with abundant traces of quartz and feldspar as well as few traces of titanium and zircon. Inorganic geochemical data designate black shale deposition in a passive margin setting that has experienced moderate to strong weathering, semi-arid to hot arid climate, and moderate sedimentation rate. Ratios of Ni/Co, U/Th, and V/(V+Ni) along with slightly negative to positive Ce* anomalies and U-EF-Mo-EF cross-plot unanimously indicate anoxic/dysoxic water conditions that are suitable for organic matter preservation. Geochemical proxies related to modern upwelling settings (i.e., Cd/Mo, Co vs. Mn) show that the deep marine black shale was strongly influenced by persistent upwelling, a first-order controlling factor for organic matter enrichment in the distal part (outer fan of the submarine fan system) of the Semanggol Basin. However, productivity-controlled upwelling and a high sedimentary rate, as well as high-productivity in oxygen-depleted settings without strong anoxic conditions, has played an essential role in the accumulation of organic matter.</t>
  </si>
  <si>
    <t>[Sajid, Zulqarnain; Ismail, Mohd S.; Zakariah, Muhammad Noor Amin; Tsegab, Haylay; Gamez Vintaned, Jose Antonio; Ahmed, Nisar] Univ Teknol PETRONAS, Geosci Dept, Bandar Seri Iskandar 32610, Perak, Malaysia; [Hanif, Tanzila] Univ Punjab, Inst Geol, Lahore 54000, Pakistan</t>
  </si>
  <si>
    <t>Universiti Teknologi Petronas; University of Punjab</t>
  </si>
  <si>
    <t>Petronas Research Fund (PRF)</t>
  </si>
  <si>
    <t>The authors appreciate and acknowledge the Petronas Research Fund (PRF) for supporting and providing funds for this research under grant number YUTP GRANT 0153AA-H13.</t>
  </si>
  <si>
    <t>2075-163X</t>
  </si>
  <si>
    <t>MINERALS-BASEL</t>
  </si>
  <si>
    <t>Minerals</t>
  </si>
  <si>
    <t>10.3390/min10100915</t>
  </si>
  <si>
    <t>Geochemistry &amp; Geophysics; Mineralogy; Mining &amp; Mineral Processing</t>
  </si>
  <si>
    <t>WOS:000585241700001</t>
  </si>
  <si>
    <t>Pham Thi Thao Nhi; Dao Nguyen Khoi; Nguyen Xuan Hoan</t>
  </si>
  <si>
    <t>Rainfall data with an appropriate spatial resolution is a key input to hydrological models. However, networks of rain gauges are often sparsely and unevenly distributed in large catchments, especially in developing countries. High-resolution rainfall datasets, such as the Asian Precipitation Highly Resolved Observational Data Integration Towards Evaluation of Water Resources (APHRODITE), the Climate Forecast System Reanalysis (CFSR), the Climatic Research Unit Time Series (CRU-TS), the Global Precipitation Climatology Centre (GPCC) and the Tropical Rainfall Measuring Mission (TRMM), have become available to overcome such limitations. The objective of this study was to evaluate the impacts of four land-based rainfall products (APHRODITE, CFSR, CRU-TS, and GPCC) and a satellite-based rainfall product (TRMM) on streamflow of the upper catchment of Tri An reservoir in Vietnam using the Hydrological Modeling System (HEC-HMS). In addition, the available rain gauges data were used for comparison purpose. Result indicates that the TRMM and GPCC data show their best match to rain gauges data in simulating the streamflow in the period 1999-2007. Generally, the results indicate that the TRMM and GPCC data could be alternative solutions.</t>
  </si>
  <si>
    <t>[Pham Thi Thao Nhi] Duy Tan Univ, Inst Res &amp; Dev, Da Nang, Vietnam; [Dao Nguyen Khoi] Inst Computat Sci &amp; Technol, Tan Hiep Chanh Ward, Dist 12, Ho Chi Minh City, Vietnam; [Dao Nguyen Khoi] Vietnam Natl Univ Ho Chi Minh City, Univ Sci, Fac Environm, 227 Nguyen Van Cu St,Dist 5, Ho Chi Minh City, Vietnam; [Nguyen Xuan Hoan] Ho Chi Minh City Univ Food Ind, 140 Le Trong Tan St, Ho Chi Minh City, Vietnam</t>
  </si>
  <si>
    <t>Duy Tan University; Vietnam National University Hochiminh City; Ho Chi Minh City University of Food Industry</t>
  </si>
  <si>
    <t>Ho Chi Minh City's Department of Science and Technology (HCMC-DOST); Institute for Computational Science and Technology (ICST); Vietnam National University Ho Chi Minh City (VNU-HCM)</t>
  </si>
  <si>
    <t>This research is funded by Ho Chi Minh City's Department of Science and Technology (HCMC-DOST) and Institute for Computational Science and Technology (ICST) under grant number 15/2017/HD-KHCNTT. Additionally, this research is partly funded by Vietnam National University Ho Chi Minh City (VNU-HCM) under grant number C2017-48-02.</t>
  </si>
  <si>
    <t>1753-8947</t>
  </si>
  <si>
    <t>1753-8955</t>
  </si>
  <si>
    <t>INT J DIGIT EARTH</t>
  </si>
  <si>
    <t>Int. J. Digit. Earth</t>
  </si>
  <si>
    <t>MAR 4</t>
  </si>
  <si>
    <t>10.1080/17538947.2018.1426647</t>
  </si>
  <si>
    <t>WOS:000457412600004</t>
  </si>
  <si>
    <t>Roth, Matthias; Sanchez, Beatriz; Li, Reuben; Velasco, Erik</t>
  </si>
  <si>
    <t>The present study examines the temporal and spatial variability of near-surface air temperature and the canopy layer urban heat island (UHI) in Singapore. Observations collected at 20 locations across the island city-state and during 6 years make this one of the most extensive studies carried out in a tropical city. Local climate zones (LCZs), defined as urban built and rural land cover types which produce a unique air temperature response, are used to standardize intersite comparison. The results show that the choice of the rural reference can affect the night-time UHI magnitude by up to 2 degrees C under ideal (dry, clear, calm) conditions. The most frequently observed median UHI magnitude increases from 2.8 during all-weather to 3.7 degrees C during ideal conditions, respectively. A seasonality is present with lowest (highest) mean all-weather values of similar to 2.0 degrees C (similar to 3.3 degrees C), observed during the wet (dry) December-January (April-October) period. Mean night-time UHI intensity across seven built-type LCZs ranges between 1.8 and 3.5 degrees C (2.5 and 4.3 degrees C) for all-weather (ideal) conditions. Corresponding daily values are 1.1-2.3 degrees C (1.5-2.7 degrees C). The lowest (highest) night-time magnitudes are associated with open low-rise LCZ 6 (compact high-rise LCZ 1) built type. In the middle of the day LCZ 1 can experience a cool island effect. The average UHI values presented here give an indication of the extra warmth experienced in the built-up spaces of Singapore relative to one possible rural reference land cover type (scattered trees LCZ B). Highest daytime heat exposure is observed in LCZs 3 and 8 which are characterized by low building heights, high impervious surface fraction and lack of vegetation. The present results can be used to support the development and evaluation of urban climate models, develop urban planning policies and improve local weather forecasts and the delivery of integrated urban services.</t>
  </si>
  <si>
    <t>[Roth, Matthias; Sanchez, Beatriz] Natl Univ Singapore, Dept Geog, 21 Lower Kent Ridge Rd, Singapore 119077, Singapore; [Li, Reuben] Biogen Japan Ltd, Tokyo, Japan; [Velasco, Erik] Molina Ctr Energy &amp; Environm, Boston, MA USA</t>
  </si>
  <si>
    <t>National University of Singapore</t>
  </si>
  <si>
    <t>National University of Singapore(National University of Singapore)</t>
  </si>
  <si>
    <t>This research was partially funded by a National University of Singapore research grant (A-0003071-00-00). We thank B. Guo, S. Harshan, V. Lim, M. Rahiz, S. H. Tan and numerous other students for their assistance in the field and with data management.</t>
  </si>
  <si>
    <t>DEC 30</t>
  </si>
  <si>
    <t>10.1002/joc.7862</t>
  </si>
  <si>
    <t>WOS:000877420600001</t>
  </si>
  <si>
    <t>We present an analysis of the present-day (1961-1990) regional climate simulations over Vietnam. The regional climate model Weather Research and Forecasting (WRF) was driven by the global reanalysis ERA40. The performance of the regional climate model in simulating the observed climate is evaluated with a main focus on precipitation and temperature. The regional climate model was able to reproduce the observed spatial patterns of the climate, although with some biases. The model also performed better in reproducing the extreme precipitation and the interannual variability. Overall, the WRF model was able to simulate the main regional signatures of climate variables, seasonal cycles, and frequency distributions. This study is an evaluation of the present-day climate simulations of a regional climate model at a resolution of 25 km. Given that dynamical downscaling has become common for studying climate change and its impacts, the study highlights that much more improvements in modeling might be necessary to yield realistic simulations of climate at high resolutions before they can be used for impact studies at a local scale. The need for a dense network of observations is also realized as observations at high resolutions are needed when it comes to evaluations and validations of models at sub-regional and local scales.</t>
  </si>
  <si>
    <t>[Raghavan, S. V.; Vu, M. T.; Liong, S. Y.] Natl Univ Singapore, Trop Marine Sci Inst, Singapore, Singapore; [Raghavan, S. V.; Vu, M. T.; Liong, S. Y.] SMART, Ctr Environm Sensing &amp; Modeling, Singapore, Singapore; [Raghavan, S. V.; Vu, M. T.; Liong, S. Y.] Natl Univ Singapore, Dept Civil &amp; Environm Engn, Ctr Hazards Res, Singapore, Singapore</t>
  </si>
  <si>
    <t>10.1007/s00704-015-1557-0</t>
  </si>
  <si>
    <t>WOS:000385256300014</t>
  </si>
  <si>
    <t>Vu, M. T.; Raghavan, V. S.; Liong, S. -Y.</t>
  </si>
  <si>
    <t>Climate change is expected to exacerbate the extremes in the climate variables. Being prone to harsh climate impacts, it is very crucial to study extreme rainfall-induced flooding for short durations over regions that are rapidly growing. One way to study the extremes is by the application of the Intensity-Duration-Frequency (IDF) curves. The annual maximum rainfall intensity (AMRI) characteristics are often used to construct these IDF curves that are being used in several infrastructure designs for urban areas. Thus, there is a need to obtain high temporal and spatial resolution rainfall information. Many urban areas of developing countries lack long records of short-duration rainfall. The shortest duration obtained is normally at a daily scale/24 h. Thus, it is very crucial to find a methodology to construct IDF curves for short-duration rainfall (sub-daily) for these urban areas. Vietnam is a developing country with rapidly increasing population as well as urbanization. The fast extension of urban area that does not have adequate preparedness to cope with climate change is certainly a big risk to life and economy. The limitation in studying impacts over many regions of Vietnam is the need for robust and sufficient data, both spatial and temporal. To overcome this limitation, this paper describes constructing IDF curves using 6 hourly rainfall AMRI output from a regional climate model (RCM) that downscaled a global climate model (GCM) output at high spatial and temporal resolutions. The study region is Hanoi, the capital city of Vietnam. The sub-daily IDF curves for current and future climate for Hanoi were constructed from 1 to 24 h based on the simple scaling approach. The findings indicate that it is likely that Hanoi might experience more flooding conditions in the future with the AMRI increasing between 34 and 48% for all return periods from 10 to 200 years. The methodology adopted in this paper is suitable for similar ungauged areas elsewhere and will provide useful information in devising adequate planning strategies for drainage designs.</t>
  </si>
  <si>
    <t>[Vu, M. T.; Raghavan, V. S.; Liong, S. -Y.] Natl Univ Singapore, Trop Marine Sci Inst, Singapore, Singapore; [Liong, S. -Y.] Willis Re Inc, Willis Res Network, London, England; [Vu, M. T.; Raghavan, V. S.; Liong, S. -Y.] SMART, Ctr Environm Modeling &amp; Sensing, Singapore, Singapore; [Vu, M. T.; Raghavan, V. S.; Liong, S. -Y.] NUS, Dept Civil &amp; Environm Engn, Ctr Hazards Res, Singapore, Singapore</t>
  </si>
  <si>
    <t>10.1007/s11069-016-2670-9</t>
  </si>
  <si>
    <t>WOS:000392302700027</t>
  </si>
  <si>
    <t>Zhang, Haiyan; Wen, Zhiping; Wu, Renguang; Chen, Zesheng; Guo, Yuanyuan</t>
  </si>
  <si>
    <t>Previous studies have revealed inter-decadal changes in the East Asian summer monsoon (EASM) that occurred around the late 1970s and early 1990s, respectively. The present study compares characteristics of these two changes and analyzes plausible influences of the South Indian Ocean (SIO) sea surface temperature (SST) change. The two changes share pronounced common features, characterized by an equivalent barotropic circulation anomaly over northern East Asia and a meridional vertical overturning circulation over the tropical region. Meanwhile, they display some distinct characteristics, especially over the tropics. The circumfluent anomalies are more robust for the first change than for the second one. Related amplitude asymmetry is partly attributed to a weakening trend in the EASM. Moreover, SST change in the SIO, featuring a decadal warming since the 1980s and a cooling after 1993, may contribute to both of these inter-decadal changes. Cold SST anomaly induces anomalous mid-tropospheric descent over the western SIO and ascent extending from the eastern SIO to western Australia and over the equatorial Indian Ocean. The accompanying upper-tropospheric divergent flows from western Australia and equatorial Indian Ocean to the Philippines lead to anomalous descent and an anomalous lower-tropospheric anticyclone over the South China Sea-Philippines. Warm SST anomaly induces opposite changes in above regions. The possible influence of SST anomaly in the SIO is further confirmed by numerical experiments.</t>
  </si>
  <si>
    <t>[Zhang, Haiyan; Wen, Zhiping; Guo, Yuanyuan] Sun Yat Sen Univ, Ctr Monsoon &amp; Environm Res, Guangzhou 510275, Guangdong, Peoples R China; [Zhang, Haiyan; Wen, Zhiping; Guo, Yuanyuan] Sun Yat Sen Univ, Sch Atmospher Sci, Guangzhou 510275, Guangdong, Peoples R China; [Wu, Renguang] Chinese Acad Sci, Ctr Monsoon Syst Res, Inst Atmospher Phys, Beijing 100080, Peoples R China; [Chen, Zesheng] Chinese Acad Sci, South China Sea Inst Oceanol, State Key Lab Trop Oceanog, Guangzhou, Guangdong, Peoples R China; [Wen, Zhiping] Jiangsu Collaborat Innovat Ctr Climate Change, Nanjing, Jiangsu, Peoples R China</t>
  </si>
  <si>
    <t>Sun Yat Sen University; Sun Yat Sen University; Chinese Academy of Sciences; Institute of Atmospheric Physics, CAS; Chinese Academy of Sciences; South China Sea Institute of Oceanology, CAS</t>
  </si>
  <si>
    <t>National Natural Science Foundation of China(National Natural Science Foundation of China (NSFC)); National Key Basic Research and Development Projects of China(National Basic Research Program of China); Sun Yat-sen University</t>
  </si>
  <si>
    <t>The authors thank the editor and two reviewers for their comments and suggestions which led to an improved manuscript. This research was jointly supported by National Natural Science Foundation of China (41530503, 41175076), National Key Basic Research and Development Projects of China (2014CB953901). RW acknowledges the support of National Natural Science Foundation of China grants (41275081 and 41475081). HZ acknowledges the support of the high-performance grid computing platform of Sun Yat-sen University.</t>
  </si>
  <si>
    <t>10.1007/s00382-016-3131-6</t>
  </si>
  <si>
    <t>WOS:000394150500024</t>
  </si>
  <si>
    <t>Lagare, Ma Cathrene; Coronel, Rochelle; Cruz, Faye; Narisma, Gemma Teresa; Villafuerte, Marcelino, II; Tibay, Jennifer</t>
  </si>
  <si>
    <t>The influence of planetary boundary layer (PBL) parameterization on tropical cyclones (TCs) over the Philippine region is examined using the Holtslag and the University of Washington (UW) schemes in RegCM4.7 at 25-km resolution. Comparisons made between the model-simulated TCs and best track data indicate that more TCs were reproduced in both the RegCM4.7 simulations than the ERA-Interim reanalysis. It is further revealed that while only small biases were obtained in the number of TCs detected from the two RegCM4.7 simulations, only the UW scheme was able to simulate strong (Category 4-Category 5) TCs. A composite analysis on the radial cross section of azimuthally averaged wind fields shows that the UW scheme generates stronger wind velocities with narrower and elevated maximum tangential wind, and enhances low-level momentum convergence, compared with the Holtslag scheme. In addition, the radial positioning of the strong diabatic heating of UW simulation within the radius of maximum wind supported the needed conditions for warmer core formation and contributed to the enhancement of the secondary circulation by vertical advection of high absolute angular momentum, hence the higher intensity of TCs. The resulting higher surface maximum winds with increased diabatic heating within the eyewall and stronger warm-core structures in the UW simulation suggest that the induced convergence has offset the dissipative effects of momentum loss more than that in the Holtslag run.</t>
  </si>
  <si>
    <t>[Lagare, Ma Cathrene; Coronel, Rochelle; Cruz, Faye; Narisma, Gemma Teresa; Tibay, Jennifer] Manila Observ, Reg Climate Syst Lab, Quezon City, Philippines; [Lagare, Ma Cathrene] Tohoku Univ, Grad Sch Sci, Dept Geophys, Sendai, Miyagi, Japan; [Coronel, Rochelle] Ateneo de Davao Univ, Trop Inst Climate Studies, Davao, Philippines; [Coronel, Rochelle] Ateneo de Davao Univ, Environm Sci Dept, Davao, Philippines; [Narisma, Gemma Teresa] Ateneo de Davao Univ, Phys Dept, Atmospher Sci Program, Quezon City, Philippines; [Villafuerte, Marcelino, II] Philippine Atmospher Geophys &amp; Astron Serv Adm, Dept Sci &amp; Technol, Quezon City, Philippines</t>
  </si>
  <si>
    <t>Tohoku University; Ateneo de Davao University; Ateneo de Davao University; Ateneo de Davao University; Department of Science &amp; Technology (DOST), Philippines</t>
  </si>
  <si>
    <t>The research is supported by the Department of Science and Technology-Philippine Council for Industry, Energy, and Emerging Technology Research Development (DOST-PCIEERD) under Project Number 2018-03691.</t>
  </si>
  <si>
    <t>10.1007/s00382-022-06246-9</t>
  </si>
  <si>
    <t>WOS:000776916200002</t>
  </si>
  <si>
    <t>Bhanage, Vinayak; Lee, Han Soo; Kubota, Tetsu; Pradana, Radyan Putra; Fajary, Faiz Rohman; Putra, I. Dewa Gede Arya; Nimiya, Hideyo</t>
  </si>
  <si>
    <t>This study evaluates the performance of 6 global climate models (GCMs) from the Coupled Model Intercomparison Project Phase 6 (CMIP6) for simulating temperature, precipitation, wind speed, and relative humidity over 29 cities in Indonesia. Modern-Era Retrospective Analysis for Research Applications (MERRA-2) was considered as reference data to assess the city-wise performance of surface air temperature, precipitation, wind speed, and relative humidity simulated by the CMIP6 GCMs during 1980-2014. Six statistical measures were computed in this process (mean annual, seasonal amplitude, mean annual bias, root mean square error, correlation coefficient, and standard deviation). For 29 cities, the mean annual values of surface air temperature, precipitation, wind speed, and relative humidity obtained from the GCMs range between 290 to 302 K, 100 cm to 450 cm, 1 to 6 m/s, and 70 to 94%, respectively. The correlation coefficient between the GCMs and the surface air temperature (precipitation) reanalysis dataset ranges from 0.3 to 0.85 (-0.14 to 0.77). The correlation coefficient for wind speed (relative humidity) varies from 0.2 to 0.6 and is positive in some cases (0.2 to 0.8). Subsequently, the relative error that combines the statistical measurement results was calculated for each city and meteorological variable. Results show that for surface air temperature and precipitation, the performance of TaiESM was outstanding over the 10 or more cities. In contrast, for wind speed and relative humidity, NOR-MM and MPI-HR were the best over 7 and 19 cities, respectively. For all the meteorological variables, the performance of AWI was found to be worst over all the cities. The outcomes of this study are essential for climate-resilience planning and GCM selection while performing downscaling experiments. It will also be useful for producing updated national climate change projections for each city in Indonesia and providing new insights into the climate system.</t>
  </si>
  <si>
    <t>[Bhanage, Vinayak; Lee, Han Soo; Kubota, Tetsu; Pradana, Radyan Putra; Fajary, Faiz Rohman] Hiroshima Univ, Grad Sch Adv Sci &amp; Engn, Transdisciplinary Sci &amp; Engn Program, 1-5-1 Kagamiyama, Higashihiroshima, Hiroshima 7398529, Japan; [Lee, Han Soo] Hiroshima Univ, IDEC Inst, Ctr Planetary Hlth &amp; Innovat Sci PHIS, 1-5-1 Kagamiyama, Higashihiroshima, Hiroshima 7398529, Japan; [Pradana, Radyan Putra; Putra, I. Dewa Gede Arya] Indonesian Agcy Meteorol Climatol &amp; Geophys BMKG, Ctr Res &amp; Dev, Jl Angkasa 1 2, Jakarta 10610, Indonesia; [Fajary, Faiz Rohman] Inst Teknol Bandung, Fac Earth Sci &amp; Technol, Atmospher Sci Res Grp, Bandung 40132, Indonesia; [Putra, I. Dewa Gede Arya; Nimiya, Hideyo] Kagoshima Univ, Grad Sch Sci &amp; Engn, 1-21-40 Korimoto, Kagoshima 8900065, Japan</t>
  </si>
  <si>
    <t>Hiroshima University; Hiroshima University; Indonesian Agency for Meteorology, Climatology &amp; Geophysics; Institute Technology of Bandung; Kagoshima University</t>
  </si>
  <si>
    <t>Science and Technology Research Partnership for Sustainable Development (SATREPS); Japan Science and Technology Agency (JST)(Japan Science &amp; Technology Agency (JST)); Japan International Cooperation Agency (JICA); Grants-in-Aid for Scientific Research(Ministry of Education, Culture, Sports, Science and Technology, Japan (MEXT)Japan Society for the Promotion of ScienceGrants-in-Aid for Scientific Research (KAKENHI))</t>
  </si>
  <si>
    <t>The study is supported by the Science and Technology Research Partnership for Sustainable Development (SATREPS), in collaboration with the Japan Science and Technology Agency (JST, JPMJSA1904) and the Japan International Cooperation Agency (JICA).</t>
  </si>
  <si>
    <t>MAY 5</t>
  </si>
  <si>
    <t>10.3390/cli11050100</t>
  </si>
  <si>
    <t>WOS:000996800200001</t>
  </si>
  <si>
    <t>Liu, Chenglin; Wang, Licheng; Yan, Maodu; Zhao, Yanjun; Cao, Yangtong; Fang, Xiaomin; Shen, Lijian; Wu, Chihua; Lv, Fenglin; Ding, Ting</t>
  </si>
  <si>
    <t>Potash deposits are common in the Mesozoic-Cenozoic Tethyan domain, which features the giant potash deposits in the Late Jurassic Central Asian Basin and the Late Cretaceous Khorat Basin of Thailand-Laos. Widespread evaporitic sequences from these intervals have been found in some marine and transitional basins within the Chinese continental blocks, such as the Yangtze, Simao and Tarim blocks, in which, only one small-scale potash deposit had been found in the Late Cretaceous Simao Basin. These evaporites are commonly characterized by depositional cycles that are more frequent than those of other potash basins around the world. It remains debated whether large or giant potash deposits could be formed in Chinese blocks of Tethyan domain, and if so, what mechanism was responsible for the potash formation. To address these issues, we comprehensively review the Meso-Cenozoic drift history and collision dynamics of these Chinese blocks and summarize the formation mechanism, depositional characteristics, and paleoclimate of the evaporite basins in these blocks. These blocks drifted from the Southern Hemisphere and collided and welded together in the beginning of the late Permian in the Northern Hemisphere. The collisions often commenced in the east and gradually spread to the west of these blocks, resulting in: (1) westward seawater retreat; (2) differential topographic uplift with high topography in the east and low topography in the west and (3) increasingly closed depositional environments in these basins. In addition, these collisions often exerted nearly N-S-oriented principal compressive stress, which resulted in nearly E-W-oriented extension. These forces induced a series of faulted-bounded subsidence belts with N-S-striking extensional sub-basins arranged in an E-W-oriented chain in these blocks. In this chain-like sub-basins system, as sea level rose and seawater flowed from west to east, the western sub-basins proximal to the open sea would have precipitated calcium carbonates and calcium sulfates, resulting in a high degree of concentration by the time the brines reached the distal end, i.e. eastern sub-basins. Ultimately, potash minerals were commonly deposited in the easternmost sub-basins. Based on the above model of potash formation, we predict that potash deposits may be formed in certain sub-basins in the eastern part of these basins in Chinese Tethyan blocks, which maybe lay a theoretical foundation for China's future exploration of potash deposits.</t>
  </si>
  <si>
    <t>[Liu, Chenglin; Wang, Licheng; Zhao, Yanjun; Cao, Yangtong; Shen, Lijian; Wu, Chihua; Lv, Fenglin] Chinese Acad Geol Sci, MNR Key Lab Metallogeny &amp; Mineral Assessment, Inst Mineral Resources, Beijing 100037, Peoples R China; [Liu, Chenglin; Wang, Licheng; Zhao, Yanjun; Cao, Yangtong; Shen, Lijian; Wu, Chihua; Lv, Fenglin] Chinese Acad Sci, Inst Tibetan Plateau Res, CAS Ctr Excellence Tibetan Plateau Earth Sci, Beijing 100101, Peoples R China; [Yan, Maodu; Fang, Xiaomin] Chinese Acad Sci, Inst Tibetan Plateau Res, Key Lab Continental Collis &amp; Plateau Uplift, Beijing 100101, Peoples R China; [Liu, Chenglin; Lv, Fenglin; Ding, Ting] China Univ Geosci, Sch Earth Sci &amp; Resources, Beijing 100083, Peoples R China</t>
  </si>
  <si>
    <t>China Geological Survey; Chinese Academy of Geological Sciences; Chinese Academy of Sciences; Institute of Tibetan Plateau Research, CAS; Chinese Academy of Sciences; Institute of Tibetan Plateau Research, CAS; China University of Geosciences</t>
  </si>
  <si>
    <t>National Key Project for Basic Research of China (973 Program)(National Basic Research Program of China)</t>
  </si>
  <si>
    <t>This research is financially funded by National Key Project for Basic Research of China (973 Program) (No. 2011CB403007). We thank Mr. Changyan Liu from Tianjin Salt Research Institute, the China National Salt Industry Corporation, for providing the parameters of the industrial salt and potash extraction system using Bohai Bay seawater, and Dr. Daxing Gong, Chao Gao, Mingquan Wang, and Erbing Han for assistance in indoor and the field works and Ms. Li Fan and Xiaomei Zhang for some map drawings. We also thank three anonymous reviewers' precious comments and suggestions on the manuscript.</t>
  </si>
  <si>
    <t>10.1016/j.oregeorev.2018.09.002</t>
  </si>
  <si>
    <t>WOS:000453493100020</t>
  </si>
  <si>
    <t>Wu, Chau-Ron; Wang, You-Lin; Lin, Yong-Fu; Chiang, Tzu-Ling; Wu, Chao-Chi</t>
  </si>
  <si>
    <t>We analyze a 22-year (1993-2014) record of the Kuroshio intrusion (KI) index defined from maps of mean absolute dynamic topography west of Luzon Island in the Philippines to investigate the long-term trend of the KI into the South China Sea (SCS). The monotonically increasing trend of the KI index extracted by empirical mode decomposition implies a slight decreasing trend of the meridional pressure gradient across the Luzon Strait, suggesting a weakening of the KI into the SCS based on the geostrophy. This weakening is largely due to an intensification of the upstream Kuroshio east of Luzon, which is closely correlated with the latitude of the North Equatorial Current (NEC) bifurcation off the Philippines. We also find that the latitude of the NEC bifurcation has tended to migrate southward in recent years, coincident with the strengthening of the Kuroshio east of Luzon. The forcing of the trends of low-latitude circulation is attributable to changing surface wind fields in the tropical Pacific. The trade winds have intensified in response to the recent global warming hiatus, and an anomalous cyclonic wind field has appeared over the Philippine Sea. Both of these phenomena have contributed to the southward migration of the NEC bifurcation latitude in recent years. This has led to enhance the Kuroshio transport east of Luzon, and the Kuroshio has tended to bypass the Luzon Strait without significant westward encroachment.</t>
  </si>
  <si>
    <t>[Wu, Chau-Ron; Wang, You-Lin; Lin, Yong-Fu; Chiang, Tzu-Ling; Wu, Chao-Chi] Natl Taiwan Normal Univ, Dept Earth Sci, Taipei 116, Taiwan</t>
  </si>
  <si>
    <t>Ministry of Science and Technology, ROC; National Taiwan Normal University, Taiwan</t>
  </si>
  <si>
    <t>This work was supported by the Ministry of Science and Technology, ROC, under Grants MOST 104-2611-M-003-002-MY3 and 104-2811-M-003-018. This paper was subsidized by the National Taiwan Normal University, Taiwan. (Corresponding author: Chau-Ron Wu).</t>
  </si>
  <si>
    <t>10.1109/JSTARS.2016.2574941</t>
  </si>
  <si>
    <t>WOS:000388871500017</t>
  </si>
  <si>
    <t>Terry, James P.; Dunne, Kieran; Jankaew, Kruawun</t>
  </si>
  <si>
    <t>Rapidly rising populations of low-lying megacities in Asia mean that understanding the potential risk of coastal flooding by storm surge is of paramount concern. The city of Bangkok and the wider Chao Phraya River delta at the head of the Gulf of Thailand is a region topographically vulnerable to coastal flooding, but without the record of a high-energy marine inundation (HEMI) event in historical time owing to the atypical path that a typhoon must take to be able to produce such an event. This work builds upon previous findings that identified coastal depositional evidence for HEMI events in the form of coastal carbonate boulders (CCBs) located on Ko Larn Island in the eastern Bay of Bangkok. The HEMI events were most likely driven by typhoons and the CCBs are therefore interpreted as typhoon deposits. Through uranium/thorium dating, it is revealed that from ad 1400 to ad 1600 the Bay of Bangkok possibly experienced a phase of relatively heightened storm impact. During this period, the frequency of typhoon-driven HEMI events was approximately four events in 200years. Waves generated onshore minimum flow velocities (MFVs) in excess of 5m/s. Such exceptional MFVs are unlikely to be produced during the annual northeast monsoon, but are consistent with typhoon-impacted coastlines elsewhere in the tropical Asia-Pacific region where similar CCB evidence exists. Since ad 1600, the Bay of Bangkok has enjoyed a relatively quiescent phase, recording less frequent HEMI events and of lower magnitude. However, the re-occurrence of a typhoon-driven HEMI event on the scale of the prehistorical events that emplaced carbonate boulders at elevation on Ko Larn Island would threaten low-lying coasts in the Bay of Bangkok, including the Chao Phraya delta, with potentially damaging inundation. Copyright (c) 2015 John Wiley &amp; Sons, Ltd.</t>
  </si>
  <si>
    <t>[Terry, James P.] Zayed Univ, Coll Sustainabil Sci &amp; Humanities, POB 19282, Dubai, U Arab Emirates; [Dunne, Kieran] Aon Benfield Pte Ltd, Formerly Res &amp; Dev, Singapore, Singapore; [Jankaew, Kruawun] Chulalongkorn Univ, Fac Sci, Dept Geol, Bangkok, Thailand</t>
  </si>
  <si>
    <t>Zayed University; Chulalongkorn University</t>
  </si>
  <si>
    <t>Singapore Ministry of Education(Ministry of Education, Singapore); Zayed University, Dubai</t>
  </si>
  <si>
    <t>The authors extend their appreciation to Mr Chanwit Tangon and Mr Ronnakrit Rattanasriampaipong for assistance during field campaigns. Mrs K.L. Lee is thanked for drafting early versions of Figures 1 and 2. Three reviewers and the editor of this special issue are thanked for providing constructive advice to improve the original submission. Dr Nigel Winspear, Asia-Pacific Regional Head, Catastrophe Management, at SCOR Reinsurance Asia-Pacific Pte Ltd, waived reviewer anonymity and thereafter did much to invigorate discussion on this work. Research funding is duly acknowledged from the Singapore Ministry of Education (grant no. FY2012-FRC2-005) and Zayed University, Dubai (RIF grant no. R15053).</t>
  </si>
  <si>
    <t>0197-9337</t>
  </si>
  <si>
    <t>1096-9837</t>
  </si>
  <si>
    <t>EARTH SURF PROC LAND</t>
  </si>
  <si>
    <t>Earth Surf. Process. Landf.</t>
  </si>
  <si>
    <t>10.1002/esp.3873</t>
  </si>
  <si>
    <t>WOS:000373135900010</t>
  </si>
  <si>
    <t>Lestari, Sopia; King, Andrew; Vincent, Claire; Protat, Alain; Karoly, David; Mori, Shuichi</t>
  </si>
  <si>
    <t>Research on the interaction between the Madden-Julian oscillation (MJO) and rainfall around Jakarta is limited, although the influence of the MJO on increased rainfall is acknowledged as one of the primary causes of flooding in the region. This paper investigates the local rainfall response around Jakarta to the MJO. We used C-band Doppler radar in October-April during 2009-12 to study rain-rate characteristics at much higher resolution than previous analyses. Results show that the MJO strongly modulates rain rates over the region; however, its effect varies depending on topography. During active phases, MJO induces a high rain rate over the ocean and coast, meanwhile during suppressed phases, it generates a high rain rate mainly over the mountains. In phase 2 of the MJO we find the strongest increase in mean and extreme rain rate, which is earlier in the MJO cycle than most studies reported, based on lower-resolution data. This higher rain rate is likely due to increases in convective and stratiform activities. The MJO promotes more stratiform rain once it resides over Indonesia. In phase 5, over the northwestern coast and western part of the radar domain, the MJO might bring forward the peak of the hourly rain rate that occurs in the early morning. This is likely due to a strong westerly flow arising from MJO superimposed westerly monsoonal flow, blocked by the mountains, inducing a strong wind propagating offshore resulting in convection near the coast in the morning. Our study demonstrates the benefits of using high-resolution radar for capturing local responses to the larger-scale forcing of the MJO in Indonesia. Significance StatementRainfall in Jakarta and its surroundings is highly variable and often heavy resulting in devastating floods. In this region, in the wet season, rainfall is influenced by large-scale climate variability including the Madden-Julian oscillation (MJO) characterized by eastward propagation of clouds near the equatorial regions on intraseasonal time scales. The MJO has been known to increase the probability of rainfall occurrence and its magnitude, but we show that the impact differs in varying topography. The frequency and intensity of rainfall increase over land areas including mountains even when MJO has not arrived in Indonesia. Meanwhile, once MJO moves through Indonesia, the frequency and magnitude of the rainfall increases over the northern coast and ocean as well as in the west of the radar domain.</t>
  </si>
  <si>
    <t>[Lestari, Sopia; King, Andrew; Vincent, Claire] Univ Melbourne, Sch Geog Earth &amp; Atmospher Sci, Melbourne, Vic, Australia; [Lestari, Sopia; King, Andrew; Vincent, Claire] ARC Ctr Excellence Climate Extremes, Melbourne, Vic, Australia; [Protat, Alain] Bur Meteorol, Melbourne, Vic, Australia; [Karoly, David] CSIRO, NESP Earth Syst &amp; Climate Change Hub, Melbourne, Vic, Australia; [Mori, Shuichi] Japan Agcy Marine Earth Sci &amp; Technol, Yokosuka, Japan; [Lestari, Sopia] Natl Res &amp; Innovat Agcy, Jakarta, Indonesia</t>
  </si>
  <si>
    <t>University of Melbourne; Bureau of Meteorology - Australia; Commonwealth Scientific &amp; Industrial Research Organisation (CSIRO); Japan Agency for Marine-Earth Science &amp; Technology (JAMSTEC)</t>
  </si>
  <si>
    <t>Australia Award Scholarship (AAS); Australian Research Council (ARC) Centre of Excellence for Climate Extremes (CLEX)(Australian Research Council); Australian government(Australian Government); ARC DECRA Fellowship(Australian Research Council); ARC CLEX(Australian Research Council); Grants-in-Aid for Scientific Research(Ministry of Education, Culture, Sports, Science and Technology, Japan (MEXT)Japan Society for the Promotion of ScienceGrants-in-Aid for Scientific Research (KAKENHI))</t>
  </si>
  <si>
    <t>This research is supported by the Australia Award Scholarship (AAS), Hadi Soesatro Prize, and the Australian Research Council (ARC) Centre of Excellence for Climate Extremes (CLEX) (CE170100023). We thank the Center for Regional Resources Development (PTPSW)-BRIN, Indonesia, together with the Japan Agency for the Marine-Earth Science and Technology (JAMSTEC), Japan for providing C-band Doppler radar from Hydrometeorological Array for Intraseasonal Variation-Monsoon Automonitoring (HARIMAU) Project (JFY 2005-2009), and the Science Technology Research Partnership for Sustainable Development (SATREPS) Maritime Continent Center of Excellence (MCCOE) Project (JFY 2009-2013) of the Japan Science and Technology Agency (JST)/Japan International Cooperation Agency (JICA). This research was conducted with the assistance of the resources and services from the National Computational Infrastructure (NCI), which is supported by the Australian government. A. King is supported by the ARC DECRA Fellowship (DE180100638) and C. Vincent is supported by the ARC CLEX (CE170100023).</t>
  </si>
  <si>
    <t>10.1175/MWR-D-21-0112.1</t>
  </si>
  <si>
    <t>WOS:000862937300005</t>
  </si>
  <si>
    <t>Vojinovic, Zoran; Hammond, Michael; Golub, Daria; Hirunsalee, Sianee; Weesakul, Sutat; Meesuk, Vorawit; Medina, Neiler; Sanchez, Arlex; Kumara, Sisira; Abbott, Michael</t>
  </si>
  <si>
    <t>This research proposes a holistic approach to flood risk assessment that combines quantitative and qualitative aspects. This approach was developed and applied in the Ayutthaya region in Thailand, which is a UNESCO World Heritage Site. First, flood risk was assessed traditionally as a product of hazard and vulnerability. Both qualitative and quantitative data were gathered from publicly available sources and through interviews, questionnaires, and focus group discussions to assess the vulnerability, using various weights for the different vulnerability dimensions. The hazard was assessed using a coupled 1D-2D flood model, and the resulting vulnerability and risk were mapped. Second, an alternative flood risk map was produced based on group mapping exercises with local residents, which captures the level of perceived risk. The traditional flood risk map was adjusted by varying the vulnerability weights to better match the perceived risk map. The analysis of these two maps revealed that two approaches to flood risk assessment can be used effectively in gaining different insights of the phenomena, and as such, they both should be used in flood risk management planning.</t>
  </si>
  <si>
    <t>[Vojinovic, Zoran; Hammond, Michael; Golub, Daria; Meesuk, Vorawit; Medina, Neiler; Sanchez, Arlex] UNESCO IHE Inst Water Educ, Delft, Netherlands; [Vojinovic, Zoran] Univ Exeter, Exeter, Devon, England; [Vojinovic, Zoran] Univ Belgrade, Sch Civil Engn, Belgrade, Serbia; [Hirunsalee, Sianee] Thammasat Univ, Rangsit Campus, Bangkok, Thailand; [Weesakul, Sutat] Asian Inst Technol, Bangkok 10501, Thailand; [Kumara, Sisira] Asian Disaster Preparedness Ctr, Bangkok, Thailand; [Abbott, Michael] EIIL, Knowledge Engn BVBA, Brussels, Belgium</t>
  </si>
  <si>
    <t>IHE Delft Institute for Water Education; University of Exeter; University of Belgrade; Thammasat University; Asian Institute of Technology</t>
  </si>
  <si>
    <t>Asian Development Bank; European Union(European Union (EU))</t>
  </si>
  <si>
    <t>This research was funded by the Asian Development Bank, under RETA 6498 Knowledge and Innovation Support for ADB's Water Financing Program (RETA 6498). This work was also partially funded by the European Union Seventh Framework Programme (FP7/2007-2013) under Grant agreement No 603663 for the research project PEARL (Preparing for Extreme And Rare events in coastaL regions). We would also like to thank the two anonymous reviewers for their valuable comments which helped improve the quality of this paper.</t>
  </si>
  <si>
    <t>10.1007/s11069-015-2098-7</t>
  </si>
  <si>
    <t>WOS:000370068400029</t>
  </si>
  <si>
    <t>Sharma, Devesh; Babel, Mukand Singh</t>
  </si>
  <si>
    <t>Trends in extreme daily temperature and rainfall have been analysed from 1961 to 2002 for the western Thailand (Mae Ping and Mae Klong river basins). Daily precipitation, maximum and minimum temperature data for 15 stations were analysed to calculate 21 extreme indices. The magnitude of trends was estimated using the linear regression method while its statistical significance was evaluated using the p-value at 5% significance level and Kendall-tau test. The result of the analysis depicts significant increase in the annual number of warm days and warm nights, with corresponding significant decreases in the annual number of cool days and cold nights. The warm spell duration indicator presents statistical rising trends. The trends for temperature indices are more consistent in the region compared to precipitation indices. There is insignificant decrease in annual total precipitation for nearly all stations. The maximum number of consecutive dry days (rain less than 1mm) is increasing. The number of days with rainfall more than 10 and 20mm has declined over both basins except at Kanchanaburi station. Analysis also reveals that there is less spatial coherent in other extreme indicators, namely, maximum 1-day and 5-days rainfall amount and simple daily intensity index.</t>
  </si>
  <si>
    <t>[Sharma, Devesh] Cent Univ Rajasthan, Dept Environm Sci, Kishangarh 305802, Ajmer, India; [Babel, Mukand Singh] Asian Inst Technol, Pathum Thani, Thailand</t>
  </si>
  <si>
    <t>Central University of Rajasthan (CURAJ); Asian Institute of Technology</t>
  </si>
  <si>
    <t>10.1002/joc.3846</t>
  </si>
  <si>
    <t>WOS:000337558200021</t>
  </si>
  <si>
    <t>In this work, an empirical mathematical model representing the relationship between global temperature, forest cover and seasonal rainfalls is constructed and validated using global temperature data for the years 1973-2010, Northern Thailand's forest area data for 1973-2008, and seasonal rainfall data for 1973-2011. The coefficient correlations of the model and the corresponding data are 0.8902, 0.9739 and 0.9751 respectively. Although there are some approximations and assumptions made throughout the analyses, statistical tests confirm that the proposed model can be used to predict the amount of rainfalls in the region. A case study on how government reforestation policy affects seasonal rainfalls is analyzed using the model modified to a solvable form. Three possible scenarios are created to predict possible outcomes of said policy. The results obtained show that under all scenarios, rainfalls increase in all seasons. Moreover, forest cover increase leads to more rainfall in the summer yet results in less rainfall in the other two seasons. The model can be modified and applied to predict rainfalls in other regions with similar topography and the climate after some statistical tests. (C) 2015 Elsevier B.V. All rights reserved.</t>
  </si>
  <si>
    <t>[Duangdai, Eakkapong; Likasiri, Chulin] Chiang Mai Univ, Fac Sci, Dept Math, Chiang Mai 50200, Thailand</t>
  </si>
  <si>
    <t>The authors thank Ms. Wiriya Sungkhaniyom for her proofreading help. The authors also thank the reviewers for their valuable inputs and comments, which have made this paper much more complete. This research was supported by the Center of Excellence in Mathematics and Applied Mathematics, Chiang Mai University.</t>
  </si>
  <si>
    <t>10.1016/j.jhydrol.2015.02.043</t>
  </si>
  <si>
    <t>WOS:000354503300021</t>
  </si>
  <si>
    <t>Khadka, Dibesh; Babel, Mukand S.; Collins, Matthew; Shrestha, Sangam; Virdis, Salvatore G. P.; Chen, Albert S.</t>
  </si>
  <si>
    <t>This study provides an assessment of changes in mean and extreme climate in northeast Thailand, focusing on the near-future period (2021-2050). Spatiotemporal changes in climate extremes and return values are investigated compared to 1981-2010. Climate model-related uncertainties are quantified using 14 models from the Coupled Model Intercomparison Project phase 5 (CMIP5) and 8 models from phase 6 (CMIP6). CMIP6 models have a higher sensitivity to external forcings as the CMIP6 ensemble suggests an increase in maximum and minimum temperatures by 1.45 degrees C (0.8-1.9 degrees C) and 1.54 degrees C (1.1-1.9 degrees C) under the high emission scenario, which is greater than by CMIP5 ensemble: 1.10 degrees C (0.5-1.7 degrees C) and 1.13 degrees C (0.7-1.6 degrees C), respectively. No significant changes in annual rainfall are projected, although it will be temporally more uneven with decreases (6-11%) during the pre-rainy season (March-May) and increases (2-8%) during the rainy season (June-October). The bootstrap analysis technique shows the inter-model uncertainties for rainfall projections in CMIP6 have reduced by 40% compared to CMIP5. The annual number of hot days will increase more than twofold and warm nights, more than threefold. Near-future will experience an increase in the rainfall intensity, a decrease in the number of rainy days, and an increase in the 20-year return values of annual maximum 1-day rainfall and consecutive 5-days rainfall (&gt;30%). In addition, the rainy season will be shortened in the future as onset and retreat are delayed, which may have implications in agricultural activities in the basin since cultivation is primarily rainfed. These findings suggest that anthropogenic activities will significantly amplify the climate extremes. The study results will be useful for managing climate-related risks and developing adaptation measures to improve resilience towards potential climate hazards.</t>
  </si>
  <si>
    <t>[Khadka, Dibesh; Babel, Mukand S.; Shrestha, Sangam] Asian Inst Technol, Sch Engn &amp; Technol, Dept Water Engn &amp; Management, Khlong Nueng, Thailand; [Collins, Matthew; Chen, Albert S.] Univ Exeter, Coll Engn Math &amp; Phys Sci, Exeter, Devon, England; [Virdis, Salvatore G. P.] Asian Inst Technol, Sch Engn &amp; Technol, Dept Remote Sensing &amp; Geog Informat Syst, Khlong Nueng, Thailand</t>
  </si>
  <si>
    <t>Asian Institute of Technology; University of Exeter; Asian Institute of Technology</t>
  </si>
  <si>
    <t>National Research Council of Thailand(National Research Council of Thailand (NRCT)); Natural Environment Research Council(UK Research &amp; Innovation (UKRI)Natural Environment Research Council (NERC)); Thailand Science Research and Innovation; NERC(UK Research &amp; Innovation (UKRI)Natural Environment Research Council (NERC))</t>
  </si>
  <si>
    <t>National Research Council of Thailand; Natural Environment Research Council, Grant/Award Number: NE/S002901/1; Thailand Science Research and Innovation, Grant/Award Number: RDG6130025</t>
  </si>
  <si>
    <t>10.1002/joc.7377</t>
  </si>
  <si>
    <t>WOS:000695692800001</t>
  </si>
  <si>
    <t>Nguyen, Huu Duy; Nguyen, Thi Ha Thanh; Nguyen, Quoc-Huy; Nguyen, Tien Giang; Dang, Dinh Kha; Nguyen, Y. Nhu; Bui, Thu Huong; Nguyen, Ngoc Diep; Bui, Quang-Thanh; Brecan, Petre; Petrisor, Alexandru-Ionut</t>
  </si>
  <si>
    <t>The effects of flooding can be very serious, especially in developing countries, where rapid urbanization and socio-economic development increases risk. Reliable information is crucial to support decision-makers develop appropriate strategies to reduce flood risk. This article aims to develop a framework for assessing flood risk and adaptive capacity, based on a bottom-up approach, in Vietnam's Gianh River watershed. Flood risk was computed by combining hazard, exposure, and vulnerability using hydrodynamic modeling and the Analytic Hierarchy Process method. The adaptive capacity of the population was assessed via interviews with 298 inhabitants. The results show that flood risk is high in areas with high population and construction density. Both the ability to access resources and communities' flood-risk perceptions are important factors in improving the capacity to adapt. This study can provide an important theoretical framework complementing the existing literature and supporting studies related to flood-risk management in the context of climate change and urbanization in other regions. The study also fills a gap in the knowledge of the negative effects of flooding. From a methodological standpoint, this study underlines the importance of using hydraulic models and socio-economic surveys in flood-risk management.</t>
  </si>
  <si>
    <t>[Nguyen, Huu Duy; Nguyen, Thi Ha Thanh; Nguyen, Quoc-Huy; Bui, Thu Huong; Nguyen, Ngoc Diep; Bui, Quang-Thanh] Vietnam Natl Univ, VNU Univ Sci, Fac Geog, 334 Nguyen Trai, Thanh Xuan Dist, Hanoi, Vietnam; [Nguyen, Tien Giang; Dang, Dinh Kha; Nguyen, Y. Nhu] Vietnam Natl Univ, VNU Univ Sci, Fac Hydrol Meteorol &amp; Oceanog, 334 Nguyen Trai, Thanh Xuan Dist, Hanoi, Vietnam; [Brecan, Petre] Valahia Univ Targoviste, Fac Humanities, Dept Geog, Targoviste 130004, Romania; [Petrisor, Alexandru-Ionut] Ion Mincu Univ Architecture &amp; Urbanism, Doctoral Sch Urban Planning, Bucharest, Romania; [Petrisor, Alexandru-Ionut] Natl Inst Res &amp; Dev Tourism, Bucharest, Romania; [Petrisor, Alexandru-Ionut] URBAN INCERC, Natl Inst Res &amp; Dev Construct, Urbanism &amp; Sustainable Spatial Dev, Bucharest, Romania</t>
  </si>
  <si>
    <t>Vietnam National University Hanoi; Vietnam National University Hanoi; Valahia University of Targoviste; Ion Mincu University of Architecture &amp; Urbanism</t>
  </si>
  <si>
    <t>Postdoctoral Scholarship Programme of Vingroup Innovation Foundation (VINIF)</t>
  </si>
  <si>
    <t>Huu Duy Nguyen was funded by the Postdoctoral Scholarship Programme of Vingroup Innovation Foundation (VINIF), code VINIF.2022.STS.24.</t>
  </si>
  <si>
    <t>10.1007/s11069-023-06098-4</t>
  </si>
  <si>
    <t>WOS:001045756300001</t>
  </si>
  <si>
    <t>Quan Tran Anh; Taniguchi, Kenji</t>
  </si>
  <si>
    <t>The hybrid dynamical-statistical downscaling approach is an effort to combine the ability of dynamical downscaling to resolve fine-scale climate changes with the low computational cost of statistical downscaling. In this study, we propose a dynamical-statistical downscaling technique by incorporating a regional climate model (RCM) with artificial neural networks (ANN) to downscale rainfall information over the Red River Delta in Vietnam. First, dynamical downscaling was performed with an RCM driven by the reanalysis to produce nested 30-and 6-km resolution simulations. Subsequently, the 6-km simulation was compared to rain gauge data to examine the ability of the RCM to reproduce known climate conditions. Then, in the statistical downscaling step, the ANN was trained to predict rainfall in the 6-km domain based on weather predictors in the 30-km simulation. Statistical downscaling results were compared with the original output from RCM to determine the accuracy of the coupling method. A bias correction method to locate no-rainfall events in the ANN downscaling result was also developed to enhance the credibility of the final results. The outcomes of this study illustrate that ANN can produce RCM-like results (r &gt; 0.9) at a fraction of the cost, with an 89% reduction in the required computational power.</t>
  </si>
  <si>
    <t>[Quan Tran Anh] Kanazawa Univ, Sch Nat Sci &amp; Engn, Kakuma Machi, Kanazawa, Ishikawa 9201192, Japan; [Taniguchi, Kenji] Kanazawa Univ, Sch Environm Design, Kakuma Machi, Kanazawa, Ishikawa 9201192, Japan</t>
  </si>
  <si>
    <t>Kanazawa University; Kanazawa University</t>
  </si>
  <si>
    <t>MAY 3</t>
  </si>
  <si>
    <t>10.1186/s40645-018-0185-6</t>
  </si>
  <si>
    <t>WOS:000431944600001</t>
  </si>
  <si>
    <t>Huang, Hu; Huyskens, Magdalena H.; Yin, Qing-Zhu; Cawood, Peter A.; Hou, Mingcai; Yang, Jianghai; Xiong, Fuhao; Du, Yuansheng; Yang, Chenchen</t>
  </si>
  <si>
    <t>The Emeishan large igneous province (LIP), southwestern China and northern Vietnam, is thought to have been a potential driver for the biotic crises and paleoclimate changes around the Guadalupian-Lopingian boundary (GLB; Permian), but the lack of high-precision radiometric dates to constrain the duration and eruption rates of the volcanism has limited the assessment of their relationship. We present new chemical abrasion-isotope dilution-isotope ratio mass spectrometry U-Pb zircon geochronology of three samples from the lowermost and uppermost parts of the volcanic succession in the central portion of the Emeishan LIP. The results demonstrate that Emeishan volcanism began by 260.55 +/- 0.07 Ma and persisted until at least 257.22 +/- 0.37 Ma. Combined with a previously published age of 259.1 +/- 0.5 Ma for silicic ignimbrites, we estimate that similar to 85% of Emeishan LIP volume erupted within 1.45 +/- 0.50 m.y. Our new results confirm that the Emeishan volcanism began slightly prior to the initiation of the associated mass extinction event and was contemporaneous with the associated warming interval. The new data support the hypothesis that the Emeishan LIP likely triggered the biotic crises and paleoclimate changes around the GLB.</t>
  </si>
  <si>
    <t>[Huang, Hu; Hou, Mingcai; Xiong, Fuhao; Yang, Chenchen] Chengdu Univ Technol, Inst Sedimentary Geol, State Key Lab Oil &amp; Gas Reservoir Geol &amp; Exploita, Chengdu 610059, Peoples R China; [Huyskens, Magdalena H.; Yin, Qing-Zhu] Univ Calif Davis, Dept Earth &amp; Planetary Sci, Davis, CA 95616 USA; [Cawood, Peter A.] Monash Univ, Sch Earth Atmosphere &amp; Environm, Melbourne, Vic 3800, Australia; [Yang, Jianghai; Du, Yuansheng] China Univ Geosci, State Key Lab Biogeol &amp; Environm Geol, Wuhan 430074, Peoples R China</t>
  </si>
  <si>
    <t>Chengdu University of Technology; University of California System; University of California Davis; Monash University; China University of Geosciences</t>
  </si>
  <si>
    <t>National Natural Science Foundation of China(National Natural Science Foundation of China (NSFC)); Australian Research Council(Australian Research Council)</t>
  </si>
  <si>
    <t>We thank editor William Clyde, Yigang Xu, and two anonymous reviewers for their constructive comments and suggestions. This study was supported by National Natural Science Foundation of China grants (41888101, 41972103, 42122015, 41502109, and 41872106). Peter Cawood acknowledges support from Australian Research Council grant FL160100168.</t>
  </si>
  <si>
    <t>10.1130/G50183.1</t>
  </si>
  <si>
    <t>WOS:000864681300022</t>
  </si>
  <si>
    <t>Luu Kim Phung; Tran Gia Han; Tran Thi Thuy An; Lavane, Kim; Kumar, Pankaj; Downes, Nigel K.; Huynh Vuong Thu Minh</t>
  </si>
  <si>
    <t>As water scarcity puts over 80% of the world's population at risk, water quality has become a major environmental topic. In particular, climate change has jeopardised the quality of water within the Vietnamese Mekong Delta (VMD), a key agronomic and aquaculture hub. A modest canal system and small to medium-sized reservoirs in the semi-mountain region of An Giang province contribute to a less abundant water supply and a tendency for water quality reservoirs to deteriorate. The water quality index method and descriptive technique were used in this study. The results show that in the period 2017-2020, some water quality indicators exceeded the permissible limits of the Vietnamese standards for domestic surface water in column B1 (NO3-, Total Coliform, BOD5, COD, N-NH4+) but are consistent, but are allowed for use in irrigation purposes. Findings show that for many years, WQI values in Tinh Bien and Tri Ton districts have diminished because of wastewater pollution. WQI values near the shores of O Tuk Sa Reservoir (Tinh Bien), Loi danh may (Tri Ton), and O Ta Soc Reservoir (Tri Ton) diminished over time. According to the WQI index, the water quality at the reservoir monitoring stations has fluctuated throughout the years, so it is advised that people implement water purification techniques for long-term well-being.</t>
  </si>
  <si>
    <t>[Luu Kim Phung; Tran Gia Han; Tran Thi Thuy An; Lavane, Kim; Downes, Nigel K.; Huynh Vuong Thu Minh] Can Tho Univ, Coll Environm &amp; Nat Resources, Can Tho, Vietnam; [Kumar, Pankaj] Inst Global Environm Strategies, Hayama, Kanagawa 2400115, Japan</t>
  </si>
  <si>
    <t>Can Tho University</t>
  </si>
  <si>
    <t>10.3233/JCC230018</t>
  </si>
  <si>
    <t>WOS:001064161100002</t>
  </si>
  <si>
    <t>Alejo, Lanie A.; Alejandro, Arlen S.</t>
  </si>
  <si>
    <t>The lack of sufficient rainfall data has been a common problem that hampers water resources planning in many developing countries with sparse weather monitoring networks. Satellite rainfall data requires validation to be considered adequate for any purpose it may serve. This study aimed to validate the Climate Hazards Group Infrared Precipitation with Stations (CHIRPS) ability to estimate monthly rainfall amounts and detect rainfall occurrences for various water resources planning over the four types of climate in the Philippines. It was validated using data from 68 rainfall stations. The results showed that CHIRPS performed best during the dry seasons, and its performance was well correlated with climate type. It was found that the best estimate of rainfall amount is in Climate Type I. The CHIRPS showed adequate performance in reproducing rainfall amount in Climate Types II and III. Its lowest performance was seen in Climate Type IV with 50% of the stations having adequate CHIRPS estimates of monthly rainfall amount. The CHIRPS had the best results at detecting rainfall occurrences during dry seasons when random chances are accounted for, otherwise, it detected better rainfall occurrence during wet seasons. It consistently over detected rainfall occurrences across climate types and seasons. The validation showed that CHIRPS data on the monthly time scale could be applied in water resources planning especially for drought assessments. The results may serve as a useful reference to many water managers and policy- and decision-makers as the country could only currently rely on a sparse weather monitoring network for observed rainfall data which are of utmost importance in water resources planning.</t>
  </si>
  <si>
    <t>[Alejo, Lanie A.] Isabela State Univ, Dept Agr &amp; Biosyst Engn, Coll Engn, Echague 3309, Isabela, Philippines; [Alejandro, Arlen S.] Natl Irrigat Adm, Magat River Integrated Irrigat Syst Dam &amp; Reservo, Ramon 3309, Isabela, Philippines</t>
  </si>
  <si>
    <t>Isabela State University</t>
  </si>
  <si>
    <t>DOST-Engineering Research and Development for Technology(Department of Science &amp; Technology (DOST), Philippines); DOST-Science Education Institute(Department of Science &amp; Technology (DOST), Philippines); DOST-Philippine Council for Agriculture, Aquatic and Natural Resources Research and Development(Department of Science &amp; Technology (DOST), Philippines); Department of Agriculture-Bureau of Agricultural Research</t>
  </si>
  <si>
    <t>This research was funded and supported by the DOST-Engineering Research and Development for Technology and the DOST-Science Education Institute, the DOST-Philippine Council for Agriculture, Aquatic and Natural Resources Research and Development, and the Department of Agriculture-Bureau of Agricultural Research. The authors would also like to recognize the assistance of the DOST-Philippine Atmospheric, Geophysical and Astronomical Services Administration particularly the Impact Assessment and Applications Section of the Climatology and Agrometeorology Division for providing the ground-based rainfall data for free and Ms. Marissa Hernando-Valdez for proofreading this paper.</t>
  </si>
  <si>
    <t>10.1007/s00704-021-03685-y</t>
  </si>
  <si>
    <t>WOS:000659878400002</t>
  </si>
  <si>
    <t>Takemura, Kazuto; Mukougawa, Hitoshi; Maeda, Shuhei</t>
  </si>
  <si>
    <t>Future change of Rossby wave breaking (RWB) frequency over the middle North Pacific (MNP) in August and the related features of large-scale atmospheric circulation are examined using large-ensemble simulations of current and future climates with a global circulation model. Correlation analysis indicates that the RWB frequency over the MNP in the current climate can show a relationship with El-Nino Southern Oscillation as reanalysis. The RWB frequency in the future climate shows significant decreases over the MNP, compared with that in the current climate. The large-scale atmospheric circulation in the upper troposphere in the future climate indicates a significant weakening of the Asian summer monsoon circulation and the consequent southward shifted Asian jet. The decreased RWB frequency over the MNP is associated with the modulated Asian jet through reduced diffluence and deceleration of the jet in the basic state over the region. Rossby wave propagation over Eurasia and the North Pacific in midlatitudes is also clearly reduced in the future climate, consistent with the decreased RWB frequency over the MNP. The correlation and histogram analyses of the current and future experiments indicate that the significantly decreased RWB frequency over the MNP is associated with significantly suppressed convective activities east of the Philippines in the future climate. The diagnosis using omega-equation further shows the dynamical impact of the decreased RWB frequency on the suppressed convective activities through the weakened extension of the Mid-Pacific trough and the consequent weakening of dynamically induced ascent east of the Philippines.</t>
  </si>
  <si>
    <t>[Takemura, Kazuto; Mukougawa, Hitoshi] Kyoto Univ, Grad Sch Sci, Kyoto, Japan; [Takemura, Kazuto] Japan Meteorol Agcy, Climate Predict Div, Tokyo, Japan; [Maeda, Shuhei] Japan Meteorol Agcy, Aerol Observ, Tsukuba, Ibaraki, Japan</t>
  </si>
  <si>
    <t>Kyoto University; Japan Meteorological Agency; Japan Meteorological Agency</t>
  </si>
  <si>
    <t>Data Integration and Analysis System (DIAS); JSPS KAKENHI(Ministry of Education, Culture, Sports, Science and Technology, Japan (MEXT)Japan Society for the Promotion of ScienceGrants-in-Aid for Scientific Research (KAKENHI)); Environmental Restoration and Conservation Agency of Japan; Grants-in-Aid for Scientific Research(Ministry of Education, Culture, Sports, Science and Technology, Japan (MEXT)Japan Society for the Promotion of ScienceGrants-in-Aid for Scientific Research (KAKENHI))</t>
  </si>
  <si>
    <t>The authors are very grateful to an editor Dr. Ryo Mizuta and two anonymous reviewers for their constructive and helpful comments. The Generic Mapping Tools (GMT) were used to create the graphics. This study was supported by the Data Integration and Analysis System (DIAS), and the dataset of d4PDF used in this study is available from the DIAS website (http://search.diasjp.net/ja/dataset/d4PDF_GCM).This study was partly supported by the JSPS KAKENHI Grant (18H01280, 18K03734). This work was also supported by the Environment Research and Technology Development Fund (2-1904) of the Environmental Restoration and Conservation Agency of Japan.</t>
  </si>
  <si>
    <t>10.2151/jmsj.2021-042</t>
  </si>
  <si>
    <t>WOS:000686549400002</t>
  </si>
  <si>
    <t>Feng, Juan; Wang, Lin; Chen, Wen</t>
  </si>
  <si>
    <t>Modulation of the Pacific decadal oscillation (PDO) on the behavior of the East Asian summer monsoon (EASM) in El Nino decaying years has been studied. When El Nino is in phase with the PDO (El Nino/high PDO), the low-level atmospheric anomalies are characterized by an anticyclone around the Philippines and a cyclone around Japan, inducing an anomalous tripolar rainfall pattern in China. In this case, the western Pacific subtropical high (WPSH) experiences a one-time slightly northward shift in July and then stays stationary from July to August. The corresponding anomalous tripolar rainfall pattern has weak subseasonal variations. When El Nino is out of phase with the PDO (El Nino/low PDO), however, the anomalous Philippines anticyclone has a much larger spatial domain, thereby causing an anomalous dipole rainfall pattern. Accordingly, WPSH experiences clearly two northward shifts. Therefore, the related dipole rainfall pattern has large subseasonal variations. One pronounced feature is that the positive rainfall anomalies shift northward from southern China in June to central China in July and finally to northern China in August. The different El Nino-EASM relationships are caused by the influences of PDO on the decaying speed of El Nino. During the high PDO phase, El Nino decays slowly and has a strong anchor in the north Indian Ocean warming, which is responsible for the anomalous EASM. Comparatively, during the low PDO phase, El Nino decays rapidly and La Nina develops in summer, which induces different EASM anomalies from that during the high PDO phase. Additionally, PDO changes El Nino behaviors mainly via modifying the background tropical winds.</t>
  </si>
  <si>
    <t>[Feng, Juan; Wang, Lin; Chen, Wen] Chinese Acad Sci, Inst Atmospher Phys, Ctr Monsoon Syst Res, Beijing, Peoples R China</t>
  </si>
  <si>
    <t>Chinese Academy of Sciences; Institute of Atmospheric Physics, CAS</t>
  </si>
  <si>
    <t>National Natural Science Foundation of China(National Natural Science Foundation of China (NSFC)); Chinese Academy of Sciences(Chinese Academy of Sciences); Jiangsu Collaborative Innovation Center for Climate Change; Grants-in-Aid for Scientific Research(Ministry of Education, Culture, Sports, Science and Technology, Japan (MEXT)Japan Society for the Promotion of ScienceGrants-in-Aid for Scientific Research (KAKENHI))</t>
  </si>
  <si>
    <t>The valuable comments and suggestions from three reviewers and editor have led to a significant improvement of this paper. This study is supported jointly by the National Natural Science Foundation of China (41025017, 41230527, and 41205047) and the Chinese Academy of Sciences (KZCX2-EW-QN204). This work is also supported by the Jiangsu Collaborative Innovation Center for Climate Change.</t>
  </si>
  <si>
    <t>10.1175/JCLI-D-13-00015.1</t>
  </si>
  <si>
    <t>WOS:000333382100014</t>
  </si>
  <si>
    <t>Manzanas, R.; Brands, S.; San-Martin, D.; Lucero, A.; Limbo, C.; Gutierrez, J. M.</t>
  </si>
  <si>
    <t>This work shows that local-scale climate projections obtained by means of statistical downscaling are sensitive to the choice of reanalysis used for calibration. To this aim, a generalized linear model (GLM) approach is applied to downscale daily precipitation in the Philippines. First, the GLMs are trained and tested separately with two distinct reanalyses (ERA-Interim and JRA-25) using a cross-validation scheme over the period 1981-2000. When the observed and downscaled time series are compared, the attained performance is found to be sensitive to the reanalysis considered if climate change signal-bearing variables (temperature and/or specific humidity) are included in the predictor field. Moreover, performance differences are shown to be in correspondence with the disagreement found between the raw predictors from the two reanalyses. Second, the regression coefficients calibrated either with ERA-Interim or JRA-25 are subsequently applied to the output of a global climate model (MPI-ECHAM5) in order to assess the sensitivity of local-scale climate change projections (up to 2100) to reanalysis choice. In this case, the differences detected in present climate conditions are considerably amplified, leading to delta-change'' estimates differing by up to 35% (on average for the entire country) depending on the reanalysis used for calibration. Therefore, reanalysis choice is an important contributor to the uncertainty of local-scale climate change projections and, consequently, should be treated with as much care as other better-known sources of uncertainty (e.g., the choice of the GCM and/or downscaling method). Implications of the results for the entire tropics, as well as for the model output statistics downscaling approach are also briefly discussed.</t>
  </si>
  <si>
    <t>[Manzanas, R.] Univ Cantabria, Grp Meteorol, Dept Matemat Aplicada &amp; CC Comp, E-39005 Santander, Spain; [Brands, S.; Gutierrez, J. M.] Univ Cantabria, Grp Meteorol, Inst Fis Cantabria, CSIC, E-39005 Santander, Spain; [San-Martin, D.] Predictia Intelligent Data Solut, Santander, Spain; [Lucero, A.; Limbo, C.] Philippine Atmospher Geophys &amp; Astron Serv Adm, Quezon City, Philippines</t>
  </si>
  <si>
    <t>Universidad de Cantabria; Consejo Superior de Investigaciones Cientificas (CSIC); Universidad de Cantabria; CSIC - Instituto de Fisica de Cantabria (IFCA)</t>
  </si>
  <si>
    <t>EU - European Commission(European Union (EU)European Commission Joint Research Centre); European Commission(European Union (EU)European Commission Joint Research Centre); CSIC-JAE-Predoc Program</t>
  </si>
  <si>
    <t>The authors are grateful to the free distribution of the ECMWF ERA-Interim (http://www.ecmwf.int/en/research/climate-reanalysis/era-interim), JMA JRA-25 (http://jra.kishou.go.jp/JRA-25/index_en.html), and MPI-ECHAM5 data (http://cera-www.dkrz.de/WDCC/ui/Compact.jsp?acronym=ENSEMBLES_MPEH5_SRA1B_3_D) and acknowledge PAGASA for the observational data provided. This study was supported by the EU projects QWeCI and SPECS, funded by the European Commission through the Seventh Framework Programme for Research under Grant Agreements 243964 and 308378, respectively. RM also acknowledges the EU project EUPORIAS, funded by the European Commission through the Seventh Framework Programme for Research under Grant Agreement 308291. SB is grateful to the CSIC-JAE-Predoc Program for financial support.</t>
  </si>
  <si>
    <t>10.1175/JCLI-D-14-00331.1</t>
  </si>
  <si>
    <t>WOS:000354370100016</t>
  </si>
  <si>
    <t>Sunilkumar, K.; Yatagai, Akiyo; Masuda, Minami</t>
  </si>
  <si>
    <t>Evaluation of Global Precipitation Measurement-Integrated Multi-satellitE Retrieval for GPM (GPM-IMERG) final precipitation product is performed over Japan, Nepal, and Philippines regions against further improved APHRODITE-2 V1801R1 product. The evolution is carried out for nearly two consecutive years 2014-2015. Various qualitative and quantitative statistical indices such as mean bias, root-mean-square error, correlation coefficient, false alarming ratio, and probability of detection are considered to evaluate GPM-IMERG precipitation estimates with APHRODITE-2. Intraseasonal variability of two products is shown to explore the seasonal dependency of GPM-IMERG performance. The performance of GPM-IMERG research product with respect to rainfall intensity is shown by the cumulative probability distribution of target and reference data sets. Percentile-based statistics is implemented for evaluating the advantages of GPM-IMERG over Tropical Rainfall Measuring Mission-3B42 while detecting the light and heavy rainfall events during wet/dry seasons. The overall performance of GPM-IMERG seems to be good over Japan followed by Philippines and Nepal regions. This feature is clearly evidenced in terms of mean bias, root-mean-square error, and correlation magnitudes over three regions. GPM-IMERG shows ability to follow the intraseasonal variability as shown by APHRODITE-2 product with minor differences observed in precipitation maximum values during rainy season. Good agreement is seen between GPM-IMERG and APHRODITE-2 at different rainfall intensities except underestimation during heavy rainfall events. GPM-IMERG seems to be improved in detecting light/heavy rainfall event magnitude than TRM-3B42. However, the performance of both data sets encountered clear dependency on seasons.</t>
  </si>
  <si>
    <t>[Sunilkumar, K.] Indian Inst Trop Meteorol, Pune, Maharashtra, India; [Sunilkumar, K.; Yatagai, Akiyo; Masuda, Minami] Hirosaki Univ, Fac Sci &amp; Technol, Aomori, Japan</t>
  </si>
  <si>
    <t>Ministry of Earth Sciences (MoES) - India; Indian Institute of Tropical Meteorology (IITM); Hirosaki University</t>
  </si>
  <si>
    <t>Environmental Restoration and Conservation Agency</t>
  </si>
  <si>
    <t>This research was supported by the Environment Research and Technology Development Fund (2-1602) of the Environmental Restoration and Conservation Agency. The authors are thankful to GPM-IMERG data providers for making it available to carry on this study (https://pmm.nasa.gov/gpm).The authors are also thankful to the Automated Meteorological Data Acquisition System (AMeDAS), Japan, Department of Hydrology and Meteorology (DHM), Nepal, and The Philippines Atmospheric, Geophysical and Astronomical Service Administration (PAGASA), Philippines, for sharing their original station data with APHRODITE-2.</t>
  </si>
  <si>
    <t>2333-5084</t>
  </si>
  <si>
    <t>EARTH SPACE SCI</t>
  </si>
  <si>
    <t>Earth Space Sci.</t>
  </si>
  <si>
    <t>10.1029/2018EA000503</t>
  </si>
  <si>
    <t>Astronomy &amp; Astrophysics; Geosciences, Multidisciplinary</t>
  </si>
  <si>
    <t>WOS:000490955600001</t>
  </si>
  <si>
    <t>Yu, Hua; Wang, Chao; Ge, Xuyang</t>
  </si>
  <si>
    <t>In this study, two leading modes of the late season (October-December) TC track frequency are identified with the empirical orthogonal function analysis. It is found that circulation anomalies associated with the two modes are linked to the concurrent El Nino-Southern Oscillation (ENSO), but with distinct locations of maximum sea surface temperature (SST). For the first mode, the maximum SST warming and the resulted heating can extend to the equatorial central Pacific, which emanates a cyclonic circulation extending to the east of the Philippines, and then generates an anti-cyclonic circulation to the west of the Philippines by dry advection and local air-sea interaction. In contrast, for the second mode, the maximum SST warming and the corresponding heating shift eastward to the equatorial eastern Pacific, the related cyclonic circulation, and the compensation descending motion migrate eastward and are confined to the east of 150 degrees E. The associated suppressed heating then emanates an anti-cyclonic circulation to the west of 150 degrees E. These anomalous circulations can modulate TC genesis and steering flow and thus contribute to variations in the two modes. A set of physics-based empirical models is further built, which shows a promising pathway for the seasonal forecasting of the two modes and the basin-wide total TC track frequency. The results highlight the importance of the location of ENSO maximum SST in understanding and seasonal prediction of the late-season TC tracks over the WNP.</t>
  </si>
  <si>
    <t>[Ge, Xuyang] Nanjing Univ Informat Sci &amp; Technol, Joint Int Res Lab Climate &amp; Environm Change, Minist Educ, Key Lab Meteorol Disaster, Nanjing, Peoples R China; Nanjing Univ Informat Sci &amp; Technol, Collaborat Innovat Ctr Forecast &amp; Evaluat Meteoro, Nanjing, Peoples R China</t>
  </si>
  <si>
    <t>Nanjing University of Information Science &amp; Technology; Nanjing University of Information Science &amp; Technology</t>
  </si>
  <si>
    <t>National Natural Science Foundation of China(National Natural Science Foundation of China (NSFC)); National Key Research and Development Program of China</t>
  </si>
  <si>
    <t>Funding This study was jointly supported by the National Natural Science Foundation of China (Grant Nos. 42175003 and 42075031) and the National Key Research and Development Program of China (Grant Nos. 2019YFC1510201). All sources of funding were received for the research being submitted.</t>
  </si>
  <si>
    <t>FEB 7</t>
  </si>
  <si>
    <t>10.3389/feart.2022.835001</t>
  </si>
  <si>
    <t>WOS:000760666800001</t>
  </si>
  <si>
    <t>Dong, Zizhen; Wang, Lin; Xu, Peiqiang; Pimonsree, Sittichai; Limsakul, Atsamon; Singhruck, Patama</t>
  </si>
  <si>
    <t>Based on several observational and reanalysis datasets for the winters 1901-2017, this study investigates the interdecadal (ID) variation of the Southeast Asian rainfall (SEAR) and its potential drivers. The dominant mode of the wintertime SEAR on the ID time scale features enhanced precipitation over the eastern Maritime Continent and the Philippines and a slight decrease of precipitation over the western Maritime Continent, or the opposite sign. The ID SEAR variability peaks at the 8-16-yr period and explains more than 20% of the total variance regardless of the datasets and period considered, highlighting the importance of the ID variability of the SEAR. The atmospheric circulation that facilitates abundant ID SEAR is characterized by enhanced lower-tropospheric wind convergence and cyclonic anomalies over the South China Sea and the Philippines. On the one hand, this wind convergence is attributed to the enhanced Walker circulation induced by the negative phase of the interdecadal Pacific oscillation (IPO). On the other hand, it is attributed to the enhanced northerly anomalies along the coast of East Asia induced by a strong East Asian winter monsoon (EAWM) and reduced autumn Arctic sea ice in the Barents-Kara Seas. These mechanisms are further confirmed by model experiments from phase 5 of the Coupled Model Intercomparison Project (CMIP5). The effects of the IPO, EAWM, and Arctic sea ice on the SEAR are mostly independent. They together explain approximately 70% of the SEAR variance on the ID time scale.</t>
  </si>
  <si>
    <t>[Dong, Zizhen; Wang, Lin; Xu, Peiqiang] Chinese Acad Sci, Ctr Monsoon Syst Res, Inst Atmospher Phys, Beijing, Peoples R China; [Dong, Zizhen; Wang, Lin; Xu, Peiqiang] Univ Chinese Acad Sci, Coll Earth &amp; Planetary Sci, Beijing, Peoples R China; [Pimonsree, Sittichai] Univ Phayao, Sch Energy &amp; Environm, Atmospher Pollut &amp; Climate Change Res Unit, Phayao, Thailand; [Limsakul, Atsamon] Environm Res &amp; Training Ctr, Pathum Thani, Thailand; [Singhruck, Patama] Chulalongkorn Univ, Fac Sci, Dept Marine Sci, Bangkok, Thailand</t>
  </si>
  <si>
    <t>Chinese Academy of Sciences; Institute of Atmospheric Physics, CAS; Chinese Academy of Sciences; University of Chinese Academy of Sciences, CAS; University of Phayao; Chulalongkorn University</t>
  </si>
  <si>
    <t>National Natural Science Foundation of China(National Natural Science Foundation of China (NSFC)); Chinese Academy of Sciences(Chinese Academy of Sciences); Thailand Research Fund(Thailand Research Fund (TRF))</t>
  </si>
  <si>
    <t>We thank the three anonymous reviewers for their valuable comments and suggestions to improve the manuscript. ZZD, LW, and PQX were supported by the National Natural Science Foundation of China (41925020, 41721004) and the Chinese Academy of Sciences (QYZDY-SSW-DQC024). SP, AL, and PS were supported by the Thailand Research Fund (RDG6030002).</t>
  </si>
  <si>
    <t>10.1175/JCLI-D-20-0480.1</t>
  </si>
  <si>
    <t>WOS:000644149900014</t>
  </si>
  <si>
    <t>Zhao, Wenpeng; Abhishek; Kinouchi, Tsuyoshi</t>
  </si>
  <si>
    <t>Updating the existing intensity-duration-frequency (IDF) curves (focusing on 1-24 h) to reduce the global warming risks are typically based on regional climate models (RCMs). However, uncertainties are known to be present in such updating and need quantifying, especially whether bias correction (BC) methods should be used or not is less understood. Furthermore, the updating is still challenging for flood-prone cities in Southeast Asia due to a lack of sub-daily gauge-based observations. Therefore, in this study, firstly, we investigate the uncertainties related to the use of the BC, and the choices of different RCMs, RCP scenarios, parameter estimation methods by using the 'analysis of variance' method. Secondly, we propose a framework for developing and updating IDF curves in the data-scarce city (with only daily gauge observations) in Cambodia (Phnom Penh City (PPC)) by utilizing the rainfall information from the nearby cities (Ho Chi Minh City (HCMC) and Can Tho City (CTC) in Vietnam), based on the scaling property of rainfall duration versus intensity. A comparison between the RCMs with and without BC reveals that BC can efficiently remove the model bias, and the changes of rainfall intensity with BC are consistent with the underlying physical mechanisms (i.e., where atmospheric circulation tends to drive a larger increase in rarer rainfall events than less rare ones), supporting the application of BC before developing IDF curves. Further quantification of different uncertainty sources reveals that RCMs account for the largest share of the total variance (41.0% and 47.9% in HCMC and CTC, respectively). It is followed by the BC, with 39.4% and 29.7% in the two cities, respectively. RCP scenarios and parameter estimation methods provide the comparable and lowest uncertainty. The projected IDF curves in PPC, developed based on the integrated rainfall information (i.e., daily rainfall in PPC and scaling properties in nearby cities), reveal an apparent upshift (e.g., 33.6-43.7% increase in 20-year rainfall intensity in the near future (2026-2045) under RCP 4.5) of the IDF curves compared with the curves in the historical period (1986-2005). However, the deep uncertainty in such projection requires us to adopt a dynamic adaption strategy that can be iteratively updated based on new information. The current framework on quantifying different uncertainty sources and updating the IDF curves for data-scarce cities can provide suggestions for similar studies in other regions globally.</t>
  </si>
  <si>
    <t>[Zhao, Wenpeng; Abhishek; Kinouchi, Tsuyoshi] Tokyo Inst Technol, Dept Transdisciplinary Sci &amp; Engn, Tokyo, Japan</t>
  </si>
  <si>
    <t>Tokyo Institute of Technology</t>
  </si>
  <si>
    <t>Japan Society for the Promotion of Science (JSPS) Bilateral Joint Research Program(Ministry of Education, Culture, Sports, Science and Technology, Japan (MEXT)Japan Society for the Promotion of Science); China Scholarship Council (CSC)(China Scholarship Council)</t>
  </si>
  <si>
    <t>This study was sponsored by the Japan Society for the Promotion of Science (JSPS) Bilateral Joint Research Program and the China Scholarship Council (CSC). We thank the ICTP, SMHI for making the precipitation products available for this study.</t>
  </si>
  <si>
    <t>JUN 1</t>
  </si>
  <si>
    <t>10.1016/j.atmosres.2022.106070</t>
  </si>
  <si>
    <t>WOS:000819867600003</t>
  </si>
  <si>
    <t>Magnaye, Angela Monina T.; Aragon, Larry Ger B.; Dado, Julie Mae B.; Cruz, Faye T.; Olaguera, Lyndon Mark P.; Narisma, Gemma T.; Tangang, Fredolin; Juneng, Liew; Ngo-Duc, Thanh; Phan-Van, Tan; Santisirisomboon, Jerasorn; Singhruck, Patama; Gunawan, Dodo; Aldrian, Edvin; Sopaheluwakan, Ardhasena</t>
  </si>
  <si>
    <t>This paper investigates the process behind climate model biases, especially in rainfall, during the southwest (June to August; JJA) and northeast monsoon (December to February; DJF) seasons over the Philippines using the downscaled Coupled Model Intercomparison Project Phase 5 (CMIP5) simulations of the Southeast Asia Regional Climate Downscaling/Coordinated Regional Climate Downscaling Experiment-Southeast Asia (SEACLID/CORDEX-SEA). Biases in the surface and near-surface climate are assessed over land in eastern (EastPH) and western (WestPH) Philippines using observation and reanalysis datasets. Results show that models with well-represented sea surface temperature (SST) provided better added values after downscaling. Although the CMIP5-driven models tend to overestimate both surface energy and water partitioning, simulations with well-represented SST have better surface energy partitions. In contrast to the reference simulation driven by ERA-Interim reanalysis, the CMIP5-driven simulations tend to underestimate (overestimate) moisture flux convergence during the DJF (JJA) season, which might have contributed to the overall underestimation (overestimation) of rainfall in this season. Further investigation along a vertical transect shows the differences in governing mechanisms for each season. During DJF (JJA) season, the simulation with underestimated (overestimated) SST, near-surface air temperature, and mixing ratio results in underestimated (overestimated) rainfall over EastPH (WestPH). In addition, the CMIP5-driven models were found to overestimate low-level winds, which may have induced the deep convection regardless of season, suggesting the role of low-level winds in the convection scheme used in RegCM4 aside from topography and land cover.</t>
  </si>
  <si>
    <t>[Magnaye, Angela Monina T.; Aragon, Larry Ger B.; Dado, Julie Mae B.; Cruz, Faye T.; Olaguera, Lyndon Mark P.; Narisma, Gemma T.] Reg Climate Syst Lab, Manila Observ, Quezon City, Philippines; [Olaguera, Lyndon Mark P.; Narisma, Gemma T.] Ateneo Manila Univ, Dept Phys, Quezon City, Philippines; [Tangang, Fredolin; Juneng, Liew] Univ Kebangsaan Malaysia, Dept Earth Sci &amp; Environm, Bangi, Malaysia; [Tangang, Fredolin; Santisirisomboon, Jerasorn] Ramkhamhang Univ, Ramkhamhaeng Univ Ctr Reg Climate Change &amp; Renewab, Bangkok, Thailand; [Ngo-Duc, Thanh] Univ Sci &amp; Technol Hanoi, Vietnam Acad Sci &amp; Technol, Dept Space &amp; Applicat, Hanoi, Vietnam; [Phan-Van, Tan] VNU Univ Sci, Dept Meteorol &amp; Climate Change, Hanoi, Vietnam; [Singhruck, Patama] Chulalongkorn Univ, Fac Sci, Dept Marine Sci, Bangkok, Thailand; [Gunawan, Dodo] Ctr Climate Change Informat, Agcy Meteorol Climatol &amp; Geophys BMKG, Jakarta, Indonesia; [Aldrian, Edvin] Natl Agcy Res &amp; Innovat BRIN, Ctr Climate &amp; Atmosphere, Jakarta, Indonesia; [Sopaheluwakan, Ardhasena] Ctr Appl Climate Serv, Agcy Meteorol Climatol &amp; Geophys BMKG, Jakarta, Indonesia; [Magnaye, Angela Monina T.] Univ Tsukuba, Grad Sch Life &amp; Environm Sci, Tsukuba, Japan; [Aragon, Larry Ger B.] Univ Melbourne, Sch Geog Earth &amp; Atmospher Sci, Melbourne, Australia</t>
  </si>
  <si>
    <t>Ateneo de Manila University; Universiti Kebangsaan Malaysia; Ramkhamhaeng University; Vietnam Academy of Science &amp; Technology (VAST); University of Science &amp; Technology of Hanoi (USTH); Vietnam National University Hanoi; Chulalongkorn University; Indonesian Agency for Meteorology, Climatology &amp; Geophysics; National Research &amp; Innovation Agency of Indonesia (BRIN); Indonesian Agency for Meteorology, Climatology &amp; Geophysics; University of Tsukuba; University of Melbourne</t>
  </si>
  <si>
    <t>Asia Pacific Network for Global Change Research; Department of Science and Technology - Philippine Council for Industry, Energy, and Emerging Technology Research and Development (DOST-PCIEERD) of the Philippines(Department of Science &amp; Technology (DOST), Philippines)</t>
  </si>
  <si>
    <t>This paper was made possible by SEACLID/CORDEX-SEA project funded by the Asia Pacific Network for Global Change Research (ARCP2013-17NMYTangang, ARCP2014-07CMY-Tangang, ARCP2015-04CMY-Tangang). This research is also funded by the Department of Science and Technology - Philippine Council for Industry, Energy, and Emerging Technology Research and Development (DOST-PCIEERD) of the Philippines under project number 2018-03675.</t>
  </si>
  <si>
    <t>10.1007/s00382-023-06826-3</t>
  </si>
  <si>
    <t>WOS:000992418300001</t>
  </si>
  <si>
    <t>Mabborang, Ma Haidee; Nozaleda, Bryan M.; Maguddayao, Ruth N.; Udaundo, Leonora; Laggui, Narcisa; Martin, Engr Buencamino; Sibal, Corazon</t>
  </si>
  <si>
    <t>Structures such as vernacular dwellings were not only shaped by culture and tradition but also reveal how people dealt with climate. Using a descriptive-qualitative research design, this study analysed the vernacular houses of the Ibanag, Itawit, and Malaweg in the province of Cagayan in the Philippines to derive a practical template for designing sustainable and climate-conscious houses and buildings. Using focus group discussions (FGD) and observations cross referencing it to concretised architectural and cultural sources revealed that the vernacular houses, particularly that of the Ibanag and Itawit, possess similar characteristics to the typical Filipino bahaykubo, however, distinguished with a separate kitchen bridged by a balag or binattag. It is elevated from the ground to keep the floor dry and to protect their belongings when the Cagayan River swells. The walling and windows of awning or sliding type made of bamboo practically makes the house penetrable providing natural ventilation and lighting. The gannung or tallung(silong in Tagalog) allows air to flow from below through the bamboo permeable floors. There is absence of ceilings or room divisions in the house that allows free circulation of air during the hot seasons. Moreover, materials like cogon, bamboo, uwav (rattan), and local woods which are endemic in the locality were used in its construction. Ultimately, close community ties and the bayanihan spirit in the community are vital mechanisms for climate change adaptation. With the environmental challenges indigenous communities are facing today, the vernacular houses' architectural design features can inspire the houses and buildings of today.</t>
  </si>
  <si>
    <t>[Mabborang, Ma Haidee; Maguddayao, Ruth N.; Udaundo, Leonora; Laggui, Narcisa; Martin, Engr Buencamino] Cagayan State Univ, Coll Engn &amp; Architecture, Tuguegarao, Philippines; [Nozaleda, Bryan M.] Cagayan State Univ, Coll Human Kinet, Tuguegarao, Philippines; [Sibal, Corazon] Cagayan State Univ, Coll Publ Adm, Tuguegarao, Philippines</t>
  </si>
  <si>
    <t>Cagayan State University; Cagayan State University; Cagayan State University</t>
  </si>
  <si>
    <t>Commission on Higher Education; National Commission for Culture and the Arts through the SALIKHA Creative Grants</t>
  </si>
  <si>
    <t>This research was supported by the Commission on Higher Education and the National Commission for Culture and the Arts through the SALIKHA Creative Grants. The researchers are also thankful to the administrators of Cagayan State University headed by Dr. Urdujah G. Alvarado and the Campus Executive Officer of Carig Campus, Dr. Arthur G. Ibanez. Additionally, the researchers express our appreciation to the consultants and validators for sharing their pearls of wisdom during the course of this research. We are also immensely grateful for their comments on an earlier version of the manuscript. Most importantly, the researchers are grateful to the sources of information for this research, the indigenous communities in Abulug, Enrile, and Rizal.</t>
  </si>
  <si>
    <t>10.3233/JCC220027</t>
  </si>
  <si>
    <t>WOS:000893242400005</t>
  </si>
  <si>
    <t>Li, Sinong; Yan, Huiping; Luo, Jing-Jia</t>
  </si>
  <si>
    <t>Current dynamical models experience great difficulties providing reliable seasonal forecasts of regional/local rainfall in South China. This study evaluates seasonal forecast skill for precipitation in the first rainy season (FRS, i.e., April-June) over South China from 1982 to 2020 based on the global real-time Climate Forecast System of Nanjing University of Information Science and Technology (NUIST-CFS1.0, previously known as SINTEX-F). The potential predictability and the practical forecast skill of NUIST-CFS1.0 for FRS precipitation remain low in general. But NUIST-CFS1.0 still performs better than the average of nine international models in terms of correlation coefficient skill in predicting the interannual precipitation anomaly and its related circulation index. NUIST-CFS1.0 captures the anomalous Philippines anticyclone, which transports moisture and heat northward to South China, favoring more precipitation in South China during the FRS. By examining the correlations between sea surface temperature (SST) and FRS precipitation and the Philippines anticyclone, we find that the model reasonably captures SST-associated precipitation and circulation anomalies, which partly explains the predictability of FRS precipitation. A dynamical downscaling model with 30-km resolution forced by the large-scale circulations of the NUIST-CFS1.0 predictions could improve forecasts of the climatological states and extreme precipitation events. Our results also reveal interesting interdecadal changes in the predictive skill for FRS precipitation in South China based on the NUIST-CFS1.0 hindcasts. These results help improve the understanding and forecasts for FRS precipitation in South China.</t>
  </si>
  <si>
    <t>[Li, Sinong; Yan, Huiping; Luo, Jing-Jia] Nanjing Univ Informat Sci &amp; Technol, Inst Climate &amp; Applicat Res ICAR CIC FEMD KLME ILC, Nanjing 210044, Peoples R China</t>
  </si>
  <si>
    <t>National Natural Science Foundation of China(National Natural Science Foundation of China (NSFC)); National Key R&amp;D Program of China</t>
  </si>
  <si>
    <t>This work is supported by National Natural Science Foundation of China (Grant Nos. 42088101 and 42030605) and National Key R&amp;D Program of China (Grant No. 2020YFA0608000). The model simulation is conducted in the High Performance Computing Center of Nanjing University of Information Science &amp; Technology. The Hadley monthly mean SST data is downloaded from https://www.metoffice.gov.uk/hadobs/hadisst/data/download.html. NCEP-NCAR Reanalysis-II data is provided by the NOAA/OAR/ESRL PSL, Boulder, Colorado, USA, and is downloaded from the website at https://psl.noaa.gov/.</t>
  </si>
  <si>
    <t>10.1007/s00376-023-2318-0</t>
  </si>
  <si>
    <t>WOS:001009183800002</t>
  </si>
  <si>
    <t>Villafuerte, Marcelino Q., II; Matsumoto, Jun</t>
  </si>
  <si>
    <t>This study investigates the changes in annual and seasonal maximum daily rainfall (RX1day) in Southeast Asia, obtained from gauge-based gridded precipitation data, to address the increasing concerns about climate change in the region. First, the nonparametric Mann-Kendall test was employed to detect significant trends in RX1day. Then, maximum likelihood modeling, which allows the incorporation of covariates in the location parameter of the generalized extreme value (GEV) distribution, was conducted to determine whether the rising global mean temperature, as well as El Nino-Southern Oscillation (ENSO), is influencing extreme rainfall over the region. The findings revealed that annual and seasonal RX1day is significantly increasing in Indochina and east-central Philippines while decreasing in most parts of the Maritime Continent during the past 57 yr (1951-2007). The trends in RX1day were further linked to the rising global mean temperature. It was shown that the location parameter of the GEV and hence the RX1day on average has significantly covaried with the annually averaged near-surface global mean temperature anomaly. Such covariation is pronouncedly observed over the regions where significant trends in RX1day were detected. Furthermore, the results demonstrated that, as ENSO develops in July September, negative covariations between the location parameter of the GEV and the ENSO index, implying a higher (lower) likelihood of extreme rainfall during La Nina (El Nino), were observed over the Maritime Continent. Such conditions progress northward to the regions of Indochina and the Philippines as ENSO approaches its maturity in October December and then retreat southward as the ENSO weakens in the ensuing seasons.</t>
  </si>
  <si>
    <t>[Villafuerte, Marcelino Q., II; Matsumoto, Jun] Tokyo Metropolitan Univ, Dept Geog, Hachioji, Tokyo 1920372, Japan; [Villafuerte, Marcelino Q., II] Philippine Atmospher Geophys &amp; Astron Serv Adm, Dept Sci &amp; Technol, Quezon City, Philippines; [Matsumoto, Jun] Japan Agcy Marine Earth Sci &amp; Technol, Yokosuka, Kanagawa 2370061, Japan</t>
  </si>
  <si>
    <t>Tokyo Metropolitan University; Department of Science &amp; Technology (DOST), Philippines; Japan Agency for Marine-Earth Science &amp; Technology (JAMSTEC)</t>
  </si>
  <si>
    <t>Asian Human Resources Fund from the Tokyo Metropolitan Government; Green Network of Excellence (GRENE) from the Japanese Ministry of Education, Culture, Sports, Science and Technology (MEXT); Japan Society for the Promotion of Science (JSPS)(Ministry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</si>
  <si>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This research is conducted under the Monsoon Asian Hydro-Atmosphere Scientific Research and Prediction Initiative (MAHASRI) program and is supported by the Asian Human Resources Fund from the Tokyo Metropolitan Government; the Green Network of Excellence (GRENE) from the Japanese Ministry of Education, Culture, Sports, Science and Technology (MEXT); and the Grants in Aid for Scientific Research 23240122 and 26220202 from the Japan Society for the Promotion of Science (JSPS). We thank the reviewers for providing insightful comments that improved the overall content of this article.</t>
  </si>
  <si>
    <t>10.1175/JCLI-D-14-00531.1</t>
  </si>
  <si>
    <t>WOS:000350839300010</t>
  </si>
  <si>
    <t>Klongvessa, Pawee; Chotpantarat, Srilert</t>
  </si>
  <si>
    <t>In a monsoon region, flooding is usually caused by heavy rainfall events in conjunction with saturated soil. A hydrograph in the wet season consists of multiple flood waves from periods of direct runoff lying on a wave of seasonal baseflow from groundwater. This study determined which rainfall duration and occurrence time were most correlated with direct runoff in the Upper Yom basin, Thailand. First, correlation coefficients (CCs) between basin discharge and rainfall under various durations throughout wet seasons during 2009-2018 were calculated. The discharges were correlated with 48 h rainfall ending 12 h before. However, the CCs were not very good (0.35-0.60, except in 2011). Therefore, the CCs only during saturated soil periods were calculated and this produced better results (0.50-0.79). Next, the baseflow was removed from the basin discharge to determine the direct runoff. The CCs between direct runoff and rainfall were even better (0.59-0.83). Therefore, after the removal of the unsaturated soil period and the baseflow, the direct runoff could be predicted from the 48 h rainfall that began 60 h before and ended 12 h before. This duration was associated with basin characteristics and overall spatial distribution pattern of rainfall.</t>
  </si>
  <si>
    <t>[Klongvessa, Pawee] Kasetsart Univ, Fac Environm, Dept Environm Technol &amp; Management, Bangkok, Thailand; [Chotpantarat, Srilert] Chulalongkorn Univ, Fac Sci, Dept Geol, Bangkok, Thailand; [Chotpantarat, Srilert] Chulalongkorn Univ, Res Unit Control Emerging Micropollutants Environ, Bangkok, Thailand</t>
  </si>
  <si>
    <t>Kasetsart University; Chulalongkorn University; Chulalongkorn University</t>
  </si>
  <si>
    <t>Ratchadapisek Sompoch Endowment Fund; Chulalongkorn University(Chulalongkorn University)</t>
  </si>
  <si>
    <t>This research was partially supported by the Ratchadapisek Sompoch Endowment Fund (2021), Chulalongkorn University (764002-ENV). The Royal Irrigation Department of Thailand provided water level and rating curve data. The Thai Meteorological Department provided the rainfall data. The Kasetsart University Research and Development Institute (KURDI), Bangkok, Thailand provided English editing assistance.</t>
  </si>
  <si>
    <t>10.1007/s11069-021-05133-6</t>
  </si>
  <si>
    <t>WOS:000741639400001</t>
  </si>
  <si>
    <t>Discussions about anomaly in the ionosphere have made significant progress since the great Alaskan earthquake, in 1964. Specifying signs of precursors of an earthquake and traces of the aftershock of its may minimize every kind losses. This study examines the possible effect on the ionosphere of the M7.5 earthquake that occurred at 21:46 UT on November 11, 2004, near Kepulauan, Alor Islands (8,152 degrees S-124,868 degrees E), Indonesia. This effect is observed in TEC (TECU) data. The limits of the TEC data gained from IRI-2016 are determined by the statistical method. Anomalies are marked by means of out-of-bounds data. Anomaly causes are introduced to the reader according to the principle of causality. In this context, a portrait of space climate conditions is drawn with the aid of the earthquake, geomagnetic storm, and solar activity effect. According to this portrait, we perceive on October 15, November 10, and December 1-11. Probably the November 10 anomaly is caused by the earthquake and the other anomaly days may be related to the aftershock of the earthquake.</t>
  </si>
  <si>
    <t>[Koklu, Kevser] Yildiz Tech Univ, Dept Math Engn, Davutpasa Campus, TR-34220 Istanbul, Turkiye</t>
  </si>
  <si>
    <t>Yildiz Technical University</t>
  </si>
  <si>
    <t>The author thanks NASA and Kyoto University. The author thanks to the Center for Orbit Determination in Europe (CODE).</t>
  </si>
  <si>
    <t>SPRINGER INT PUBL AG</t>
  </si>
  <si>
    <t>CHAM</t>
  </si>
  <si>
    <t>GEWERBESTRASSE 11, CHAM, CH-6330, SWITZERLAND</t>
  </si>
  <si>
    <t>1895-6572</t>
  </si>
  <si>
    <t>1895-7455</t>
  </si>
  <si>
    <t>ACTA GEOPHYS</t>
  </si>
  <si>
    <t>Acta Geophys.</t>
  </si>
  <si>
    <t>10.1007/s11600-023-01165-7</t>
  </si>
  <si>
    <t>WOS:001063912300001</t>
  </si>
  <si>
    <t>Cipta, Iqbal Maulana; Jaelani, Lalu Muhamad; Sanjaya, Hartanto</t>
  </si>
  <si>
    <t>Indramayu Regency is the highest rice producer in West Java province, Indonesia. According to the Central Statistics Agency (BPS), in 2021, rice production in 2020 reached 1,365,435.39 tons of GKG (milled dry grain). Technological developments in the food sector produce various kinds of premium quality rice and rice varieties resistant to climate change, such as Ciherang, Inpari 32 HDB and IR 64. The regular monitoring of specific rice varieties over large areas effectively maintains the quality and quantity of rice production. This study used remote sensing data to monitor rice conditions and distribution based on the spectral unmixing method. The spectral unmixing method was used to identify the percentage of the presence of a pure object in a pixel. The results obtained in this study were images of the endmember fractions of rice varieties and areas of dominant rice varieties used in the Indramayu district. The dominant variety detected with the processing results was the Inpari 32 HDB variety, with an area of 30,738.64 hectares. In comparison, varieties other than Inpari 32 HDB were also detected in several areas in the Indramayu district, with an area of 12,192.68 hectares.</t>
  </si>
  <si>
    <t>[Cipta, Iqbal Maulana; Jaelani, Lalu Muhamad] Inst Teknol Sepuluh Nopember ITS, Fac Civil Planning &amp; Geoengn, Dept Geomat Engn, Surabaya 60111, Indonesia; [Sanjaya, Hartanto] Inst Teknol Sepuluh Nopember ITS, Fac Civil Planning &amp; Geoengn, Dept Civil Engn, Surabaya 60111, Indonesia; [Sanjaya, Hartanto] Natl Res &amp; Innovat Agcy, Jl MH Thamrin 8, Jakarta 10340, Indonesia</t>
  </si>
  <si>
    <t>Institut Teknologi Sepuluh Nopember; Institut Teknologi Sepuluh Nopember</t>
  </si>
  <si>
    <t>Institut Teknologi Sepuluh Nopember</t>
  </si>
  <si>
    <t>Institut Teknologi Sepuluh Nopember, under the project scheme of the Publication Writing and IPR Incentive Program (PPHKI) Number 668/IT2/T/HK.00.01/2022.</t>
  </si>
  <si>
    <t>10.3390/ijgi11100510</t>
  </si>
  <si>
    <t>WOS:000873092400001</t>
  </si>
  <si>
    <t>Flooding of downstream agricultural fields and cities is normally caused by consecutive days of extreme precipitation in upstream areas. As climate change is widely projected to accelerate the hydrological cycle, concerns about the increase in frequency and intensity of extreme precipitation arise. The present study used Pattern Scaling coupled with Generalized Extreme Value (GEV) distribution to calculate changes in multi-day extreme precipitation in the North Central Vietnam in 2050, 2070, and 2090 under three AR5's Representative Concentration Pathways RCP2.6, RCP6.0 and RCP8.5. Twenty long-term historical observation stations in the study area with daily data mostly date back to more than 50 years were employed and 5-day maximum total precipitation was analyzed. The results reveal an agreement among the employed GCMs on an increase in the intensity and a shortening of the return periods of extreme precipitation, with the most reinforced trend occurring under RCP8.5, followed by RCP6.0 and then RCP2.6. This indicates that the risk of associated floods is likely to increase, especially under higher RCPs. Therefore, planning and decision making of durable infrastructure along with flood mitigation strategies to cope with such events are recommended.</t>
  </si>
  <si>
    <t>[Giang, Pham Quy] Ha Long Univ, Fac Environm, Quang Ninh, Vietnam</t>
  </si>
  <si>
    <t>This research was supported by Japan Society for the Promotion of Science (JSPS).</t>
  </si>
  <si>
    <t>FEB 2</t>
  </si>
  <si>
    <t>10.3389/feart.2020.601666</t>
  </si>
  <si>
    <t>WOS:000618221900001</t>
  </si>
  <si>
    <t>Asdak, Chay; Supian, Sudradjat; Subiyanto</t>
  </si>
  <si>
    <t>Jakarta is a capital city of Indonesia located in the delta of Ciliwung river. This city suffers annual flooding with some serious damage for certain extreme rainfall events, especially occurring at the upper parts of the Ciliwung watershed. In 1992 rainy season, flooding in Jakarta was scattered in 61 sites. In 1996, the flooding increased to 90 sites, and further increased in the rainy season of 2002 to be 159 sites. Jakarta experienced a major flooding on 9-10 February 2015 after having seen two occurrences of major flooding in the two preceding years 2013 and 2014 (Siswanto et al., 2017). Such extreme flooding events might become more frequent in the future due to the impacts of land use and climate change (Kure et al., 2014). To reduce the magnitude and frequency of further flooding, on-site as well as off-site program actions need to be taken comprehensively. This paper is specifically aimed at, firstly understanding the main problems causing flooding in the coastal area of Jakarta, and secondly proposing medium and long-term solutions from the perspective of an integrated watershed management approach. The proposed solution will also include institutional and financial arrangements in a cross-administrative boundary situation.</t>
  </si>
  <si>
    <t>[Asdak, Chay] Univ Padjadjaran, Postgrad Program Environm Studies, Sumedang, Indonesia; [Asdak, Chay] Univ Padjadjaran, Fac Agr Ind Technol, Sumedang, Indonesia; [Supian, Sudradjat] Univ Padjadjaran, Fac Math &amp; Nat Sci, Dept Math, Sumedang, Indonesia; [Subiyanto] Univ Padjadjaran, Fac Fishery &amp; Marine Sci, Dept Marine Sci, Sumedang, Indonesia</t>
  </si>
  <si>
    <t>Universitas Padjadjaran; Universitas Padjadjaran; Universitas Padjadjaran; Universitas Padjadjaran</t>
  </si>
  <si>
    <t>Universitas Padjadjaran through the Academic Leadership Grant (ALG)</t>
  </si>
  <si>
    <t>We would like to thank the financial support from Universitas Padjadjaran through the Academic Leadership Grant (ALG).</t>
  </si>
  <si>
    <t>10.1016/j.wace.2018.08.002</t>
  </si>
  <si>
    <t>WOS:000444526600013</t>
  </si>
  <si>
    <t>Tue, Vu Minh; Raghavan, Srivatsan V.; Minh, Pham Duc; Shie-Yui, Liong</t>
  </si>
  <si>
    <t>The Standardized Precipitation Index (SPI) has been computed based on the monthly precipitation for different observed and modelled datasets over the Central Highland, Vietnam during the period 1990-2005. Station data from a total of 13 stations were collected from the study region and used for benchmarking to compare gridded observation data and two regional climate models (RCMs). Various characteristics of drought across the study region were analyzed using spatial and temporal distributions, number of drought events, their frequency and their deficit. The RCMs were able to capture the SPI temporal distributions of station data fairly well. The analysis from RCMs showed close estimation for the number of drought events to station data and gridded observations. In terms of Drought Deficit and frequency, the RCMs matched the station data better than gridded observations. The drought trend was carried out using a Modified Mann-Kendall trend test which yielded no clear trends that suggested the need for longer records of data. The results also highlight uncertainties in gridded data and the need for robust station data quality and record lengths. The regional climate models proved to be appropriate tools in assessing drought over the study area as they can serve as good proxies over data sparse regions, especially in developing countries, for studying detailed climate features at sub regional and local scales. (C) 2014 Elsevier B.V. All rights reserved.</t>
  </si>
  <si>
    <t>[Tue, Vu Minh; Raghavan, Srivatsan V.; Minh, Pham Duc; Shie-Yui, Liong] Natl Univ Singapore, Trop Marine Sci Inst, Singapore 117548, Singapore; [Shie-Yui, Liong] Willis Re Inc, Willis Res Network, London, England; [Tue, Vu Minh; Raghavan, Srivatsan V.; Shie-Yui, Liong] SMART, Ctr Environm Modeling &amp; Sensing, Singapore, Singapore; [Tue, Vu Minh; Raghavan, Srivatsan V.; Shie-Yui, Liong] NUS, Ctr Hazards Res, Dept Civil &amp; Environm Engn, Singapore, Singapore</t>
  </si>
  <si>
    <t>10.1016/j.jhydrol.2014.11.006</t>
  </si>
  <si>
    <t>WOS:000355894700022</t>
  </si>
  <si>
    <t>Tangdamrongsub, Natthachet; Forgotson, Chalita; Gangodagamage, Chandana; Forgotson, Joshua</t>
  </si>
  <si>
    <t>A flood monitoring and warning system provides critical information that can protect property and save lives. A basin-scale flood monitoring system requires an effective observation platform that offers extensive ground coverage of flood conditions, low latency, and high spatiotemporal resolution. While satellite imagery offers substantial spatial flood extent in detail due to its high spatial resolution, the coarse temporal resolution and cloud obstruction limit its near real-time application. Daily soil moisture data derived from satellite sensors at a scale of a few km can be used to monitor extreme wet surface conditions arising in flood occurrences. This study analyzes the flood detection capabilities of several sources of soil moisture information, including the Soil Moisture and Ocean Salinity mission (SMOS), the Advanced Microwave Scanning Radiometer on EOS, the Advanced SCATterometer on MetOp, the Global Land Data Assimilation System, and the WaterGAP Global Hydrology Model. In addition to soil moisture, the analysis includes measurements of surface reflectance from the Moderate Resolution Imaging Spectroradiometer (MODIS), precipitation measurements from the Tropical Rainfall Measuring Mission, and terrestrial water storage estimates from the Gravity Recovery And Climate Experiment as proxies for flood inundations. The analysis was conducted over the Chao Phraya River Basin in Thailand, where the Great Flood of 2011 led to one of the most significant economic losses in the country's history. Satellite-derived soil moisture exhibits a stronger correlation with the flood inundations than the precipitation, model-derived soil moisture, and terrestrial water storage data. SMOS soil moisture observation agrees best with the MODIS-derived flood extent/occurrence, both in terms of spatial distribution and timing, and providing approximated flood lead-time of one week or longer. A neural network constructed from SMOS and MODIS data is used to predict flood intensity/occurrence (given soil moisture input) with a predicted time window from eight days to thirty-two days. The short-term prediction (e.g., eight days) achieves the highest accuracy with an averaged recovery rate of approximately 60% (correlation coefficient). This study's results suggest a potential application of satellite soil moisture data in assisting flood monitoring and warning systems.</t>
  </si>
  <si>
    <t>[Tangdamrongsub, Natthachet; Gangodagamage, Chandana] Univ Maryland, Earth Syst Sci Interdisciplinary Ctr, College Pk, MD 20742 USA; [Tangdamrongsub, Natthachet; Forgotson, Chalita; Gangodagamage, Chandana] NASA, Goddard Space Flight Ctr, Hydrol Sci Lab, Greenbelt, MD 20771 USA; [Forgotson, Chalita] Sci Applicat Int Corp, Lanham, MD USA; [Forgotson, Joshua] ICF, Fairfax, VA USA</t>
  </si>
  <si>
    <t>University System of Maryland; University of Maryland College Park; National Aeronautics &amp; Space Administration (NASA); NASA Goddard Space Flight Center; Science Applications International Corporation (SAIC)</t>
  </si>
  <si>
    <t>10.1007/s11069-021-04804-8</t>
  </si>
  <si>
    <t>WOS:000655745600001</t>
  </si>
  <si>
    <t>Le Hung Trinh; Thi Giang Le; Van Hoan Kieu; Thi Minh Ly Tran; Thi Thu Nga Nguyen</t>
  </si>
  <si>
    <t>In the recent years, the Ninh Binh and Nam Dinh shoreline had a strong fluctuation due to the impact of natural conditions and economic activity of people. Therefore, the monitoring of shoreline changes is very important for coastal manage in the context of climate change today. In this study, a total of 5 scenes of Landsat 5 TM and 01 scene of Landsat 8 OLI/TIRS satellite images from 1988 to 2018 were used to extract shoreline based on water indices, such as Automated Extraction Water Index (AWEI(sh), AWEI(nsh)), Normalized Difference Water Index (NDWI) and Modified Normalized DifferenceWater Index (MNDWI). Assessing the accuracy of automatically extracted shorelines on Ninh Binh and Nam Dinh coastal from Landsat data show that, the accuracy of shoreline extraction using AWEIsh index is higher than using other water indices, which is reflected in the comparison of mean square error (MSE) and Kappa values. The results show that the coastline of Nam Dinh area tends to erode in the period 1988-2018, in which the most eroded length amounted to 987 m. Meanwhile, the coastal area of Ninh Binh province is strongly accreted, with the lengths of accretion amounted to several kilometers in period 1988-2018. The results obtained in the study provide timely informations to help managers on monitoring and protecting coastlines and coastal ecosystems.</t>
  </si>
  <si>
    <t>[Le Hung Trinh; Thi Thu Nga Nguyen] Le Quy Don Tech Univ, Hanoi, Vietnam; [Thi Giang Le] Vietnam Natl Univ Agr, Hanoi, Vietnam; [Van Hoan Kieu; Thi Minh Ly Tran] Hanoi Natl Univ Educ, Hanoi, Vietnam</t>
  </si>
  <si>
    <t>Le Quy Don Technical University; Vietnam National University of Agriculture (VNUA); Hanoi National University of Education</t>
  </si>
  <si>
    <t>GEOPHYSICAL CENTER RAS</t>
  </si>
  <si>
    <t>MOSCOW</t>
  </si>
  <si>
    <t>MOLODEZHNAYA ST 3, MOSCOW, 119296, RUSSIA</t>
  </si>
  <si>
    <t>1681-1208</t>
  </si>
  <si>
    <t>RUSS J EARTH SCI</t>
  </si>
  <si>
    <t>Russ. J. Earth Sci.</t>
  </si>
  <si>
    <t>MAR-APR</t>
  </si>
  <si>
    <t>10.2205/2020ES000686</t>
  </si>
  <si>
    <t>WOS:000531044400001</t>
  </si>
  <si>
    <t>Sirisena, T. A. J. G.; Maskey, Shreedhar; Bamunawala, Janaka; Ranasinghe, Roshanka</t>
  </si>
  <si>
    <t>Reservoirs play a vital role in water resource management, while also contributing to alterations in downstream flow regimes and sediment load in the river. On the other hand, variations on streamflow and fluvial sediment loads can also result from climate change effects. Here, we assess future changes in streamflow and sediment load due to climate change and planned reservoirs in the Irrawaddy River Basin, Myanmar. The Soil Water Assessment Tool is used to project streamflow and sediment loads during 2046-2065 (mid-century), and 2081-2100 (end-century) periods under the two end-member Representative Concentration Pathways (i.e., RCP 2.6 and RCP 8.5) with and without planned reservoirs. Results show that compared to the baseline period (1991-2005), streamflow and sediment loads are projected to substantially increase during mid- and end-century periods when planned reservoirs are not considered (i.e., with climate change forcing only). Under RCP 2.6 and RCP 8.5, streamflow at the basin outlet is projected to increase by 8-17% and 9-45%, while sediment loads are projected to increase by 13-26% and 18-75%, respectively by the end-century period. When reservoirs are included, while annual streamflow at the basin outlet does not show a significant difference compared to the climate change only case (for any RCP and for both future time periods considered), annual sediment loads at the basin outlet are projected to slightly decrease (compared to the climate change only case) by 4-6% under RCP 8.5 during the end-century period. However, at seasonal time scales, streamflow and sediment loads at the basin outlet are significantly affected by upstream reservoirs. During the monsoon periods, the presence of planned reservoirs is projected to decrease streamflow at the basin outlet by 6-7%, while during non-monsoon periods, the reservoirs result in an increase of 32-38% in the streamflow at the outlet under RCP 8.5 during the end-century period. Similarly, for the same period and RCP 8.5, due to the planned reservoirs, sediment load is projected to decrease by 9-11% and increase by 32-44% in monsoonal and non-monsoonal periods, respectively.</t>
  </si>
  <si>
    <t>[Sirisena, T. A. J. G.; Maskey, Shreedhar; Bamunawala, Janaka; Ranasinghe, Roshanka] IHE Delft Inst Water Educ, Delft, Netherlands; [Sirisena, T. A. J. G.; Bamunawala, Janaka; Ranasinghe, Roshanka] Univ Twente, Enschede, Netherlands; [Ranasinghe, Roshanka] Deltares, Harbour Coastal &amp; Offshore Engn, Delft, Netherlands</t>
  </si>
  <si>
    <t>IHE Delft Institute for Water Education; University of Twente; Deltares</t>
  </si>
  <si>
    <t>EPP Myanmar project; Netherlands Fellowship Program (NFP); AXA Research Fund(AXA Research Fund); Deltares Strategic Research Program 'Coastal and Offshore Engineering'</t>
  </si>
  <si>
    <t>This study is a part of TAJGS's PhD research, which is supported by the EPP Myanmar project and Netherlands Fellowship Program (NFP). RR is supported by the AXA Research Fund and the Deltares Strategic Research Program 'Coastal and Offshore Engineering'.</t>
  </si>
  <si>
    <t>MAR 23</t>
  </si>
  <si>
    <t>10.3389/feart.2021.644527</t>
  </si>
  <si>
    <t>WOS:000637095200001</t>
  </si>
  <si>
    <t>Muhamad, Nurfashareena; Arshad, Siti Hasniza M.; Pereira, Joy Jacqueline</t>
  </si>
  <si>
    <t>Exposure elements in open-access disaster databases that are relevant to critical infrastructure and basic services in the Sendai Framework on Disaster Risk Reduction (SFDRR) were transformed into spatial data, to investigate the impact of flash flood hazards in Kuala Lumpur, Malaysia. In this era of big data and hyper-connectivity, the availability of open-access data on exposure elements across scales and systems is largely unknown. Information on exposure elements and hazard susceptibility provide important insights to enhance community resilience, to move away from merely managing disasters to managing the risk of disasters, in line with the SFDRR. The case study of Kuala Lumpur enabled an assessment of information availability in existing disaster databases and within the national system, to facilitate informed decision-making. Findings reveal that there are a total of 26 databases on the internet that provide information on disasters and related elements; of which 18 are global, three are regional and four provide information at the national scale. However, only ten databases are open access where the user is able to easily retrieve information while others provide a view only option. The coverage of exposure elements in disaster databases is very poor where only five databases carried such information; and it is not useful for local scale application. Thus, information was sought from multiple open data sources within the national system and transformed into spatial data, to develop an exposure element data inventory for the city. There are 509 exposure elements within Kuala Lumpur, covering 33 private and government hospitals and community clinics; 189 public and private schools and institutions higher education; 261 facilities that provide basic services; and 26 features that represent of social and economic aspects. The exposure elements, which is coherent with the SFDRR, benefits decision-making when overlain with existing flood hazard zones and susceptible areas. Moving forward, emerging hazards due to climate change will be evaluated to strengthen informed decision-making and build community resilience in the city. The empowerment of local level research has great potential to advance open sharing of information on disaster and climate risks in the region.</t>
  </si>
  <si>
    <t>[Muhamad, Nurfashareena; Arshad, Siti Hasniza M.; Pereira, Joy Jacqueline] Univ Kebangsaan, Southeast Asia Disaster Prevent Res Initiat SEADP, Inst Environm &amp; Dev, Bangi, Malaysia</t>
  </si>
  <si>
    <t>Newton-Ungku Omar Fund (NUOF) Project on Disaster Resilient Cities</t>
  </si>
  <si>
    <t>This project was funded by the Newton-Ungku Omar Fund (NUOF) Project on Disaster Resilient Cities under a research grant number XX-2017-002.</t>
  </si>
  <si>
    <t>FEB 25</t>
  </si>
  <si>
    <t>10.3389/feart.2021.616246</t>
  </si>
  <si>
    <t>WOS:000627356000001</t>
  </si>
  <si>
    <t>Lolli, Simone; Campbell, James R.; Lewis, Jasper R.; Gu, Yu; Marquis, Jared W.; Chew, Boon Ning; Liew, Soo-Chin; Salinas, Santo V.; Welton, Ellsworth J.</t>
  </si>
  <si>
    <t>Daytime top-of-the-atmosphere (TOA) cirrus cloud radiative forcing (CRF) is estimated for cirrus clouds observed in ground-based lidar observations at Singapore in 2010 and 2011. Estimates are derived both over land and water to simulate conditions over the broader Maritime Continent archipelago of Southeast Asia. Based on bookend constraints of the lidar extinction-to-backscatter ratio (20 and 30 sr), used to solve extinction and initialize corresponding radiative transfer model simulations, relative daytime TOA CRF is estimated at 2.858-3.370Wm(-2) in 2010 (both 20 and 30 sr, respectively) and 3.078-3.329Wm(-2) in 2011 and over water between20.094 and 0.541Wm(-2) in 2010 and20.598 and 0.433Wm(-2) in 2011 (both 30 and 20 sr, respectively). After normalizing these estimates for an approximately 80% local satellite-estimated cirrus cloud occurrence rate, they reduce in absolute daytime terms to 2.198-2.592Wm(-2) in 2010 and 2.368-2.561Wm(-2) in 2011 over land and 20.072-0.416Wm(-2) in 2010 and 20.460-0.333Wm(-2) in 2011 over water. These annual estimates aremostly consistent despite a tendency toward lower relative cloudtop heights in 2011. Uncertainties are described. Estimates support the open hypothesis of a meridional hemispheric gradient in cirrus cloud daytime TOA CRF globally, varying from positive near the equator to presumably negative approaching the non-ice-covered poles. They help expand upon the paradigm, however, by conceptualizing differences zonally between overland and overwater forcing that differ significantly. More global oceans are likely subject to negative daytime TOA CRF than previously implied.</t>
  </si>
  <si>
    <t>[Lolli, Simone; Lewis, Jasper R.] Univ Maryland Baltimore Cty, Joint Ctr Earth Syst Technol, Baltimore, MD 21228 USA; [Lolli, Simone] CNR, Ist Metodol Anal Ambientale, Potenza, Italy; [Campbell, James R.] Naval Res Lab, Monterey, CA USA; [Gu, Yu] Univ Calif Los Angeles, Los Angeles, CA USA; [Marquis, Jared W.] Univ North Dakota, Grand Forks, ND USA; [Chew, Boon Ning] Meteorol Serv Singapore, Singapore, Singapore; [Liew, Soo-Chin; Salinas, Santo V.] Natl Univ Singapore, Ctr Remote Imaging Sensing &amp; Proc, Singapore, Singapore; [Welton, Ellsworth J.] NASA, Goddard Space Flight Ctr, Greenbelt, MD USA</t>
  </si>
  <si>
    <t>University System of Maryland; University of Maryland Baltimore County; Consiglio Nazionale delle Ricerche (CNR); Istituto di Metodologie per l'Analisi Ambientale (IMAA-CNR); United States Department of Defense; United States Navy; Naval Research Laboratory; University of California System; University of California Los Angeles; University of North Dakota Grand Forks; Meteorological Service Singapore; National University of Singapore; National Aeronautics &amp; Space Administration (NASA); NASA Goddard Space Flight Center</t>
  </si>
  <si>
    <t>NASA Radiation Sciences Program(National Aeronautics &amp; Space Administration (NASA)); Naval Research Laboratory Base Program; NASA Interagency Agreement on behalf of MPLNET; Office of Naval Research (ONR)(United States Department of DefenseUnited States NavyOffice of Naval Research); ONR Global</t>
  </si>
  <si>
    <t>The NASA Micro-Pulse Lidar Network is supported by the NASA Radiation Sciences Program (H. Maring). Author JRC acknowledges the support of the Naval Research Laboratory Base Program (BE033-03-45-T008-17) and NASA Interagency Agreement NNG15JA17P on behalf of MPLNET. The authors thank Jeffery S. Reid (Naval Research Laboratory) for supporting the instrument deployment to Singapore, which took place through the Seven Southeast Asian Studies program under the sponsorship in part of the Office of Naval Research (ONR) Code 322 and ONR Global. The authors acknowledge the contributions of the associate editor and our three colleagues who participated anonymously in peer review.</t>
  </si>
  <si>
    <t>10.1175/JAMC-D-16-0262.1</t>
  </si>
  <si>
    <t>WOS:000403092400001</t>
  </si>
  <si>
    <t>Rizzi, M.; Schovsbo, N. H.; Hovikoski, J.; Nytoft, H. P.; Korte, C.; Thuy, N. T. T.; Bojesen-Koefoed, J.; Nielsen, L. H.; Abatzis, I.; Tuan, N. Q.; Toan, D. M.; Huyen, N. T.; Fyhn, M. B. W.</t>
  </si>
  <si>
    <t>Oligocene deep syn-rift lakes in the Gulf of Tonkin, Vietnam, represent exceptional paleoenvironmental archives, but their use for unravelling the regional paleoclimatic development has been hindered by poor dating. Here we present a high-resolution carbon isotope record of wood particles (?13Cwood) and bulk organic matter (?13Corg) from a 500 m thick cored Oligocene sedimentary succession representing a deep syn-rift lake. The obtained data allows for estimation of the age of the succession and gives a rare insight into the in-lake fractionation processes. Correlation of the carbon isotopic signature of ?13Cwood with the global marine record narrows the duration of the deposition of the succession to 1.2 Ma (25.7?26.9 Ma), thus significantly improving any previous age estimates for the core. The comparison of the ?13Cwood with ?13Corg pinpoints parts of the ?13Corg signal influenced by in-lake fractionation processes and indicates two dominant factors controlling them. The lake productivity induced fractionation is seen as more positive ?13C values than expected from wood ?13C. This prevailed during more oxygenated periods, while organic matter degradation related processes dominated the fractionation during the more anoxic periods. The oxygenation of the lake was mostly dependent on changes in tectonic setting that resulted in some variations in lake depth and was strengthened by climatic influence.</t>
  </si>
  <si>
    <t>[Rizzi, M.; Korte, C.] Univ Copenhagen, Dept Geosci &amp; Nat Resource Management, Oster Voldgade 10, DK-1350 Copenhagen, Denmark; [Schovsbo, N. H.; Hovikoski, J.; Nytoft, H. P.; Bojesen-Koefoed, J.; Nielsen, L. H.; Abatzis, I.; Fyhn, M. B. W.] Geol Survey Denmark &amp; Greenland, Oster Voldgade 10, DK-1350 Copenhagen, Denmark; [Thuy, N. T. T.; Tuan, N. Q.; Toan, D. M.; Huyen, N. T.] Vietnam Petr Inst, Explorat &amp; Prod Ctr, 167 Trung Kinh, Hanoi, Vietnam</t>
  </si>
  <si>
    <t>University of Copenhagen; Geological Survey Of Denmark &amp; Greenland</t>
  </si>
  <si>
    <t>DANIDA; PetroVietnam; Geocenter Denmark; GEUS(General Electric); IGN; Carlsberg Foundation(Carlsberg Foundation)</t>
  </si>
  <si>
    <t>Drilling of the ENRECA-3 core well was funded by DANIDA and PetroVietnam. M.R. was funded by Geocenter Denmark; PetroVietnam, GEUS and IGN sponsored the co-authors. M.B.W.F. acknowledges the Carlsberg Foundation (grant number CF-0280) for co-sponsoring fieldwork on the Bach Long Vi Island. We are indebted to PetroVietnam and Vietnam Petroleum Institute for permission to publish the material. We are grateful to Bob Morley for his re-evaluation of the biostratigraphic raw data and for the fruitful discussion of SE Asian lake basin deposition and to the anonymous reviewers whose comments helped improve this manuscript. The Department of Geosciences and Natural Resource Management, University of Copenhagen is acknowledged for making work facilities available to M.R. and C.K.</t>
  </si>
  <si>
    <t>0009-2541</t>
  </si>
  <si>
    <t>1872-6836</t>
  </si>
  <si>
    <t>CHEM GEOL</t>
  </si>
  <si>
    <t>Chem. Geol.</t>
  </si>
  <si>
    <t>JUN 20</t>
  </si>
  <si>
    <t>10.1016/j.chemgeo.2021.120179</t>
  </si>
  <si>
    <t>WOS:000641459400001</t>
  </si>
  <si>
    <t>Deb, Proloy; Duong Anh Tran; Udmale, Parmeshwar D.</t>
  </si>
  <si>
    <t>This study investigates the temporal impacts of climate change on rice yield for summer-autumn (SA) and autumn-winter (AW) cropping pattern along with implication of brackish irrigation water for the SA season. Furthermore, evaluation of different agro-adaptations to overcome negative impacts of climate change was also done for Ca Mau province of Vietnam. Climatic variables were derived from six general circulation models which were further bias corrected at Ca Mau city station for three future time periods (2025s, 2055s, and 2085s). Calibrated AquaCrop 4.0 was used to project the future rice yield under climate change and different salinity levels in irrigation water. Simulation shows a decline in rice yield ranging from 1.60 to 23.69 % and 8.06 to 20.15 % by 2085s relative to baseline climate for A2 and B2 scenarios respectively in the case of the SA cropping season. However, an increase in rice yield ranging from 3.29 to 12.35 % and 6.64 to 17.23 % is observed for the corresponding time period and scenarios. Further simulations for the SA cropping season under climate change and increasing salinity in irrigation water suggest an insignificant increase in yield relative to the yield obtained without irrigation. Moreover, proper management practices, namely forward and early shifts in transplanting dates along with increasing fertilizer application rates, are observed to be beneficial to enhance the rice yield under climate change.</t>
  </si>
  <si>
    <t>[Deb, Proloy] Univ Newcastle, Sch Environm &amp; Life Sci, Fac Sci &amp; Informat Technol, Ctr Water Climate &amp; Land Use CWCL, Newcastle, NSW 2308, Australia; [Duong Anh Tran] Tech Univ Munich, Lehrstuhl Wasserbau &amp; Wasserwirtschaft, D-80333 Munich, Germany; [Udmale, Parmeshwar D.] Univ Yamanashi, Int Res Ctr River Basin Environm ICRE, Takeda 4-3-11, Kofu, Yamanashi 4008511, Japan</t>
  </si>
  <si>
    <t>University of Newcastle; Technical University of Munich; University of Yamanashi</t>
  </si>
  <si>
    <t>APEC climate center, Busan, South Korea; Swedish International Development Agency (SIDA)</t>
  </si>
  <si>
    <t>The financial support provided by the APEC climate center, Busan, South Korea, and the Swedish International Development Agency (SIDA) provided to the second author is acknowledged. In addition, wholehearted thanks are also given to the Department of Agriculture and Rural Development of Ca Mau city, Southern Regional Hydro-meteorological Center, and Can Tho University, Vietnam for providing all necessary data.</t>
  </si>
  <si>
    <t>10.1007/s00704-015-1525-8</t>
  </si>
  <si>
    <t>WOS:000380703300019</t>
  </si>
  <si>
    <t>Solada, Katharine E.; Reilly, Brendan T.; Stoner, Joseph S.; de Silva, Shanaka L.; Mucek, Adonara E.; Hatfield, Robert G.; Pratomo, Indyo; Jamil, Rendi; Setianto, Baskoro</t>
  </si>
  <si>
    <t>Approximately 74 ka, Toba caldera in Sumatra, Indonesia, erupted in one of the most catastrophic supereruptions in Earth's history. Resurgent uplift of the caldera floor raised Samosir Island 700 m above Lake Toba, exposing valuable lake sediments. To constrain sediment chronology, we collected 173 discrete paleomagnetic 8 cm(3) cubes and 15 radiocarbon samples from six sections across the island. Bulk organic C-14 ages provide an initial chronostratigraphic framework ranging from similar to 12 to 46 ka. Natural and laboratory magnetizations were studied using alternating field demagnetization. A generally well-defined primary magnetization is isolated using principal component analysis. Comparison of inclination, and to a lesser degree declination, across independently dated sections suggests paleomagnetic secular variation (PSV) is recorded. Average inclination of -6 degrees is more negative than a geocentric axial dipole would predict, but consistent with an eastward extension of the negative inclination anomaly observed in the western equatorial Pacific. The C-14- and PSV-derived age model constrains resurgent uplift, confirming faster uplift rates to the east and slower rates to the west, while suggesting that fault blocks moved differentially from each other within a generally trapdoor-type configuration.</t>
  </si>
  <si>
    <t>[Solada, Katharine E.; Reilly, Brendan T.; Stoner, Joseph S.; de Silva, Shanaka L.; Mucek, Adonara E.; Hatfield, Robert G.] Oregon State Univ, Coll Earth Ocean &amp; Atmospher Sci, Corvallis, OR 97331 USA; [Reilly, Brendan T.] Scripps Inst Oceanog, San Diego, CA 92037 USA; [Hatfield, Robert G.] Univ Florida, Dept Geol Sci, Gainesville, FL 32611 USA; [Pratomo, Indyo; Jamil, Rendi; Setianto, Baskoro] Geol Agcy Indonesia, JL Diponegom 57, Jawa Barat, Indonesia</t>
  </si>
  <si>
    <t>Oregon State University; University of California System; University of California San Diego; Scripps Institution of Oceanography; State University System of Florida; University of Florida</t>
  </si>
  <si>
    <t>National Science Foundation(National Science Foundation (NSF)); Geological Society of America Harold Stearns Student Research Grant; Oregon State University Paleo-and-Environmental Magnetism Laboratory</t>
  </si>
  <si>
    <t>This research is made possible by National Science Foundation grant EAR1551187, the Geological Society of America Harold Stearns Student Research Grant, and the Oregon State University Paleo-and-Environmental Magnetism Laboratory (supported by NSF-EAR0651585). Fieldwork was aided by Martin Daniik from Curtin University and Jade Bowers from Oregon State University.</t>
  </si>
  <si>
    <t>CAMBRIDGE UNIV PRESS</t>
  </si>
  <si>
    <t>32 AVENUE OF THE AMERICAS, NEW YORK, NY 10013-2473 USA</t>
  </si>
  <si>
    <t>0033-5894</t>
  </si>
  <si>
    <t>1096-0287</t>
  </si>
  <si>
    <t>QUATERNARY RES</t>
  </si>
  <si>
    <t>Quat. Res.</t>
  </si>
  <si>
    <t>10.1017/qua.2020.13</t>
  </si>
  <si>
    <t>WOS:000531662000007</t>
  </si>
  <si>
    <t>Choi, Jae-Won; Kim, Baek-Jo; Zhang, Renhe; Park, Ki-Jun; Kim, Jeoung-Yun; Cha, Yumi; Nam, Jae-Cheol</t>
  </si>
  <si>
    <t>This study examined the relationship between the western North Pacific monsoon (WNPM) and the tropical cyclone (TC) activity over western North Pacific during the summer (June to August) in a period from 1977 to 2013. According to the western North Pacific monsoon index (WNPMI), 10 years with high indices (referred to as the positive WNPMI phase) and 10 years with low indices (referred to as the negative WNPMI phase) were chosen. TCs frequently formed in the southeast quadrant of the subtropical western North Pacific in the positive WNPMI phase, and in the northwest quadrant in the negative phase. With respect to the TC track, TCs tended to move northward from the distant sea off the east coast of the Philippines towards Korea and Japan past the East China Sea in the positive WNPMI phase, whereas the characteristic pattern of the negative phase was the TC movement from the Philippines to southern China and the Indochinese peninsula over the South China Sea. As for the TC intensity, the TCswere stronger in the positive WNPMI phase than in the negativeWNPMI phase. The anomalous cyclonic circulations in the south of the 30 degrees N signified strong convection, causing the high TC genesis frequency in the positive WNPMI phase. In addition, the East China Sea, Korea and Japan were shown to be influenced by the anomalous southeasterly, which contributed as the anomalous steering flows and was favourable for the TCs to move into these regions in the positive WNPMI phase. Meanwhile, the positive anomaly of 600 hPa relative humidity and sea surface temperature as well as the negative anomaly of vertical wind shear presented in most regions of the subtropical western North Pacific, creating an environment that facilitated the generation of TCs in the positive WNPMI phase.</t>
  </si>
  <si>
    <t>[Choi, Jae-Won; Kim, Baek-Jo; Park, Ki-Jun; Kim, Jeoung-Yun; Nam, Jae-Cheol] Natl Inst Meteorol Res, Korea Meteorol Adm, Jeju, South Korea; [Zhang, Renhe] Chinese Acad Meteorol Sci, State Key Lab Severe Weather LaSW, Beijing, Peoples R China; [Cha, Yumi] Natl Typhoon Ctr, Korea Meteorol Adm, Jeju, South Korea</t>
  </si>
  <si>
    <t>Korea Meteorological Administration (KMA); China Meteorological Administration; Chinese Academy of Meteorological Sciences (CAMS); Korea Meteorological Administration (KMA)</t>
  </si>
  <si>
    <t>R&amp;D Project of the Korea Meteorological Administration 'Development and application of technology for weather forecast'(Korea Meteorological Administration (KMA)); National Natural Science Foundation of China(National Natural Science Foundation of China (NSFC))</t>
  </si>
  <si>
    <t>This work was supported by the R&amp;D Project of the Korea Meteorological Administration 'Development and application of technology for weather forecast' (grant no. NIMR-2013-B-1). Renhe Zhang was supported by the National Natural Science Foundation of China under grant no. 41221064.</t>
  </si>
  <si>
    <t>10.1002/joc.4558</t>
  </si>
  <si>
    <t>WOS:000383608000013</t>
  </si>
  <si>
    <t>Krishnan, M. V. Ninu; Prasanna, M. V.; Vijith, H.</t>
  </si>
  <si>
    <t>Effect of climate change in a region can be characterised by the analysis of rainfall trends. In the present research, monthly rainfall trends at Limbang River Basin (LRB) in Sarawak, Malaysia for a period of 45years (1970-2015) were characterised through the non-parametric Mann-Kendall and Spearman's Rho tests and relative seasonality index. Statistically processed monthly rainfall of 12 well distributed rain gauging stations in LRB shows almost equal amount of rainfall in all months. Mann-Kendall and Spearman's Rho tests revealed a specific pattern of rainfall trend with a definite boundary marked in the months of January and August with positive trends in all stations. Among the stations, Limbang DID, Long Napir and Ukong showed positive (increasing) trends in all months with a maximum increase of 4.06mm/year (p=0.01) in November. All other stations showed varying trends (both increasing and decreasing). Significant (p=0.05) decreasing trend was noticed in Ulu Medalam and Setuan during September (-1.67 and -1.79mm/year) and October (-1.59 and -1.68mm/year) in Mann-Kendall and Spearman's Rho tests. Spatial pattern of monthly rainfall trends showed two clusters of increasing rainfalls (maximas) in upper and lower part of the river basin separated with a dominant decreasing rainfall corridor. The results indicate a generally increasing trend of rainfall in Sarawak, Borneo.</t>
  </si>
  <si>
    <t>[Krishnan, M. V. Ninu; Prasanna, M. V.; Vijith, H.] Curtin Univ Malaysia, Fac Engn &amp; Sci, Dept Appl Geol, CDT 250, Miri 98009, Sarawak, Malaysia</t>
  </si>
  <si>
    <t>Curtin University Malaysia</t>
  </si>
  <si>
    <t>The first author gratefully acknowledges the Curtin University Malaysia for providing financial support (CSPRS) and research facility during the study and Department of Irrigation and Drainage (DID), Sarawak, Malaysia for providing rainfall data. Authors are also thankful to the anonymous reviewer for the critical review, constructive comments and suggestions, which improved the quality of manuscript significantly.</t>
  </si>
  <si>
    <t>10.1007/s00703-018-0611-8</t>
  </si>
  <si>
    <t>WOS:000475699000012</t>
  </si>
  <si>
    <t>Cracknell, Arthur Philip; Kanniah, Kasturi Devi; Tan, Kian Pang; Wang, Lei</t>
  </si>
  <si>
    <t>Conducting quantitative studies on the carbon balance or productivity of oil palm is important for understanding the role of this ecosystem in global climate change. The MOD17 algorithm is used for processing data from the Moderate Resolution Imaging Spectroradiometer (MODIS) to generate the values of gross primary productivity (GPP) and net primary productivity for input to global carbon cycle modelling. In view of the increasing importance of data on carbon sequestration at regional and national levels, we have studied one important factor affecting the accuracy of the implementation of MOD17 at the sub-global level, namely the database of MODIS land cover (MOD12Q1) used by MOD17. By using a study area of approximately 7 km x 7 km (49 MODIS pixels) in semi-rural Johor in Peninsular Malaysia and using Google Earth 0.75 m resolution images as ground data, we found that the land-cover type for only 16 of these 49 MODIS pixels was correctly identified by MOD12Q1 using its 1 km resolution land-cover database. This leads to errors of 24% to 50% in the maximum light use efficiency, leading to corresponding errors of 24% to 50% in the GPP. We show that by using the Finer Resolution Observation and Monitoring - Global Land Cover (FROM-GLC) land-cover database developed by Gong et al., this particular error can be essentially eliminated, but at the cost of using extra computing resources.</t>
  </si>
  <si>
    <t>[Cracknell, Arthur Philip] Univ Dundee, Div Elect Engn &amp; Phys, Dundee DDI 4HN, Scotland; [Kanniah, Kasturi Devi; Tan, Kian Pang] UTM, Dept Geoinformat, Skudai 81310, Johor, Malaysia; [Wang, Lei] Chinese Acad Sci, Inst Remote Sensing &amp; Digital Earth, State Key Lab Remote Sensing Sci, Beijing 100101, Peoples R China; [Wang, Lei] Univ Maryland, Dept Geog Sci, College Pk, MD 20742 USA</t>
  </si>
  <si>
    <t>University of Dundee; Universiti Teknologi Malaysia; Chinese Academy of Sciences; The Institute of Remote Sensing &amp; Digital Earth, CAS; University System of Maryland; University of Maryland College Park</t>
  </si>
  <si>
    <t>4 PARK SQUARE, MILTON PARK, ABINGDON OX14 4RN, OXON, ENGLAND</t>
  </si>
  <si>
    <t>10.1080/01431161.2014.995278</t>
  </si>
  <si>
    <t>WOS:000348464300011</t>
  </si>
  <si>
    <t>The impact of natural hazards on agriculture in Indonesia is becoming increasingly severe. Therefore, improving farmers' capacity to undertake risk coping strategies is essential to maintaining their prosperity. The objective of this study was to investigate the determinants of farmers' decisions on ex ante and ex post coping strategies in rural West Java, Indonesia. The study was based on a field survey of 180 farmers conducted in the Garut district from July to October 2017. The study used the protection motivation theory framework and applied three econometric models: binomial logit model, zero truncated Poisson regression model, and multinomial logit model. Most farmers (74.4%) adopted ex ante coping strategies. They were characterized as having higher risk aversion per capita expenditure and disaster experience, but lower discount rates and percentage of damage and locations in downstream and midstream areas. Coping appraisal perceptions were found to be important factors in the risk coping analysis. Four determinants of the decision on the number of ex ante coping strategies adopted were: per capita expenditure, land size, disaster experience, and access to financial institutions. The most common ex post coping strategy adopted by farmers was the middle-stress type.</t>
  </si>
  <si>
    <t>[Mutaqin, Dadang Jainal] Nagoya Univ, GSID, Nagoya, Aichi 4648601, Japan; [Mutaqin, Dadang Jainal] Natl Dev Planning Agcy Bappenas, Directorate Forestry &amp; Water Resource Conservat, Jakarta 10310, Indonesia</t>
  </si>
  <si>
    <t>Nagoya University</t>
  </si>
  <si>
    <t>National Development Planning Agency (Bappenas) of the Republic of Indonesia</t>
  </si>
  <si>
    <t>The author is grateful to the National Development Planning Agency (Bappenas) of the Republic of Indonesia for offering a scholarship for doctoral study at the Graduate School of International Development, Nagoya University.</t>
  </si>
  <si>
    <t>10.3390/cli7010007</t>
  </si>
  <si>
    <t>WOS:000457212900011</t>
  </si>
  <si>
    <t>Chen, Lijuan; Gu, Wei; Li, Weijing</t>
  </si>
  <si>
    <t>In 2018, summer precipitation was above normal in North and Northwest China and below normal around the Yangtze River valley, due to an extremely strong East Asian summer monsoon (EASM). The atmospheric circulation anomalies in East Asia and key external forcing factors that influence the EASM in 2018 are explored in this paper. The results show that there existed an anomalous cyclonic circulation near the Philippines, while the western Pacific subtropical high was located more northward than its normal position. In the mid-high latitudes, a negative geo-potential height anomaly center was found near the Ural Mountains, suppressing the blocking activity. Under such a circulation pattern, precipitation near the Yangtze River valley decreased because local divergence and subsidence intensified, whereas precipitation in northern China increased due to large amounts of water vapor transport by anomalously strong southerly winds. Further analyses reveal that the strong EASM circulation in 2018 might result from the joint influences of several external forcing factors. The weak La Nina event that started from October 2017, the positive North Atlantic Tripolar mode (NAT) in spring 2018, and the reduced snow cover over the Tibetan Plateau in winter 2017/18 all collaboratively contributed to formation of the cyclonic circulation anomaly near the Philippines, leading to the extremely strong EASM. Especially, the positive NAT and the reduced Tibetan snow cover may have caused the negative geopotential height anomaly near the Ural Mountains, in favor of a strong EASM. The above external factors and their reinforcing impacts on the EASM are further verified by two groups of similar historical cases.</t>
  </si>
  <si>
    <t>[Chen, Lijuan; Gu, Wei; Li, Weijing] China Meteorol Adm, Natl Climate Ctr, Lab Climate Studies, Beijing 100081, Peoples R China; [Chen, Lijuan; Li, Weijing] Nanjing Univ Informat Sci &amp; Technol, Collaborat Innovat Ctr Forecast &amp; Evaluat Meteoro, Nanjing 210044, Jiangsu, Peoples R China</t>
  </si>
  <si>
    <t>China Meteorological Administration; Nanjing University of Information Science &amp; Technology</t>
  </si>
  <si>
    <t>National Key Research and Development Program of China; National Science and Technology Support Program of China; National Natural Science Foundation of China(National Natural Science Foundation of China (NSFC))</t>
  </si>
  <si>
    <t>Supported by the National Key Research and Development Program of China (2018YFC1506006), National Science and Technology Support Program of China (2015BAC03B04), and National Natural Science Foundation of China (41805067 and 41275073).</t>
  </si>
  <si>
    <t>2095-6037</t>
  </si>
  <si>
    <t>2198-0934</t>
  </si>
  <si>
    <t>J METEOROL RES-PRC</t>
  </si>
  <si>
    <t>J. Meteorol. Res.</t>
  </si>
  <si>
    <t>10.1007/s13351-019-8200-4</t>
  </si>
  <si>
    <t>WOS:000485010900002</t>
  </si>
  <si>
    <t>Eberenz, Samuel; Luethi, Samuel; Bresch, David N.</t>
  </si>
  <si>
    <t>Assessing the adverse impacts caused by tropical cyclones has become increasingly important as both climate change and human coastal development increase the damage potential. In order to assess tropical cyclone risk, direct economic damage is frequently modeled based on hazard intensity, asset exposure, and vulnerability, the latter represented by impact functions. In this study, we show that assessing tropical cyclone risk on a global level with one single impact function calibrated for the USA - which is a typical approach in many recent studies - is problematic, biasing the simulated damage by as much as a factor of 36 in the north West Pacific. Thus, tropical cyclone risk assessments should always consider regional differences in vulnerability, too. This study proposes a calibrated model to adequately assess tropical cyclone risk in different regions by fitting regional impact functions based on reported damage data. Applying regional calibrated impact functions within the risk modeling framework CLIMADA (CLIMate ADAptation) at a resolution of 10 km worldwide, we find global annual average direct damage caused by tropical cyclones to range from USD 51 up to USD 121 billion (value in 2014, 1980-2017) with the largest uncertainties in the West Pacific basin where the calibration results are the least robust. To better understand the challenges in the West Pacific and to complement the global perspective of this study, we explore uncertainties and limitations entailed in the modeling setup for the case of the Philippines. While using wind as a proxy for tropical cyclone hazard proves to be a valid approach in general, the case of the Philippines reveals limitations of the model and calibration due to the lack of an explicit representation of sub-perils such as storm surges, torrential rainfall, and landslides. The globally consistent methodology and calibrated regional impact functions are available online as a Python package ready for application in practical contexts like physical risk disclosure and providing more credible information for climate adaptation studies.</t>
  </si>
  <si>
    <t>[Eberenz, Samuel; Luethi, Samuel; Bresch, David N.] Swiss Fed Inst Technol, Inst Environm Decis, CH-8092 Zurich, Switzerland; [Eberenz, Samuel; Luethi, Samuel; Bresch, David N.] Fed Off Meteorol &amp; Climatol MeteoSwiss, CH-8058 Zurich, Switzerland</t>
  </si>
  <si>
    <t>Swiss Federal Institutes of Technology Domain; ETH Zurich; Federal Office of Meteorology &amp; Climatology (MeteoSwiss)</t>
  </si>
  <si>
    <t>Innosuisse - Schweizerische Agentur fur Innovationsforderung</t>
  </si>
  <si>
    <t>This research has been supported by the Innosuisse - Schweizerische Agentur fur Innovationsforderung (grant no. 26792.1 PFES-ES).</t>
  </si>
  <si>
    <t>JAN 29</t>
  </si>
  <si>
    <t>10.5194/nhess-21-393-2021</t>
  </si>
  <si>
    <t>WOS:000614290400001</t>
  </si>
  <si>
    <t>Ngo, Hai Ly; Nguyen, Huu Duy; Loubiere, Peio; Van Tran, Truong; Serban, Gheorghe; Zelenakova, Martina; Bretcan, Petre; Laffly, Dominique</t>
  </si>
  <si>
    <t>Monitoring Land-use/land-cover (LULC) changes are a significant challenge for sustainable spatial planning, particularly in response to transformation and degenerative landscape processes. These disturbances lead to the vulnerability of inhabitants and habitat and climate changes and socio-economic development in the region. Several studies have proposed different methods and techniques to monitor the spatial and temporal changes of LULC. Machine learning is a more popular method. However, the problem of data imbalance is a significant challenge, and the classification results tend to bias the majority classes for unbalanced data. Therefore, this study's objective is to develop a state-of-the-art technique to reduce the problem of data imbalance in LULC classification in Vietnam based on machine learning and SMOTE (Synthesizing Minority Oversampling Technology) with Edited Nearest Neighbor (ENN). Various statistical indices, including Kappa and Accuracy, have been used to assess the performance for the classification of Land-use/cover. The results indicate that integrating oversampling and under-sampling with SMOTE ENN gave better overall accuracy and generalization. We also find that the expected proportion of chance agreement after oversampling is higher than before (Kappa score before and after oversampling is 0.905244 and 0.974379, respectively). This study provides an effective method to monitor spatial and temporal land cover change in Vietnam; it plays a role as a framework for other relevant research related to land cover change, which can support planning and sustainable management of the territory.</t>
  </si>
  <si>
    <t>[Ngo, Hai Ly; Laffly, Dominique] Univ Jean Jaures, Dept Geog Planning &amp; Environm, Toulouse, France; [Ngo, Hai Ly; Loubiere, Peio] CY Techs, Pau, France; [Ngo, Hai Ly; Nguyen, Huu Duy; Van Tran, Truong] Vietnam Natl Univ, VNU Univ Sci, Fac Geog, 334 Nguyen Trai, Hanoi, Vietnam; [Ngo, Hai Ly] Open Dev Mekong, Bangkok, Thailand; [Serban, Gheorghe] Babes Bolyai Univ, Fac Geog, Cluj Napoca, Romania; [Zelenakova, Martina] Tech Univ Kosice, Fac Civil Engn, Dept Environm Engn, Kosice, Slovakia; [Bretcan, Petre] Valahia Univ Targoviste, Fac Humanities, Dept Geog, Dambovita 130105, Romania</t>
  </si>
  <si>
    <t>Vietnam National University Hanoi; Babes Bolyai University from Cluj; Technical University Kosice; Valahia University of Targoviste</t>
  </si>
  <si>
    <t>BERG FAC TECHNICAL UNIV KOSICE</t>
  </si>
  <si>
    <t>KOSICE</t>
  </si>
  <si>
    <t>PARK KOMENSKEHO 19, KOSICE, 043 84, SLOVAKIA</t>
  </si>
  <si>
    <t>1335-1788</t>
  </si>
  <si>
    <t>ACTA MONTAN SLOVACA</t>
  </si>
  <si>
    <t>Acta. Montan. Slovaca.</t>
  </si>
  <si>
    <t>10.46544/AMS.v27i2.05</t>
  </si>
  <si>
    <t>Geosciences, Multidisciplinary; Mining &amp; Mineral Processing</t>
  </si>
  <si>
    <t>WOS:000835043300001</t>
  </si>
  <si>
    <t>This study was conducted to identify the fire weather conditions needed to assess future peatland fires under climate change. Recent peatland fires in Indonesia have resulted in globally significant environmental impacts. Nevertheless, fire weather in the peatlands has not been clarified. The objective of this study is to determine the fire weather needed to assess future peatland fires under climate change. We analyzed fire, rainfall, temperature, humidity, and wind in the fire-prone areas in Sumatra. Analysis results using 20 years of satellite hotspot data from 2003 showed that fires in Sumatra occur every other month except December and April when rainfall intensifies. Due to relatively low rainfall, peatland fires in North Sumatra occur not only from January to March (the main dry season), but also around June and August if short-term drought happens. These fire trends may suggest that the peatlands of Sumatra are mostly in a combustible state. Analysis results using diurnal weather data showed that active peatland fires tend to occur under high air temperatures (around above 34 degrees C), low relative humidity (lower than 50%), and high wind speeds (higher than 18 km h(-1)). We hope that this report will help improve future peat fire assessments and fire forecasting under rapid climate change.</t>
  </si>
  <si>
    <t>[Hayasaka, Hiroshi] Hokkaido Univ, Arctic Res Ctr, Sapporo 0010021, Japan</t>
  </si>
  <si>
    <t>Hokkaido University</t>
  </si>
  <si>
    <t>U.S. Department of Energy, Office of Science Biological and Environmental Research (BER)(United States Department of Energy (DOE)); National Oceanic and Atmospheric Administration Climate Program Office(National Oceanic Atmospheric Admin (NOAA) - USA); NOAA Physical Sciences Laboratory(National Oceanic Atmospheric Admin (NOAA) - USA); Weather Spark; Cedar Lake Ventures, Inc.</t>
  </si>
  <si>
    <t>We would like to thank: (i) support for the Twentieth Century Reanalysis Project version 3 dataset is provided by the U.S. Department of Energy, Office of Science Biological and Environmental Research (BER), by the National Oceanic and Atmospheric Administration Climate Program Office, and by the NOAA Physical Sciences Laboratory; (ii) weather database from Weather Spark, Cedar Lake Ventures, Inc., 2500 Shadywood Rd Ste 510, Excelsior, MN 55331-6203, United States; and (iii) various maps from Google Map Pro by Google LLC. We also acknowledge the use of imagery from NASA's Worldview application (https://worldview.earthdata.nasa.gov, accessed on 21 April 2023), part of NASA's Earth Observing System Data and Information System (EOSDIS).</t>
  </si>
  <si>
    <t>APR 22</t>
  </si>
  <si>
    <t>10.3390/cli11050092</t>
  </si>
  <si>
    <t>WOS:000997193900001</t>
  </si>
  <si>
    <t>Nurhidayah, Laely; McIlgorm, Alistair</t>
  </si>
  <si>
    <t>Climate change and sea level rise (SLR) poses serious risks to coastal communities around the world requiring nations to apply adaptation laws and policies. Climate change will exacerbate the existing threats to vulnerable communities, such as the poor, and threaten the food security of populations in coastal areas through the effects of flooding due to coastal inundation. Indonesia is an Archipelagic State of over 17,000 islands and is vulnerable to climate change impacts in its coastal areas and especially in its highly populated low lying delta areas, such as Jakarta and Semarang, where vulnerability to sea level rise is evident. The adequacy of the legal adaptation framework in Indonesia to respond to this climate vulnerability is assessed and it is found to have limited consideration of the community burden arising from these climate and SLR uncertainties. A more inclusive social justice approach could assist government to respond to the impacts from these issues and to their implications for vulnerable groups. The nation can improve adaptive legal measures to address climate change impacts and increase the involvement of local people in climate change adaptation decision making. Funding is required to assist policy makers to further incorporate adaptation into decision making, and this could improve social justice outcomes for vulnerable Indonesian coastal communities.</t>
  </si>
  <si>
    <t>[Nurhidayah, Laely] Indonesian Inst Sci PMB LIPI, Res Ctr Soc &amp; Culture, Gd Widya Graha Lt 6 Jl Gatot Subroto 10, Jakarta, Indonesia; [McIlgorm, Alistair] Univ Wollongong, ANCORS, Wollongong, NSW 2522, Australia</t>
  </si>
  <si>
    <t>National Research &amp; Innovation Agency of Indonesia (BRIN); Indonesian Institute of Sciences (LIPI); University of Wollongong</t>
  </si>
  <si>
    <t>Australian Government's Endeavour Research Fellowship 2017</t>
  </si>
  <si>
    <t>This research was supported by Australian Government's Endeavour Research Fellowship 2017 with host institution at Australian National Centre for Ocean Resources and Security (ANCORS), The University of Wollongong, New South Wales, Australia.</t>
  </si>
  <si>
    <t>0964-5691</t>
  </si>
  <si>
    <t>1873-524X</t>
  </si>
  <si>
    <t>OCEAN COAST MANAGE</t>
  </si>
  <si>
    <t>Ocean Coastal Manage.</t>
  </si>
  <si>
    <t>APR 1</t>
  </si>
  <si>
    <t>10.1016/j.ocecoaman.2019.01.011</t>
  </si>
  <si>
    <t>Oceanography; Water Resources</t>
  </si>
  <si>
    <t>WOS:000461403800002</t>
  </si>
  <si>
    <t>Rendana, Muhammad; Idris, Wan Mohd Razi; Rahim, Sahibin Abdul; Rahman, Zulfahmi Ali; Lihan, Tukimat</t>
  </si>
  <si>
    <t>Climate change and soil erosion are very associated with environmental defiance which affects the life sustainability of humans. However, the potency effects of both events in tropical regions are arduous to be estimated due to atmospheric conditions and unsustainable land use management. Therefore, several models can be used to predict the impacts of distinct climate scenarios on human and environmental relationships. In this study, we aimed to predict current and future soil erosion potential in the Chini Lake Basin, Malaysia under different Climate Model Intercomparison Project-6 (CMIP6) scenarios (e.g., SSP2.6, SSP4.5, and SSP8.5). Our results found the predicted mean soil erosion values for the baseline scenario (2019-2021) was around 50.42 t/ha year. The mining areas recorded the highest soil erosion values located in the southeastern part. The high future soil erosion values (36.15 t/ha year) were obtained for SSP4.5 during 2060-2080. Whilst, the lowest values (33.30 t/ha year) were obtained for SSP2.6 during 2040-2060. According to CMIP6, the future soil erosion potential in the study area would reduce by approximately 33.9% compared to the baseline year (2019-2021). The rainfall erosivity factor majorly affected soil erosion potential in the study area. The output of the study will contribute to achieving the United Nations' 2030 Agenda for Sustainable Development.</t>
  </si>
  <si>
    <t>[Rendana, Muhammad] Univ Sriwijaya, Fac Engn, Dept Chem Engn, Indralaya 30662, S Sumatra, Indonesia; [Idris, Wan Mohd Razi; Rahman, Zulfahmi Ali; Lihan, Tukimat] Univ Kebangsaan Malaysia, Fac Sci &amp; Technol, Dept Earth Sci &amp; Environm, Bangi 43600, Selangor, Malaysia; [Rahim, Sahibin Abdul] Univ Malaysia Sabah, Fac Sci &amp; Nat Resources, Dept Environm Sci, Kota Kinabalu 88400, Sabah, Malaysia</t>
  </si>
  <si>
    <t>Universitas Sriwijaya; Universiti Kebangsaan Malaysia; Universiti Malaysia Sabah; Universiti Kebangsaan Malaysia</t>
  </si>
  <si>
    <t>10.1186/s40562-022-00254-7</t>
  </si>
  <si>
    <t>WOS:000907127000001</t>
  </si>
  <si>
    <t>Housing and climate disasters have a close relation in Vietnam. Cyclones have been seen as the most common and dangerous hazards associated with critical damage and losses of local housing and livelihoods. Besides destructive strengths of cyclones, fragile physical and socio-economic conditions also contribute to increased housing vulnerability to storms. In addition, post-disaster housing reconstruction (PDHR) is still commonly seen as a single recovery action separated from the process of building resilient shelter and settlements in this country. This paper, therefore, examines the issues of disaster resilient housing in the light of PDHR to identify key factors required for a resilient housing system. A case study is applied to investigate these factors with the focus on the NGO Development Workshop France's donor-built housing and the people's self-built housing in Loc Tri Commune as the selected case. The results show that housing reconstruction can improve pre-disaster fragilities and needs to be viewed as one of key stages of the housing development process. Findings also suggested that, to build resilient housing, physical unsafe conditions should be focused at the same time of enhancing socio-economic and institutional aspects such as supporting local economy development, applying building permits for safe construction or improving governance mechanisms that low-income vulnerable families can access local professional services (i.e. local architects and engineers) for more regular consultations towards a safe and resilient construction.</t>
  </si>
  <si>
    <t>[Tuan Anh Tran] RMIT Univ, Melbourne, Vic, Australia; [Tuan Anh Tran] Hue Univ Sci, Hue, Vietnam</t>
  </si>
  <si>
    <t>Royal Melbourne Institute of Technology (RMIT); Hue University</t>
  </si>
  <si>
    <t>10.1007/s11069-015-1826-3</t>
  </si>
  <si>
    <t>WOS:000361060500004</t>
  </si>
  <si>
    <t>Estoque, Ronald C.; Pontius, Robert G., Jr.; Murayama, Yuji; Hou, Hao; Thapa, Rajesh B.; Lasco, Rodel D.; Villar, Merlito A.</t>
  </si>
  <si>
    <t>This article compares and assesses eight remotely sensed maps of Philippine forest cover in the year 2010. We examined eight Forest versus Non-Forest maps reclassified from eight land cover products: the Philippine Land Cover, the Climate Change Initiative (CCI) Land Cover, the Landsat Vegetation Continuous Fields (VCF), the MODIS VCF, the MODIS Land Cover Type product (MCD12Q1), the Global Tree Canopy Cover, the ALOS-PALSAR Forest/Non-Forest Map, and the GlobeLand30. The reference data consisted of 9852 randomly distributed sample points interpreted from Google Earth. We created methods to assess the maps and their combinations. Results show that the percentage of the Philippines covered by forest ranges among the maps from a low of 23% for the Philippine Land Cover to a high of 67% for GlobeLand30. Landsat VCF estimates 36% forest cover, which is closest to the 37% estimate based on the reference data. The eight maps plus the reference data agree unanimously on 30% of the sample points, of which 11% are attributable to forest and 19% to non-forest. The overall disagreement between the reference data and Philippine Land Cover is 21%, which is the least among the eight Forest versus Non-Forest maps. About half of the 9852 points have a nested structure such that the forest in a given dataset is a subset of the forest in the datasets that have more forest than the given dataset. The variation among the maps regarding forest quantity and allocation relates to the combined effects of the various definitions of forest and classification errors. Scientists and policy makers must consider these insights when producing future forest cover maps and when establishing benchmarks for forest cover monitoring.</t>
  </si>
  <si>
    <t>[Estoque, Ronald C.] Natl Inst Environm Studies, 16-2 Onogawa, Tsukuba, Ibaraki 3058506, Japan; [Pontius, Robert G., Jr.] Clark Univ, Sch Geog, Worcester, MA 01610 USA; [Murayama, Yuji] Univ Tsukuba, Fac Life &amp; Environm Sci, 1-1-1 Tennodai, Tsukuba, Ibaraki 3058572, Japan; [Hou, Hao] Hangzhou Normal Univ, Inst Remote Sensing &amp; Earth Sci, Yuhangtang Rd 2318, Hangzhou 311121, Zhejiang, Peoples R China; [Thapa, Rajesh B.] Int Ctr Integrated Mt Dev, GPO Box 3226, Lalitpur, Kathmandu, Nepal; [Lasco, Rodel D.] IRRI, World Agroforestry Ctr ICRAF, Los Banos 4031, Laguna, Philippines; [Villar, Merlito A.] Dept Environm &amp; Nat Resources Reg 3, Conservat Dev Div, San Fernando 2000, Pampanga, Philippines</t>
  </si>
  <si>
    <t>National Institute for Environmental Studies - Japan; Clark University; University of Tsukuba; Hangzhou Normal University; CGIAR; International Rice Research Institute (IRRI); World Agroforestry (ICRAF)</t>
  </si>
  <si>
    <t>The first author was supported by the Japan Society for the Promotion of Science through Grant-in-Aid for Research Activity Start Up: No. 15H06067, 2015-16 (Representative: Ronald C. Estoque) and Grant-in-Aid for Challenging Exploratory Research No. 16K12816, 2016-2018 (Representative: Yuji Murayama). Any opinions, findings, conclusions, or recommendations expressed in this article are those of the authors and do not necessarily reflect the views of their respective organizations, as well as the funders. The authors also acknowledge the: (1) Land Resource Division of NAMRIA's Resource Data Analysis Branch for providing the 2010 Philippine Land Cover data, (2) producers of the global land cover products that were used, and (3) anonymous reviewers for their constructive suggestions.</t>
  </si>
  <si>
    <t>10.1016/j.jag.2017.10.008</t>
  </si>
  <si>
    <t>WOS:000427307800011</t>
  </si>
  <si>
    <t>Lu, Mong-Ming; Tsai, Wayne Yuan -Huai; Huang, Sheng-Feng; Cho, Yin -Min; Sui, Chung-Hsiung; Solis, Ana L. S.; Chen, Meng-Shih</t>
  </si>
  <si>
    <t>During the first half month of April 2022, the Philippines experienced severe disasters associated with the weak but deadly tropical storm Megi that caused 214 deaths and two sunken ships. This prompted us to investigate the extended-range prediction skill of the springtime Philippine sub-seasonal scale rainfall extremes in the subseasonal-to-seasonal (S2S) prediction database. The results suggest that the S2S models can well predict the extremity of the 2022 springtime sub-seasonal peak rainfall event (SPRE) ten days ahead. In addition to the La Nin &amp; SIM;a sea surface temperature anomalies, this prolonged rainfall event, from March 26 -April 14, 2022, was associated with an anomalous cyclonic circulation straddled over the South China Sea (SCS) and the Philippine Sea and persisted for two weeks. The strong relationship between the El Nin &amp; SIM;o and Southern Oscillation (ENSO) and the springtime (February-April) rainfall variability in the Philippines is clearly revealed in the analysis of 25 years of observational and hindcast data. The extremely wet SPREs tend to occur during the La Nin &amp; SIM;a springs, while the extremely dry SPREs tend to occur during the El Nin &amp; SIM;o springs. The Madden-Julian oscillation (MJO) and equatorial Rossby (ER) waves that are capable of modulating the sub-seasonal rainfall extremes were weak when the deadly SPRE occurred in April 2022. Thus, the extended-range forecast skill of this example can be interpreted as the baseline skill of the current S2S prediction revealed in the multi-model database. The findings suggest that the SPRE is a useful item to be included in the operational forecast as potential opportunities to harness the benefits of S2S prediction and applications.</t>
  </si>
  <si>
    <t>[Lu, Mong-Ming; Tsai, Wayne Yuan -Huai; Huang, Sheng-Feng; Cho, Yin -Min; Sui, Chung-Hsiung] Natl Taiwan Univ, Dept Atmospher Sci, Taipei, Taiwan; [Solis, Ana L. S.] Philippine Atmospher Geophys &amp; Astron Serv Adm, Cavite City, Philippines; [Chen, Meng-Shih] Cent Weather Bur, Taipei City, Taiwan</t>
  </si>
  <si>
    <t>National Taiwan University; Central Weather Bureau (CWB)</t>
  </si>
  <si>
    <t>National Science and Technology Council (Taiwan); NSTC</t>
  </si>
  <si>
    <t>This study is supported by the National Science and Technology Council (Taiwan) , R.O.C., Grant MOST 109-2811-M-002-646-MY2, MOST 110-2923-M-002 -006 -, MOST 111-2111-M-002-007. CHS is supported by the grant MOST 109-2111-M-002-004, MOST 109-2119- M-001-011, MOST 110-2111-M-002-015, MOST 110-2119-M-002-012, NSTC 111-2111-M-002-011.</t>
  </si>
  <si>
    <t>10.1016/j.wace.2023.100582</t>
  </si>
  <si>
    <t>WOS:001019862000001</t>
  </si>
  <si>
    <t>Yamamoto, Kodai; Sayama, Takahiro; Apip</t>
  </si>
  <si>
    <t>Climate change will have a significant impact on the water cycle and will lead to severe environmental problems and disasters in humid tropical river basins. Examples include river basins in Sumatra Island, Indonesia, where the coastal lowland areas are mostly composed of peatland that is a wetland environment initially sustained by flooding from rivers. Climate change may alter the frequency and magnitude of flood inundation in these lowland areas, disturbing the peatland environment and its carbon dynamics and damaging agricultural plantations. Consequently, projecting the extent of inundation due to future flooding events is considered important for river basin management. Using dynamically downscaled climate data obtained by the Non-Hydrostatic Regional Climate Model (NHRCM), the Rainfall-Runoff-Inundation (RRI) model was applied to the Batanghari River Basin (42,960 km(2)) in Sumatra Island, Indonesia, to project the extent of flood inundation in the latter part of the twenty-first century. In order to obtain reasonable estimates of the extent of future flood inundation, this study compared two bias correction methods: a Quantile Mapping (QM) method and a combination of QM and Variance Scaling (VS) methods. The results showed that the bias correction obtained by the QM method improved the simulated flow duration curve (FDC) obtained from the RRI model, which facilitated comparison with the simulated FDC using reference rainfall data. However, the high spatial variability observed in daily and 15-day rainfall data remained as the spatial variation bias, and this could not be resolved by simple QM bias correction alone. Consequently, the simulated extreme variables, such as annual maximum flood inundation volume, were overestimated compared to the reference data. By introducing QM-VS bias correction, the cumulative density functions of annual maximum discharge and inundation volumes were improved. The findings also showed that flooding will increase in this region; for example, the flood inundation volume corresponding to a 20-year return period will increase by 3.3 times. River basin management measures, such as land use regulations for plantations and wetland conservation, should therefore consider increases in flood depth and area, the extents of which under a future climate scenario are presented in this study.</t>
  </si>
  <si>
    <t>[Yamamoto, Kodai] Kyoto Univ, Grad Sch Engn, Nishigyo Ward, Kyoto, Japan; [Sayama, Takahiro] Kyoto Univ, Disaster Prevent Res Inst, Uji, Japan; [Apip] Indonesian Inst Sci LIPI, Res Ctr Limnol, Jalan Raya Jakarta Bogor Km 46, Bogor 16911, Indonesia</t>
  </si>
  <si>
    <t>Kyoto University; Kyoto University; National Research &amp; Innovation Agency of Indonesia (BRIN); Indonesian Institute of Sciences (LIPI)</t>
  </si>
  <si>
    <t>Integrated Research Program for Advancing Climate Models (TOUGOU) Project; JSPS KAKENHI(Ministry of Education, Culture, Sports, Science and Technology, Japan (MEXT)Japan Society for the Promotion of ScienceGrants-in-Aid for Scientific Research (KAKENHI)); JST Japan-ASEAN Science, Technology and Innovation Platform (JASTIP); Grants-in-Aid for Scientific Research(Ministry of Education, Culture, Sports, Science and Technology, Japan (MEXT)Japan Society for the Promotion of ScienceGrants-in-Aid for Scientific Research (KAKENHI))</t>
  </si>
  <si>
    <t>This work was supported by the Integrated Research Program for Advancing Climate Models (TOUGOU) Project (Theme D: PI: EN), JSPS KAKENHI Grant Number 17H04586 (PI: TS), and JST Japan-ASEAN Science, Technology and Innovation Platform (JASTIP) (PI: YK, Leader of WP4: KT).</t>
  </si>
  <si>
    <t>JAN 6</t>
  </si>
  <si>
    <t>10.1186/s40645-020-00386-4</t>
  </si>
  <si>
    <t>WOS:000605633700001</t>
  </si>
  <si>
    <t>Orieschnig, Christina; Venot, Jean-Philippe; Massuel, Sylvain; Eang, Khy Eam; Chhuon, Kong; Lun, Sambo; Siev, Sokly; Belaud, Gilles</t>
  </si>
  <si>
    <t>As in many tropical deltas globally, annual floods shape the livelihoods of the largely rural population in the Cambodian Mekong delta. Agricultural cycles are keyed to the flood arrival, peak, and recession, and fish populations depend on inundated floodplains for their regeneration. However, as factors like climate change and hydropower infrastructure development are altering the Mekong's hydrology, the inundation dynamics of its deltaic floodplains are shifting as well. Several studies have assessed the general changes of river discharge and flood extent on a basin-or delta-wide scale. Yet the sustainable development of this region is relying on dynamics at more local and specific scales, which have not been addressed so far. This paper presents a methodology to track the evolution of hydrological regimes and associated inundations in tropical deltas such as the upper Mekong delta in Cambodia, where it is applied over the past 30 years. Data scarcity and heterogeneity of the environment in this region necessitated the use of combined approaches. We established a link between water levels measured in situ and flood maps derived from optical and radar satellite images (Sentinel-1 and -2).The robustness of the link was assessed using Sentinel, Landsat imagery and the TanDEM-X (12 m) elevation model. This water level-flood link (WAFL) was then used to reconstruct a daily time series of inundation extents reaching back to the beginning of hydrological measurements in 1991 (30 years). On this basis, changes in the incidence, duration, and spatial distribution of floods were analysed. The results indicated that WAFL can be used to reconstruct inundation maps with an overall robustness of 87% in comparison to historical inundation maps derived from remote sensing imagery. Comparisons of WAFLderived flood extents with Landsat images further underscored the significant role of local infrastructure, sedimentation dynamics, and land cover to explain changes in inundation dynamics. WAFL-based analyses revealed that inundation durations have decreased by an average of 19 days when comparing the periods before and after 2008, which was identified as a break point in the hydrological time series. Furthermore, a drastic decrease in inundation the annual frequency with which individual pixels are flooded can be detected during the first half of the traditional flood season, with an average of-21% in early August, negatively impacting water-based livelihoods, from agriculture to fisheries.</t>
  </si>
  <si>
    <t>French Development Agency (AFD); Royal University of Agriculture</t>
  </si>
  <si>
    <t>The authors thank the French Development Agency (AFD) for its support through the COSTEA project, the Wat-Health project (FSPI-2021) , and our esteemed colleagues at the Institute of Technology of Cambodia as well as the Royal University of Agriculture for their invaluable partnership and support during field work.</t>
  </si>
  <si>
    <t>10.1016/j.jhydrol.2022.127902</t>
  </si>
  <si>
    <t>WOS:000812210400001</t>
  </si>
  <si>
    <t>Sharma, Devesh; Babel, Mukand S.</t>
  </si>
  <si>
    <t>The objective of the present study was to analyse the impacts of climate change on streamflow in the Mae Klong basin in Thailand using improved daily gridded precipitation data of the ECHAM4/OPYC global climate model. Bias correction and spatial downscaling methods are frequently used to improve global climate model precipitation. For bias correction, gamma-gamma transformation and ratio methods were used to correct the frequency and quantity of raw global circulation model (GCM) precipitation data. Spatial disaggregation, based on a multiplicative random cascade, was applied to downscale coarse resolution climate projected precipitation spatially. A rainfall-runoff model (Hydrologic Engineering Center Hydrologic Modelling System, HEC-HMS) was used to simulate future streamflow scenarios for three 5year windows: the 2025s, the 2050s and the 2095s. The downscaling model parameters ( and sigma(2)) were estimated separately for each month using the Mandelbrot-Kahane-Peyriere function. Both methods have proved useful in improving the quality, compared to historical trends and rainfall variability, of raw GCM precipitation data by reducing bias. There will not be much impact on water resources and water availability due to climate change in the coming decades in the Mae Klong River. There is some chance that, in the future, the monsoons will start before their regular period. There is also a chance of an increase in streamflow in the dry period and a decrease of streamflow in the wet period in the basin.</t>
  </si>
  <si>
    <t>[Sharma, Devesh] Cent Univ Rajasthan, Dept Environm Sci, Ajmer, India; [Babel, Mukand S.] Asian Inst Technol, Water Engn &amp; Management, Pathum Thani, Thailand</t>
  </si>
  <si>
    <t>10.1002/met.1706</t>
  </si>
  <si>
    <t>WOS:000437850100006</t>
  </si>
  <si>
    <t>He, Jie; Garzanti, Eduardo; Jiang, Tao; Barbarano, Marta; Liu, Entao; Chen, Si; Liao, Yuantao; Li, Xiaopeng; Wang, Hua</t>
  </si>
  <si>
    <t>The Cenozoic rise of the Tibetan Plateau has caused a thorough reorganization of the eastern Asia river network. Unravelling the still unclear evolution of the Red River, formerly a larger paleoriver system, represents one essential step towards a better understanding of the interaction between climate and mountain building in this extremely tectonically active region of the Earth. We here present original and compiled petrographic, heavy -mineral, Sr and Nd isotope, and U-Pb detrital-zircon geochronological data from Red River sediments, upper reaches of modern rivers sourced in Tibet, stratigraphic successions of inland basins, and cores drilled in offshore basins in the South China Sea, to provide new light on the Cenozoic drainage evolution across southeast Asia. The south-flowing transcontinental paleoriver that flowed through the Sichuan, Chuxiong, Simao and Khorat basins in the latest Cretaceous was disrupted in the Paleogene in response to regional uplift. The Pearl paleoriver then began to develop as the joint Bei and Dong paleorivers and started to incise westward to eventually reach the margin of the southeastern Tibetan Plateau in the Neogene. The Red paleoriver also progressively evolved into a larger catchment through the Paleogene, incorporating the Jinsha paleoriver and a tributary draining the western Yangtze block. In the early-middle Miocene, the Red paleoriver eventually lost its Tibetan headwaters when the Jinsha River was captured by the Yangtze River at the First Bend. The present drainage configuration of the Red and Pearl rivers started to develop in the mid-Miocene.</t>
  </si>
  <si>
    <t>[He, Jie; Jiang, Tao; Liu, Entao; Liao, Yuantao] China Univ Geosci, Coll Marine Sci &amp; Technol, Wuhan 430074, Peoples R China; [He, Jie; Jiang, Tao; Liu, Entao; Liao, Yuantao] China Univ Geosci, Hubei Key Lab Marine Geol Resources, Wuhan 430074, Peoples R China; [He, Jie; Garzanti, Eduardo; Barbarano, Marta] Univ Milano Bicocca, Dept Earth &amp; Environm Sci, Lab Provenance Studies, I-20216 Milan, Italy; [Chen, Si; Wang, Hua] China Univ Geosci, Sch Earth Resources, Wuhan 430074, Peoples R China; [Li, Xiaopeng] Hunan Univ Sci &amp; Technol, Sch Earth Sci &amp; Spatial Informat Engn, Xiangtan 411201, Peoples R China</t>
  </si>
  <si>
    <t>China University of Geosciences; China University of Geosciences; University of Milano-Bicocca; China University of Geosciences; Hunan University of Science &amp; Technology</t>
  </si>
  <si>
    <t>National Natural Science Foundation of China(National Natural Science Foundation of China (NSFC)); MIUR-Dipartimenti di Eccellenza; Department of Earth and Environmental Sciences, University of Milano-Bicocca, Postdoctoral Innovation Research Position in Hubei Province; CNOOC South China Sea Oil &amp; Gas Energy Academician Workstation</t>
  </si>
  <si>
    <t>This study was supported by the National Natural Science Foundation of China (42202119, U19B2007, 41976073, 42072142) , MIUR-Dipartimenti di Eccellenza 2023-2027, Department of Earth and Environmental Sciences, University of Milano-Bicocca, Postdoctoral Innovation Research Position in Hubei Province (No.294770) , and CNOOC South China Sea Oil &amp; Gas Energy Academician Workstation (No. YSPTZX202302) . We thank Zhenghong Yu, Xiaoyu Wu, Weidong Xie for help during the detrital zircon U-Pb dating experiment, and Chaoqun Yang for beneficial discussions. Anonymous reviewers kindly offered careful constructive comments during the revision process and Editor Guillaume Dupont-Nivet handled the manuscript very efficiently.</t>
  </si>
  <si>
    <t>0012-8252</t>
  </si>
  <si>
    <t>1872-6828</t>
  </si>
  <si>
    <t>EARTH-SCI REV</t>
  </si>
  <si>
    <t>Earth-Sci. Rev.</t>
  </si>
  <si>
    <t>10.1016/j.earscirev.2023.104572</t>
  </si>
  <si>
    <t>WOS:001084738000001</t>
  </si>
  <si>
    <t>Nakasu, Tadashi; Miyamoto, Mamoru; Bhula-or, Ruttiya; Mokkhamakkul, Tartat; Anantsuksomsri, Sutee; Amornkitvikai, Yot; Duangkaew, Sutpratana; Okazumi, Toshio</t>
  </si>
  <si>
    <t>This paper aims to identify the root causes that exacerbated the economic damage from the 2011 Chao Phraya river flood disaster in central Thailand industrial complex area. Finding root causes is crucial for learning from disasters; however, there has not been much investigation of the economic damage root causes with regard to the 2011 Chao Phraya river flood disaster. This paper seeks to investigate the root causes of the economic damage by organizing the existing analytical frameworks, tools and approaches to clarify why industrial parks and estates experienced such substantial economic devastation that resonated worldwide. The study's research design includes a social background survey, in-depth interview surveys and an investigation of the disaster's root causes. Through the research, inadequate urban and land use planning facilitated by a decentralization policy, foreign companies settlement in the country, which involved urbanization and relocation without proper risk assessment, information, and knowledge, and supplier's responsibility based on the supply chain's structure, are detected as root causes for the high economic damage in the industrial complex area. This study also provides key lessons essential to building regional resilience in industrial complex areas: 1) considering the potential risks of regional planning, which include both socio-economic and climate changes; 2) clarifying the roles of companies, regions, and nations in sharing risk information with related stakeholders before, during, and after a disaster; and 3) building horizontal and vertical collaborations among all related stakeholders.</t>
  </si>
  <si>
    <t>[Nakasu, Tadashi; Bhula-or, Ruttiya; Mokkhamakkul, Tartat; Anantsuksomsri, Sutee; Amornkitvikai, Yot] Chulalongkorn Univ, Coll Populat Studies, Visid Prachuabmoh Bldg, Bangkok 10330, Thailand; [Miyamoto, Mamoru] Publ Works Res Inst, Int Ctr Water Hazard &amp; Risk Management, Ibaraki, Japan; [Duangkaew, Sutpratana] Mahidol Univ, Fac Liberal Arts, Salaya, Nakhon Pathom, Thailand; [Okazumi, Toshio] Member House Councilor, Tokyo, Japan</t>
  </si>
  <si>
    <t>Chulalongkorn University; PWRI: Public Works Research Institute; Mahidol University</t>
  </si>
  <si>
    <t>Science and Technology Research Partnership for Sustainable Development; Japan Science and Technology Agency (JST)(Japan Science &amp; Technology Agency (JST)); Japan International Cooperation Agency (JICA); Rachadapisek Sompoch Endowment Fund; Collaborating Centre for Labour Research, Chulalongkorn University</t>
  </si>
  <si>
    <t>This research is based on a reinvestigation of the Chain Reactions of Economic Damage Caused by the 2011 Chao Phraya River Flood project by International Center for Water Hazard and Risk Management-Public Works Research Institute. The authors would like to thank the JCCB, JETRO, industrial parks and estates, and our respondent companies for their kind cooperation in providing assistance in our survey process. This research was supported by the Science and Technology Research Partnership for Sustainable Development in a collaboration between the Japan Science and Technology Agency (JST, JPMJSAI1708) and Japan International Cooperation Agency (JICA), and the Rachadapisek Sompoch Endowment Fund and Collaborating Centre for Labour Research, Chulalongkorn University.</t>
  </si>
  <si>
    <t>WOS:000558588900003</t>
  </si>
  <si>
    <t>Rojpratak, S.; Supharatid, S.</t>
  </si>
  <si>
    <t>Various climate extreme events in Thailand such as more recurrent and more intense floods, droughts, tropical storms, and extreme rainfall events pose increasing threats to the environment, water resources, and agricultural production. To assess the occurrence and impacts of extreme climate events, we have overviewed and investigated the changes of indices characterizing extreme precipitation provided by the Expert Team on Climate Change Detection and Indices (ETCCDI) across the country. Ten precipitation extreme indices (PRCPTOT, SDII, R10mm, R20mm, R95p, R99p, Rx1day, Rx5day, CDD, and CWD), including the strength of Asian monsoon (SWMR and NEMR) were calculated from the station data, then comparisons and projections were made with CMIP5 models. The SWMR displays high values (South and East) and low values (North, Northeast, and Central), implying high potential flood and drought hazard areas similar to the distributions of precipitation intensity extreme indices (PRCPTOT, SDII, R95p, R99p, Rx1day, and Rx5day). Most GCMs display similar spatial distribution pattern of high intensity of extreme precipitation indices to observations while there are much greater variety of results between the models and observations for the frequency indices. The multi-model ensemble (MME) projects increase in most precipitation extreme indices, indicating stronger precipitation events (by R95p and R99p) across the country notably in the west, Central, and South. Though, the MME delivers better results, some individual GCMs display high uncertainties among different RCP scenarios. Therefore, selection of suitable GCMs along with bias-correction method for regional impact study under extreme climate have to be done carefully.</t>
  </si>
  <si>
    <t>[Rojpratak, S.; Supharatid, S.] Rangsit Univ, Coll Engn, Pathum Thani 12000, Thailand; [Rojpratak, S.] Rangsit Univ, Climate Change &amp; Disaster Ctr, Pathum Thani 12000, Thailand</t>
  </si>
  <si>
    <t>Rangsit University; Rangsit University</t>
  </si>
  <si>
    <t>Thailand Research Fund (The Royal Golden Jubilee Ph.D.)(Thailand Research Fund (TRF))</t>
  </si>
  <si>
    <t>We would like to thank the anonymous reviewers for their valuable comments. The author gratefully acknowledges the assistance of the Thailand Research Fund (The Royal Golden Jubilee Ph.D. Program) for supporting full scholarship under grant number PHD/0203/2560. Sincere thanks to the Thai Meteorological Department for providing theobserved precipitation data for this study. The climate extreme index datasets were obtained from the ETCCDI archive (https://climate-modelling.canada.ca/data/climdex/) .</t>
  </si>
  <si>
    <t>10.1016/j.wace.2022.100475</t>
  </si>
  <si>
    <t>WOS:000822969800001</t>
  </si>
  <si>
    <t>Wang, Dawei; Wu, Shiguo; Yao, Genshun; Wang, Weiwei</t>
  </si>
  <si>
    <t>Cyclic deposit systems, which exhibit mass-transport deposits at the base and channel-levee deposits toward the top, are identified in Pleistocene sequences of the deep-water Qiongdongnan Basin at depths between 1000 and 1500 m. Based on 3D seismic data, seismic amplitude, coherence, time thickness, waveform classification, and stratal slices, we show the vertical evolution of the cyclic deposit system. Channel-levee deposits display the sequence from the erosional channel systems to the leveed channel systems. Erosional channel systems have a stronger ability to incise the slope and contain erosional channels, un-developed levees, smooth lateral margins, crevasse splays, and slides. Leveed channel systems, which are less deeply incised than erosional channel systems, contain leveed channels, developed levees and overbank deposits. Kinematic indicators suggest that cyclic deposit systems are sourced from shelf edge/upper slope systems in central Vietnam, where mountainous rivers deliver high amounts of terrigenous clastics. The proper order of the cyclic deposit system, pollen cycles from Site 1144, and the maximum delta C-13 values (delta(13)Cmax) at 1.6, 1.0 and 0.5 Ma from Site 1143 suggest a new model for the systematic deep-water sequences that may be related to the different stages of Pleistocene relative sea-level changes on the long eccentricity cycle time-scale. The start time point of three cyclic deposit systems is inferred respectively corresponding to three climate events at 1.6, 0.9 and 0.4 Ma during the Pleistocene. (C) 2015 Elsevier B.V. All rights reserved,</t>
  </si>
  <si>
    <t>[Wang, Dawei; Wu, Shiguo] Chinese Acad Sci, Inst Deep Sea Sci &amp; Engn, Sanya 572000, Peoples R China; [Yao, Genshun] PetroChina Hangzhou Inst Geol, Hangzhou 310023, Zhejiang, Peoples R China; [Wang, Weiwei] China Univ Petr, Qingdao 266580, Peoples R China</t>
  </si>
  <si>
    <t>Chinese Academy of Sciences; Institute of Deep-Sea Science &amp; Engineering, CAS; China National Petroleum Corporation; China University of Petroleum</t>
  </si>
  <si>
    <t>National Natural Science Foundation of China(National Natural Science Foundation of China (NSFC)); National Program on Key Basic Research Project (973 Program)(National Basic Research Program of China); Knowledge Innovation Pioneer Project of China, Academy of Science</t>
  </si>
  <si>
    <t>We thank editor-in-chief Michele Rebesco, and two reviewers, Dr. Tiago M. Alves and another anonymous reviewer, for their critical but constructive reviews that significantly improved the manuscript, and editors for editorial handling and editing. China National Petroleum Company and China National Offshore Oil Cooperation are greatly acknowledged for their permissions to release the seismic and well data. This work was supported by the National Natural Science Foundation of China (41576049), National Program on Key Basic Research Project (973 Program) (2015CB251201) and Knowledge Innovation Pioneer Project of China, Academy of Science (SIDSSE201403). Thanks to Dr. George Spence and Dr. Michael Strasser for discussion and advice.</t>
  </si>
  <si>
    <t>10.1016/j.margeo.2015.10.002</t>
  </si>
  <si>
    <t>WOS:000366233500004</t>
  </si>
  <si>
    <t>Dang Nguyen Dong Phuong; Nguyen Thi Huyen; Nguyen Duy Liem; Nguyen Thi Hong; Dang Kien Cuong; Nguyen Kim Loi</t>
  </si>
  <si>
    <t>Understanding past changes in the characteristics of climate extremes forms an essential part of viable countermeasures to cope with climate-induced risks in a rapidly warming world. Thus, this paper endeavored to explore possible non-monotonic trend components in heavy rainfall events over the Central Highlands (Vietnam) by employing Sen's innovative trend analysis method in conjunction with the well-defined extreme rainfall indices. The outcomes show less spatially coherent trends in the intensity, frequency, and duration of extreme rainfall events across the study area, and most analyzed indices exhibited non-monotonic trend forms. The overall trends in the intensity and frequency, represented by maximum 1-day, 5-day precipitation amount (Rx1day, Rx5day), very and extremely wet days (R95p and R99p), and the number of very and extremely heavy precipitation days (R20mm and R50mm), were characterized by significant increases at three or four sites. Concerning dry and wet extremes, observed increases in consecutive dry days (CDD) and decreases in consecutive wet days (CWD) were identified significantly simultaneously at three sites. There is high domination of significant increases in high-value subgroups of these indices. Several sites also exposed significantly increasing trend behaviors in these indices within all low-, medium-, and high-value subgroups, thereby implying the intensity and frequency have intensified over recent decades. This study also indicated potential linkages between annual peaks of several extreme rainfall indices, characterizing intensity, frequency, and wet duration, usually coincided with negative Indian Ocean Dipole and La Nina events, while dry extremes were usually found during El Nino events based on correlation analysis.</t>
  </si>
  <si>
    <t>[Dang Nguyen Dong Phuong; Nguyen Kim Loi] Nong Lam Univ Ho Chi Minh City, Res Ctr Climate Change, Ho Chi Minh City, Vietnam; [Nguyen Thi Huyen; Nguyen Duy Liem] Nong Lam Univ Ho Chi Minh City, Fac Environm &amp; Nat Resources, Ho Chi Minh City, Vietnam; [Nguyen Thi Hong] Vietnam Natl Univ, VNU Univ Sci, Fac Geol, Hanoi, Vietnam; [Dang Kien Cuong] Nong Lam Univ Ho Chi Minh City, Fac Informat Technol, Ho Chi Minh City, Vietnam</t>
  </si>
  <si>
    <t>Nong Lam University; Nong Lam University; Vietnam National University Hanoi; Nong Lam University</t>
  </si>
  <si>
    <t>10.1007/s00704-021-03842-3</t>
  </si>
  <si>
    <t>WOS:000720704000001</t>
  </si>
  <si>
    <t>Phuong, Dang Nguyen Dong; Huyen, Nguyen Thi; Tu, Le Hoang; Ha, Phan Thi; Nhat, Tran Thong; Loi, Nguyen Kim</t>
  </si>
  <si>
    <t>Conducting an in-depth quantification of warming conditions in a given region is crucially conducive to devising more informed, credible, and effective climate actions. The traditional approach commonly is to apply a single monotonic trend test for specified beginning and ending times within a predetermined period, which is sensitive to the analyzed period. Thus, the present study aimed to apply multiple non-parametric statistical trend tests to the observed daily mean, maximum, and minimum temperature records at 12 sites located proportionally to the whole extent of the Central Highlands, Vietnam. This approach was implemented by performing Sen's slope estimator and block bootstrapping Mann-Kendall tests repeatedly with various beginning and ending years for all possible periods of at least 10 years in length during 1980-2019. This study also delved into non-monotonic trend components in temperature means and extremes by employing an innovative trend analysis (ITA) methodology. The outcomes indicated significant warming trends in the annual mean, maximum, and minimum temperatures, with the estimated trend slopes varying mainly from 0.30-0.43, 0.09-0.25, and 0.41-0.52 degrees C/decade, respectively. Most extreme temperature indices (i.e., Max Tmin, Min Tmin, warm spell duration indicator, warm days/nights) were characterized mainly by positive trends. The results also pointed out higher warming levels in the annual mean and minimum temperatures than the annual maximum one, and likewise, most extreme temperature indices deriving from daily minimum temperature exhibited faster rates than those from maximum one. These findings highlight the superiority of applying the multiple trend tests and ITA method to clarify temporal trend patterns.</t>
  </si>
  <si>
    <t>[Phuong, Dang Nguyen Dong; Tu, Le Hoang; Ha, Phan Thi; Loi, Nguyen Kim] Nong Lam Univ Ho Chi Minh City, Res Ctr Climate Change, Ho Chi Minh City, Vietnam; [Huyen, Nguyen Thi] Nong Lam Univ Ho Chi Minh City, Fac Environm &amp; Nat Resources, Ho Chi Minh City, Vietnam; [Nhat, Tran Thong] Ho Chi Minh City Univ Nat Resources &amp; Environm, Fac Informat Syst &amp; Remote Sensing, Ho Chi Minh City, Vietnam</t>
  </si>
  <si>
    <t>Nong Lam University; Nong Lam University</t>
  </si>
  <si>
    <t>10.1007/s00703-022-00886-6</t>
  </si>
  <si>
    <t>WOS:000784176500001</t>
  </si>
  <si>
    <t>Redmond, Grace; Hodges, Kevin I.; Mcsweeney, Carol; Jones, Richard; Hein, David</t>
  </si>
  <si>
    <t>The regional climate modelling system PRECIS, was run at 25 km horizontal resolution for 150 years (1949-2099) using global driving data from a five member perturbed physics ensemble (based on the coupled global climate model HadCM3). Output from these simulations was used to investigate projected changes in tropical cyclones (TCs) over Vietnam and the South China Sea due to global warming (under SRES scenario A1B). Thirty year climatological mean periods were used to look at projected changes in future (2069-2098) TCs compared to a 1961-1990 baseline. Present day results were compared qualitatively with IBTrACS observations and found to be reasonably realistic. Future projections show a 20-44 % decrease in TC frequency, although the spatial patterns of change differ between the ensemble members, and an increase of 27-53 % in the amount of TC associated precipitation. No statistically significant changes in TC intensity were found, however, the occurrence of more intense TCs (defined as those with a maximum 10 m wind speed &gt; 35 m/s) was found to increase by 3-9 %. Projected increases in TC associated precipitation are likely caused by increased evaporation and availability of atmospheric water vapour, due to increased sea surface and atmospheric temperature. The mechanisms behind the projected changes in TC frequency are difficult to link explicitly; changes are most likely due to the combination of increased static stability, increased vertical wind shear and decreased upward motion, which suggest a decrease in the tropical overturning circulation.</t>
  </si>
  <si>
    <t>[Redmond, Grace; Mcsweeney, Carol; Jones, Richard; Hein, David] Met Off Hadley Ctr, Exeter, Devon, England; [Hodges, Kevin I.] Univ Reading, NERC Ctr Earth Observat, Reading, Berks, England</t>
  </si>
  <si>
    <t>Capacity Building for Climate Change Project (CBCC) project, a UNDP; Vietnam's Institute for Meteorology, Hydrology and Environment (IMHEN)</t>
  </si>
  <si>
    <t>This research was carried out as part of the Capacity Building for Climate Change Project (CBCC) project (www.cbcc.org.vn), a UNDP funded initiative in collaboration with Vietnam's Institute for Meteorology, Hydrology and Environment (IMHEN). We would like to thank NOAA/National Climate Data Centre for providing IBTrACS data.</t>
  </si>
  <si>
    <t>10.1007/s00382-014-2450-8</t>
  </si>
  <si>
    <t>WOS:000362667100018</t>
  </si>
  <si>
    <t>Chandrasa, Ganesha T.; Montenegro, Alvaro</t>
  </si>
  <si>
    <t>The need for good quality information on climate and its future changes has become increasingly important for society. Of particular interest are analysis and predictions of rainfall at pertinent spatial scales. An option is the use of regional climate models (RCMs) as a physics-based downscaling tool to retrieve higher spatial resolution information from coarser present and future climate datasets. In order to verify if simulations provide added values that result in an appropriate representation of the state of climate at finer spatial resolutions, the adoption of RCMs requires prior optimization. The performance of the Weather Research and Forecasting Model RCM in simulating precipitation over Indonesia is examined by a series of sensitivity experiments using different parameterized convective physics. Among four tested schemes, the best performance is provided by the Betts-Miller-Janjic (BMJ) parameterization. RCM multiannual seasonal rainfall bias outperforms or matches the reanalysis. Modeled results provide added value in simulating rainfall-related climate indices but show low skill in recreating the annual rainfall pattern at monthly resolution. RCM precipitation exhibits complex spatial response to different ENSO phases, with El Nino conditions resulting in a general loss of model skill during the southern hemisphere spring. A series of regional climate simulations using the BMJ convective scheme forced by a future climate projection dataset show changes in rainfall aligned with previous studies.</t>
  </si>
  <si>
    <t>[Chandrasa, Ganesha T.] Agcy Meteorol Climatol &amp; Geophys, Ctr Climate Change Informat, Jakarta, Indonesia; [Montenegro, Alvaro] Ohio State Univ, Dept Geog, Columbus, OH 43210 USA</t>
  </si>
  <si>
    <t>Indonesian Agency for Meteorology, Climatology &amp; Geophysics; University System of Ohio; Ohio State University</t>
  </si>
  <si>
    <t>BMKG, the government of Indonesia; USAID(United States Agency for International Development (USAID)); Ohio Super Computer Center</t>
  </si>
  <si>
    <t>The authors would like to thank the support from BMKG, the government of Indonesia, USAID and the Ohio Super Computer Center; Aaron Wilson and Jens Blegvad for their technical assistance; and Steven Quiring and Bryan Mark for help with earlier versions of the manuscript</t>
  </si>
  <si>
    <t>10.1002/joc.6316</t>
  </si>
  <si>
    <t>WOS:000490768600001</t>
  </si>
  <si>
    <t>Nestell, Galina P.; Nestell, Merlynd K.; Ellwood, Brooks B.; Wardlaw, Bruce R.; Basu, Asish R.; Ghosh, Nilotpal; Luu Thi Phuong Lan; Rowe, Harry D.; Hunt, Andrew; Tomkin, Jonathan H.; Ratcliffe, Kenneth T.</t>
  </si>
  <si>
    <t>The Permian-Triassic mass extinction is postulated to be related to the rapid volcanism that produced the Siberian flood basalt (Traps). Unrelated volcanic eruptions producing several episodes of ash falls synchronous with the Siberian Traps are found in South China and Australia. Such regional eruptions could have caused wildfires, burning of coal deposits, and the dispersion of coal fly ash. These eruptions introduced a major influx of carbon into the atmosphere and oceans that can be recognized in the wall structure of foraminiferal tests present in survival populations in the boundary interval strata. Analysis of free specimens of foraminifers recovered from residues of conodont samples taken at a Permian-Triassic boundary section at Lung Cam in northern Vietnam has revealed the presence of a significant amount of elemental carbon, along with oxygen and silica, in their test wall structure, but an absence of calcium carbonate. These foraminifers, identified as Rectocornuspira kalhori, Cornuspira mahajeri, and Earlandia spp. and whose tests previously were considered to be calcareous, are confirmed to be agglutinated, and are now referred to as Ammodiscus kalhori and Hyperammina deformis. Measurement of the Pb-207/Pb-204 ratios in pyrite clusters attached to the foraminiferal tests confirmed that these tests inherited the Pb in their outer layer from carbon-contaminated seawater. We conclude that the source of the carbon could have been either global coal fly ash or forest fire-dispersed carbon, or a combination of both, that was dispersed into the Palaeo-Tethys Ocean immediately after the end-Permian extinction event.</t>
  </si>
  <si>
    <t>[Nestell, Galina P.; Nestell, Merlynd K.; Basu, Asish R.; Ghosh, Nilotpal; Hunt, Andrew] Univ Texas Arlington, Dept Earth &amp; Environm Sci, Arlington, TX 76019 USA; [Ellwood, Brooks B.] Louisiana State Univ, Dept Geol &amp; Geophys, Baton Rouge, LA 70803 USA; [Wardlaw, Bruce R.] US Geol Survey, Eastern Geol &amp; Palaeoclimate Sci Ctr, Reston, VA 22092 USA; [Ghosh, Nilotpal] Univ Rochester, Dept Earth &amp; Environm Sci, Rochester, NY 14627 USA; [Luu Thi Phuong Lan] Vietnamese Acad Sci &amp; Technol, Inst Geophys, Dept Geomagnetism, Hanoi, Vietnam; [Rowe, Harry D.] Univ Texas Austin, Bur Econ Geol, Austin, TX 78712 USA; [Tomkin, Jonathan H.] Univ Illinois, Sch Earth Soc &amp; Environm, Urbana, IL 61801 USA; [Ratcliffe, Kenneth T.] Chemostrat Inc, Houston, TX USA</t>
  </si>
  <si>
    <t>University of Texas System; University of Texas Arlington; Louisiana State University System; Louisiana State University; United States Department of the Interior; United States Geological Survey; University of Rochester; Vietnam Academy of Science &amp; Technology (VAST); University of Texas System; University of Texas Austin; University of Illinois System; University of Illinois Urbana-Champaign</t>
  </si>
  <si>
    <t>National Science Foundation(National Science Foundation (NSF)); Vietnam Institute of Geophysics</t>
  </si>
  <si>
    <t>This work was partly supported by the National Science Foundation [grant number EAR-0745393]. LTPL thanks the Vietnam Institute of Geophysics for partial funding for this project.</t>
  </si>
  <si>
    <t>TAYLOR &amp; FRANCIS INC</t>
  </si>
  <si>
    <t>PHILADELPHIA</t>
  </si>
  <si>
    <t>530 WALNUT STREET, STE 850, PHILADELPHIA, PA 19106 USA</t>
  </si>
  <si>
    <t>0020-6814</t>
  </si>
  <si>
    <t>1938-2839</t>
  </si>
  <si>
    <t>INT GEOL REV</t>
  </si>
  <si>
    <t>Int. Geol. Rev.</t>
  </si>
  <si>
    <t>MAR 12</t>
  </si>
  <si>
    <t>10.1080/00206814.2015.1010610</t>
  </si>
  <si>
    <t>WOS:000350891100002</t>
  </si>
  <si>
    <t>Liu, Qin-Yan; Feng, Ming; Wang, Dongxiao; Wijffels, Susan</t>
  </si>
  <si>
    <t>Based on 30 year repeated expendable bathythermograph (XBT) deployments between Fremantle, Western Australia, and the Sunda Strait, Indonesia, from 1984 to 2013, interannual variability of geostrophic transport of the Indonesian Throughflow (ITF) and its relationships with El Nino Southern Oscillation (ENSO) and the Indian Ocean Dipole (IOD) are investigated. The IOD induced coastal Kelvin waves propagate along the Sumatra-Java coast of Indonesia, and ENSO induced coastal Kelvin waves propagate along the northwest coast of Australia, both influencing interannual variations of the ITF transport. The ITF geostrophic transport is stronger during La Nina phase and weaker during El Nino phase, with the Nino3.4 index leading the ITF variability by 7 months. The Indian Ocean wind variability associated with the IOD to a certain extent offset the Pacific ENSO influences on the ITF geostrophic transport during the developing and mature phases of El Nino and La Nina, due to the covarying IOD variability with ENSO. The ITF geostrophic transport experiences a strengthening trend of about 1 Sv every 10 years over the study period, which is mostly due to a response to the strengthening of the trade winds in the Pacific during the climate change hiatus period. Decadal variations of the temperature-salinity relationships need to be considered when estimating the geostrophic transport of the ITF using XBT data.</t>
  </si>
  <si>
    <t>[Liu, Qin-Yan; Wang, Dongxiao] Chinese Acad Sci, State Key Lab Trop Oceanog, South China Sea Inst Oceanol, Guangzhou, Guangdong, Peoples R China; [Liu, Qin-Yan; Feng, Ming] CSIRO Oceans &amp; Atmosphere, Floreat, WA, Australia; [Wijffels, Susan] CSIRO Oceans &amp; Atmosphere, Hobart, Tas, Australia</t>
  </si>
  <si>
    <t>Chinese Academy of Sciences; South China Sea Institute of Oceanology, CAS; Commonwealth Scientific &amp; Industrial Research Organisation (CSIRO); Commonwealth Scientific &amp; Industrial Research Organisation (CSIRO); CSIRO Oceans &amp; Atmosphere</t>
  </si>
  <si>
    <t>Chinese Academy of Sciences(Chinese Academy of Sciences); National Basic Research Program of China(National Basic Research Program of China); China Scholarship Council(China Scholarship Council); CAS/SAFEA International Partnership Program for Creative Research Teams(Chinese Academy of Sciences); AVISO from ftp server</t>
  </si>
  <si>
    <t>This work is supported by the Strategic Priority Research Program'' of the Chinese Academy of Sciences (XDA11010301, XDA11010302), the National Basic Research Program of China (41576012; 2011CB403504). This work is completed when Q-Y Liu visited the CSIRO with the support of the China Scholarship Council. This research is also supported by the CAS/SAFEA International Partnership Program for Creative Research Teams. We acknowledge Stuart Godfrey and Gary Meyers for conceiving of, initiating and maintaining the XBT line for many years, and this work is benefited from discussions with Gary Meyers during Qin-Yan Liu's visit to CSIRO. We thank two anonymous reviewers for their valuable comments. The IX1 data are provided by Australian Integrated Marine Observing System (IMOS), available from http://thredds.aodn.org.au/thredds/dodsC/IMOS/SOOP/SOOP-XBT. The HadISST1 is available from http://www.metoffice.gov.uk/hadobs/hadisst/data/download.html. CARS 2009 is available from http://www.marine.csiro.au/atlas/and WOA2013 product is available from https://www.nodc.noaa.gov/OC5/woa13/woa13data.html. Nino3.4 is supported by http://www.esrl.noaa.gov/psd/data/climateindices/list/. DMI index is supported by http://ioc-goos-oopc.org/state_of_the_ocean/sur/ind/dmi.php. The ERA-Interim wind data are derived from the European Centre for Medium-Range Weather Forecasts Data Server, http://apps.ecmwf.int/datasets/data/interim-full-mnth/. The SLAs is supported by AVISO from ftp server ftp://ftp.aviso.altimetry.fr/global/delayed-time/grids/madt/all-sat-merged. The gridded monthly Argo temperature and salinity on standard levels and QuikSCAT winds product are both provided by Asia-Pacific Data-Research Center (APDRC) from http://apdrc.soest.hawaii.edu/data/. The monthly BRAN model output, including temperature, salinity, zonal, and meridional velocity component are available from CSIRO.</t>
  </si>
  <si>
    <t>10.1002/2015JC011351</t>
  </si>
  <si>
    <t>WOS:000369153200031</t>
  </si>
  <si>
    <t>Doan, Van Q.; Kusaka, Hiroyuki</t>
  </si>
  <si>
    <t>Future urban climates will be influenced by both global climate change and localized urbanization, especially in fast-growing cities. This study provides regional climate projections for the 2050s for greater Ho Chi Minh (HCM) City, a fast-growing megacity in Southeast Asia. These projections are generated through dynamical downscaling of three different Coupled Model Intercomparison Project Phase 5 (CMIP5) global climate models driven with two different representative concentration pathway (RCP) emission scenarios. Furthermore, this study numerically evaluates the impacts of future urbanization and global climate change on the thermal environment of this city. The Weather Research and Forecasting (WRF) model is used to produce these projections, having first been updated with current and future (master plan-based) land use data with a horizontal resolution of 1 km. The results show that, in rural areas, the spatially averaged monthly mean air temperature in April is projected to increase by 1.2 and 1.7 degrees C by the 2050s under the RCP4.5 and RCP8.5 scenarios, respectively. In newly urbanized areas, an additional warming of 0.5 degrees C is expected under both scenarios, which corresponds to 20-30% of the global warming. In particular, the additional warming due to urbanization can exceed 0.8 degrees C at night. The impact of future urbanization (0.5 degrees C) is comparable to the difference in the temperature increases achieved under the different RCP scenarios. Thus, this impact should be considered in studies of the future urban climates of fast-growing cities in developing countries.</t>
  </si>
  <si>
    <t>[Doan, Van Q.; Kusaka, Hiroyuki] Univ Tsukuba, Ctr Computat Sci, Tsukuba, Ibaraki, Japan</t>
  </si>
  <si>
    <t>University of Tsukuba</t>
  </si>
  <si>
    <t>SICAT</t>
  </si>
  <si>
    <t>10.1002/joc.5559</t>
  </si>
  <si>
    <t>WOS:000443683600009</t>
  </si>
  <si>
    <t>Trinh, T.; Do, N.; Nguyen, V. T.; Carr, K.</t>
  </si>
  <si>
    <t>Modeling of large rainfall events plays an important role in water resources and floodplain management. Rainfall is resulted from complex interactions between climate factors (air moisture, temperature, wind speed, etc.) and land surface (topography, soil, land cover, etc.). Therefore, deriving accurate areal rainfall is not only relied on atmospheric boundary conditions, but also on the reliability and availability of soils, topography, and vegetation data. Consequently, uncertainties in both atmospheric and land surface conditions contributes to rainfall model errors. In this study, a blended technique combining dynamical and statistical downscaling has been explored. The proposed downscaling approach uses input provided from three different global reanalysis data sets including ERA-Interim, ERA20C, and CFSR. These reanalysis atmospheric data are hybridly downscaled by means of the Weather Research and Forecasting (WRF) model, which is followed by the application of an artificial neural network (ANN) model to further downscale the WRF output to a finer resolution over the studied region. The proposed technique has been applied to the third largest river basin in Vietnam, the Sai Gon-Dong Nai Rivers Basin; and the calibration and validation show the simulation results agreed well with observation data. Results of this study suggest that the proposed approach can improve the accuracy of simulated data, as it merges model simulations with observations over the modeled region. Another highlight of this approach is inexpensive computational demand on both computation times and output storage.</t>
  </si>
  <si>
    <t>[Trinh, T.; Carr, K.] Univ Calif Davis, Dept Civil &amp; Environm Engn, Hydrol Res Lab, Davis, CA 95616 USA; [Trinh, T.] Inst Computat Sci &amp; Technol, SBI Bldg, Ho Chi Minh City 700000, Vietnam; [Trinh, T.] Vietnam Acad Water Resources, Inst Ecol &amp; Works Protect, Hanoi 116830, Vietnam; [Do, N.] Vietnam Acad Water Resources, Hanoi 116830, Vietnam; [Nguyen, V. T.] Seoul Natl Univ, Dept Civil &amp; Environm Engn, Seoul 151742, South Korea</t>
  </si>
  <si>
    <t>University of California System; University of California Davis; Seoul National University (SNU)</t>
  </si>
  <si>
    <t>Ho Chi Minh City's Department of Science and Technology (HCMC-DOST); Institute for Computational Science and Technology (ICST)</t>
  </si>
  <si>
    <t>This research was funded by Ho Chi Minh City's Department of Science and Technology (HCMC-DOST) and Institute for Computational Science and Technology (ICST) under the grant number 16/2020/HD-QPTKHCN. The authors also would like to thank the anonymous reviewers for their valuable and constructive comments to improve our manuscript.</t>
  </si>
  <si>
    <t>10.1007/s00382-021-05833-6</t>
  </si>
  <si>
    <t>WOS:000658142800001</t>
  </si>
  <si>
    <t>The Ngan Sau River basin, which is situated in Ha Tinh Province of Vietnam, experiences flooding during the rainy season, resulting in significant loss of property and human life. This research aimed to investigate the impact of climate change and land-use variation on flood losses. The study began by simulating the heavy rainfall events in August 2007 using the Weather Research and Forecast model with an ensemble method. Future rainfall was examined through numerical simulation based on pseudo-global warming constructed using six CMIP5 models (MIROC-ESM, MRI-CGM3, GISS-E2-H, HadGEM2-ES, HadGEM2-ES, and CNRM-CM5), and the variation in land-use was obtained from local authorities. Inundations caused by rainfall in 2007 and rainfall in the future were determined by the rainfall-runoff-inundation model. Finally, based on flood maps, land-use, and flood depth-damage functions, the economic losses were computed. The results of the average flood economic loss were $380 million in CTL, whereas the local authorities report an estimated loss of over $300 million. Under the impact of climate change and land-use variation, economic losses ranged from $380 million to $526 million in six CMIP5 models. The result of INMCM4 showed the highest value of $526 million, the results of MRI-CGM3, GISS-E2-H, HadGEM2-ES, and CNRM-CM5 fluctuated around $500 million, and the MIROC-ESM recorded the lowest at $380 million. The damage maps showed that the losses would be highest in urban areas, followed by forest areas, and lowest in agricultural areas. This information is essential for decision-makers to improve solutions for preventing economic losses caused by floods.</t>
  </si>
  <si>
    <t>[Tran Quoc Lap] Thuyloi Univ, Fac Water Resource Engn, Hanoi 10000, Vietnam</t>
  </si>
  <si>
    <t>Thuyloi University</t>
  </si>
  <si>
    <t>10.3233/JCC230028</t>
  </si>
  <si>
    <t>WOS:001138009100003</t>
  </si>
  <si>
    <t>Yokoyama, Ai; Matsuyuki, Mihoko; Antokida, Yulius; Fitrinitia, Irene Sondang; Tanaka, Shinji; Ariyoshi, Ryo</t>
  </si>
  <si>
    <t>Preventive resettlement can mitigate the risks of climate-induced disasters for people living in vulnerable areas. However, given the risks of resettlement, especially its impact on resettlers' livelihoods, it is important to identify individuals whose livelihoods are changed by climateinduced resettlement. This study evaluates a climate-induced resettlement project in a floodprone area in Jakarta Special Province, Indonesia. The study identified changes in the livelihood vulnerability of resettled households by using the Livelihood Vulnerability Index, which comprises seven major components: socio-demographic profile, livelihood strategy, social networks, health, water, finance, and exposure. We conducted a questionnaire survey in five Rusunawa (public apartments) with 312 households that had resettled from nine original communities. We asked about resettlers' socio-economic status, jobs and income, physical condition, receipt of subsidies, and flood damage before and after resettlement. The values of each indicator in Livelihood Vulnerability Index before and after resettlement were calculated to demonstrate how households' livelihoods changed after the resettlement. The results showed that the exposure, livelihood strategy, and health components of vulnerability were significantly reduced after respondents moved to a less flood-prone location, the built environment of the Rusunawa, and due to the government subsidies associated with the resettlement project. In contrast, other major components, such as social networks, water access, and finance, became more vulnerable due to the loss of kinship and economic activity that had roots in the respondents' original communities.</t>
  </si>
  <si>
    <t>[Yokoyama, Ai] Nippon Koei Co Ltd, 5-4 Kojimachi,Chiyoda, Tokyo 1028539, Japan; [Matsuyuki, Mihoko; Tanaka, Shinji] Yokohama Natl Univ, Inst Urban Innovat, 79-5 Tokiwadai Hodogaya, Yokohama, Kanagawa 2408501, Japan; [Antokida, Yulius] Stat Indonesia BPS, Jl Dr Sutomo 6-8, Jakarta 10710, Indonesia; [Fitrinitia, Irene Sondang] Univ Indonesia, Jl Salemba Raya 4,RW 5, Jakarta 10430, Indonesia; [Ariyoshi, Ryo] Nagoya Univ, Inst Innovat Future Soc, Furo Cho,Chikusa Ku, Nagoya 4648601, Japan</t>
  </si>
  <si>
    <t>Yokohama National University; Statistics Indonesia; University of Indonesia; Nagoya University</t>
  </si>
  <si>
    <t>JSPS KAKENHI(Ministry of Education, Culture, Sports, Science and Technology, Japan (MEXT)Japan Society for the Promotion of ScienceGrants-in-Aid for Scientific Research (KAKENHI))</t>
  </si>
  <si>
    <t>Funding This work was supported by JSPS KAKENHI [Grant Number JP22H01660] .</t>
  </si>
  <si>
    <t>OCT 1</t>
  </si>
  <si>
    <t>10.1016/j.ijdrr.2023.103946</t>
  </si>
  <si>
    <t>WOS:001069377100001</t>
  </si>
  <si>
    <t>Okuda, Kohei; Kawasaki, Akiyuki</t>
  </si>
  <si>
    <t>Investments in disaster risk reduction not only reduce damage, but also promote social and economic development. While there are many methods of evaluating investments in disaster risk reduction, most methods are based on losses and benefits to the entire region, and the differences in the benefits for different social classes are unclear. Therefore, it is difficult to ascertain the impact on the poor, who are particularly severely affected by disasters. Here, we present a method for assessing the impact of disaster risk reduction investments on the poor based on case study data from Bago, Myanmar, including interviews with 440 households. The results show that by considering the development of the poor, the benefits of investment in disaster risk reduction can increase by similar to 4.4 times. Although there is uncertainty in modeling such a complex system, the results demonstrate the need to consider both the direct and indirect impacts of disaster risk reduction investments, for facilitating sustainable development in developing countries.</t>
  </si>
  <si>
    <t>[Okuda, Kohei; Kawasaki, Akiyuki] Univ Tokyo, Dept Civil Engn, Tokyo, Japan</t>
  </si>
  <si>
    <t>UTokyo Strategic Partnership Program for Yangon Technological University; JSPS KAKENHI(Ministry of Education, Culture, Sports, Science and Technology, Japan (MEXT)Japan Society for the Promotion of ScienceGrants-in-Aid for Scientific Research (KAKENHI)); JST/JICA, SATREPS(Japan Science &amp; Technology Agency (JST))</t>
  </si>
  <si>
    <t>This research was partially supported by the UTokyo Strategic Partnership Program for Yangon Technological University; JSPS KAKENHI Grant Number 18H03823; JST/JICA, SATREPS. The authors would also like to thank students and faculty members of Yan- gon Technological University for their help in field visits and household interview surveys. The authors would also like to thank re- lated organizations and colleagues for providing data required for the study.</t>
  </si>
  <si>
    <t>10.1016/j.ijdrr.2022.103241</t>
  </si>
  <si>
    <t>WOS:000877545700005</t>
  </si>
  <si>
    <t>Sazawa, Kazuto; Wakimoto, Takatoshi; Fukushima, Masami; Yustiawati, Yustiawati; Syawal, M. Suhaemi; Hata, Noriko; Taguchi, Shigeru; Tanaka, Shunitz; Tanaka, Daisuke; Kuramitz, Hideki</t>
  </si>
  <si>
    <t>Tropical peatlands play an important role in the global carbon cycle, and therefore, their stability has important implications for climate change. In this study, we evaluated the effect of fire on the physical, chemical, and biological properties of peat soils in Indonesia for three years following exposure to fire. The results of the thermal analysis suggest that the organic matter contents of surface soils significantly decreased because of peat fires and that charred materials were produced in the subsurface layer of the burned soils. The atomic ratios of the burned soils and the thermally treated samples indicate that the Indonesian peat soils were dehydrated by these low-severity fires. The microbial abundance and phosphatase activity in the burned soils significantly decreased compared to those of the unburned soils. Leaching of the dissolved organic carbon (DOC) concentration from the burned soils is lower than that from the unburned soils. The obtained laboratory results indicate that the concentration of the leached DOC increased drastically after heat treatments near the ignition temperature. It was seen that the denaturation of the soil organic matter caused by the heat from the fire accelerates the exodus of organic carbon in peatlands, which contain huge accumulations of carbon.</t>
  </si>
  <si>
    <t>[Sazawa, Kazuto; Wakimoto, Takatoshi; Hata, Noriko; Taguchi, Shigeru; Tanaka, Daisuke; Kuramitz, Hideki] Univ Toyama, Grad Sch Sci &amp; Engn Res, Dept Environm Biol &amp; Chem, Gofuku 3190, Toyama 9308555, Japan; [Fukushima, Masami] Hokkaido Univ, Fac Engn, Div Sustainable Resources Engn, Lab Chem Resource, Sapporo, Hokkaido 0608628, Japan; [Yustiawati, Yustiawati; Tanaka, Shunitz] Hokkaido Univ, Grad Sch Environm Earth Sci, Div Mat Sci, Sapporo, Hokkaido 0600810, Japan; [Syawal, M. Suhaemi] Indonesian Inst Sci, Res Ctr Limnol, Jl Raya Jakarta Bogor Km 46, Bogor 16911, Indonesia</t>
  </si>
  <si>
    <t>University of Toyama; Hokkaido University; Hokkaido University; National Research &amp; Innovation Agency of Indonesia (BRIN); Indonesian Institute of Sciences (LIPI)</t>
  </si>
  <si>
    <t>JST/JICA Science and Technology Research Partnership for Sustainable Development (SATREPS) Project entitled Wild Fire and Carbon Management in Peat-forest in Indonesia; Japan Society for the Promotion of Science (JSPS)(Ministry of Education, Culture, Sports, Science and Technology, Japan (MEXT)Japan Society for the Promotion of Science)</t>
  </si>
  <si>
    <t>This work was supported by the JST/JICA Science and Technology Research Partnership for Sustainable Development (SATREPS) Project entitled Wild Fire and Carbon Management in Peat-forest in Indonesia and the Japan Society for the Promotion of Science (JSPS) via a Grant-in-Aid for Scientific Research (80727016).</t>
  </si>
  <si>
    <t>AMER CHEMICAL SOC</t>
  </si>
  <si>
    <t>1155 16TH ST, NW, WASHINGTON, DC 20036 USA</t>
  </si>
  <si>
    <t>2472-3452</t>
  </si>
  <si>
    <t>ACS EARTH SPACE CHEM</t>
  </si>
  <si>
    <t>ACS Earth Space Chem.</t>
  </si>
  <si>
    <t>10.1021/acsearthspacechem.8b00018</t>
  </si>
  <si>
    <t>Chemistry, Multidisciplinary; Geochemistry &amp; Geophysics</t>
  </si>
  <si>
    <t>WOS:000439662900005</t>
  </si>
  <si>
    <t>Rudnick, Daniel L.; Jan, Sen; Lee, Craig M.</t>
  </si>
  <si>
    <t>The currents in the low-latitude western North Pacific are critical to the general circulation. The North Equatorial Current flows westward, bifurcating off the coast of the Philippines to form the northward-flowing Kuroshio and the southward-flowing Mindanao Current. Below the thermocline, undercurrents flow opposite to the currents above and include the southward-flowing Luzon Undercurrent, the northward-flowing Mindanao Undercurrent, and an eastward-flowing series of North Equatorial Undercurrents. Two complementary programs, Origins of the Kuroshio and Mindanao Current (OKMC) and Observations of Kuroshio Transport and Variability (OKTV), focused on observations and modeling of these currents. Results address the region's circulation, water masses, and eddies. The connectivity between the currents as determined by water masses is of special interest.</t>
  </si>
  <si>
    <t>[Rudnick, Daniel L.] Univ Calif San Diego, Scripps Inst Oceanog, La Jolla, CA 92093 USA; [Jan, Sen] Natl Taiwan Univ, Inst Oceanog, Taipei 10764, Taiwan; [Lee, Craig M.] Univ Washington, Appl Phys Lab, Seattle, WA 98105 USA</t>
  </si>
  <si>
    <t>University of California System; University of California San Diego; Scripps Institution of Oceanography; National Taiwan University; University of Washington; University of Washington Seattle</t>
  </si>
  <si>
    <t>Office of Naval Research(United States Department of DefenseUnited States NavyOffice of Naval Research); Ministry of Science and Technology of Taiwan, ROC</t>
  </si>
  <si>
    <t>We gratefully acknowledge the Office of Naval Research for its support of Origins of the Kuroshio and Mindanao Current (OKMC) through grants N00014-10-1-0273, N00013-11-1-0429 (DLR), and N00014-10-1-0308 (CML). The Ministry of Science and Technology of Taiwan, ROC, sponsored the OKTV program under grant NSC 101-2611-M-002-018-MY3. The drifter trajectory data were obtained from Coriolis Operational Oceanography (http://www.coriolis.eu.org/Data-Products/Data-Delivery/Data-selection).</t>
  </si>
  <si>
    <t>OCEANOGRAPHY SOC</t>
  </si>
  <si>
    <t>ROCKVILLE</t>
  </si>
  <si>
    <t>P.O. BOX 1931, ROCKVILLE, MD USA</t>
  </si>
  <si>
    <t>1042-8275</t>
  </si>
  <si>
    <t>10.5670/oceanog.2015.77</t>
  </si>
  <si>
    <t>WOS:000368447000004</t>
  </si>
  <si>
    <t>Palizdan, Narges; Falamarzi, Yashar; Huang, Yuk Feng; Lee, Teang Shui; Ghazali, Abdul Halim</t>
  </si>
  <si>
    <t>Various hydrological and meteorological variables such as rainfall and temperature have been affected by global climate change. Any change in the pattern of precipitation can have a significant impact on the availability of water resources, agriculture, and the ecosystem. Therefore, knowledge on rainfall trend is an important aspect of water resources management. In this study, the regional annual and seasonal precipitation trends at the Langat River Basin, Malaysia, for the period of 1982-2011 were examined at the 95 % level of significance using the regional average Mann-Kendall (RAMK) test and the regional average Mann-Kendall coupled with bootstrap (RAMK-bootstrap) method. In order to identify the homogeneous regions respectively for the annual and seasonal scales, firstly, at-site mean total annual and separately at-site mean total seasonal precipitation were spatialized into 5 km x 5 km grids using the inverse distance weighting (IDW) algorithm. Next, the optimum number of homogeneous regions (clusters) is computed using the silhouette coefficient approach. Next, the homogeneous regions were formed using the K-mean clustering method. From the annual scale perspective, all three regions showed positive trends. However, the application of two methods at this scale showed a significant trend only in the region AC1. The region AC2 experienced a significant positive trend using only the RAMK test. On a seasonal scale, all regions showed insignificant trends, except the regions I1C1 and I1C2 in the Inter-Monsoon 1 (INT1) season which experienced significant upward trends. In addition, it was proven that the significance of trends has been affected by the existence of serial and spatial correlations.</t>
  </si>
  <si>
    <t>[Palizdan, Narges; Falamarzi, Yashar; Lee, Teang Shui; Ghazali, Abdul Halim] Univ Putra Malaysia, Fac Engn, Upm Serdang 43400, Selangor Darul, Malaysia; [Huang, Yuk Feng] Univ Tunku Abdul Rahman, Fac Engn &amp; Sci, Kuala Lumpur, Malaysia</t>
  </si>
  <si>
    <t>Universiti Putra Malaysia; Universiti Tunku Abdul Rahman (UTAR)</t>
  </si>
  <si>
    <t>Ministry of Science, Technology and Innovation (MOSTI)(Ministry of Energy, Science, Technology, Environment and Climate Change (MESTECC), Malaysia)</t>
  </si>
  <si>
    <t>The authors would like to sincerely thank the Ministry of Science, Technology and Innovation (MOSTI) for the financial support given to the research project entitled Modeling Water Resources and Storm Water Management Strategies for Large Scale Dual-Function Rainwater Tanks Incorporating Climate Change and Urbanization Scenarios. The authors would also like to express their appreciations to the Hydrology Division, Department of Irrigation and Drainage at Ampang, Selangor, and the Malaysian Meteorology Department at Petaling Jaya, both under the Ministry of Natural Resources and Environment (NRE), for the provision of the climatic data.</t>
  </si>
  <si>
    <t>10.1007/s00704-013-1026-6</t>
  </si>
  <si>
    <t>WOS:000339905000021</t>
  </si>
  <si>
    <t>Simon-Moral, Andres; Dipankar, Anurag; Roth, Matthias; Sanchez, Claudio; Velasco, Erik; Huang, Xiang-Yu</t>
  </si>
  <si>
    <t>A tropical version of the high-resolution (300 m) UK Met Office forecast model (UM) using the MORUSES urban canopy parametrization (UCP) is adapted for Singapore. High-resolution urban surface parameters are determined using a methodology based on Voronoi polygons applied to a 3D building database. The model is evaluated for clear sky and calm conditions at the neighbourhood scale by comparing its predictions with two sources of observations: energy balance data from an eddy covariance flux tower located in a low-rise residential area, and a network of sensors measuring screen-level temperature across the city. The model is able to reproduce the diurnal cycle of the surface energy balance fluxes. Net radiation is overestimated which likely follows from an underestimation in cloud cover and effective surface albedo. This overestimation partly explains the overestimation of the sensible- and latent-heat fluxes. The higher model sensible-heat flux is further hypothesised to be related to the overestimation of modelled canyon sensible-heat flux. Its peak exhibits a 1 h delay, similar to simulated roof and canyon surface temperature. The model captures the diurnal cycle of temperature at a height of 20.5 m above ground and at screen level. A night-time cold bias of 0.1-1.1 K and an overestimation of the daytime peak value are observed at both heights. These deviations are smaller than those predicted by other UCPs reported in the literature. A simple method to estimate the capability of an urban model to qualitatively distinguish screen-level temperature differences across different urban morphologies is developed which shows that MORUSES is clearly able to represent the impacts of different neighbourhoods on the thermal environment.</t>
  </si>
  <si>
    <t>[Simon-Moral, Andres; Roth, Matthias] Natl Univ Singapore, Dept Geog, 1 Arts Link, Singapore 117570, Singapore; [Dipankar, Anurag; Huang, Xiang-Yu] Ctr Climate Res Singapore, Meteorol Serv Singapore, Singapore, Singapore; [Sanchez, Claudio] Met Off, Exeter, Devon, England</t>
  </si>
  <si>
    <t>National University of Singapore; Meteorological Service Singapore; Met Office - UK</t>
  </si>
  <si>
    <t>National Environmental Agency (NEA) of Singapore</t>
  </si>
  <si>
    <t>This work has been funded by the National Environmental Agency (NEA) of Singapore. The authors would like to thank Martin Best, Margaret Hendry, Sylvia Bohnenstengel and Humphrey Lean for helpful discussions, and the Singapore Land Authority (SLA) for the building database. Finally, wewould like to thank the two anonymous reviewers for their valuable comments.</t>
  </si>
  <si>
    <t>10.1002/qj.3694</t>
  </si>
  <si>
    <t>WOS:000503017300001</t>
  </si>
  <si>
    <t>Kumar, Sanjay; Tan, Eng Leong; Razul, Sirajudeen Gulam; See, Chong Meng Samson; Siingh, Devendraa</t>
  </si>
  <si>
    <t>The ionospheric total electron content (TEC) in the low-latitude Singapore region (geographic latitude 01.37 degrees N, longitude, 103.67 degrees E, geomagnetic latitude 8.5 degrees S) for 2010 to 2011 was retrieved using the data from global positioning system (GPS)-based measurements. The observed TEC from GPS is compared with those derived from the latest International Reference Ionosphere (IRI)-2012 model with three options, IRI-Nequick (IRI-Neq), IRI-2001, and IRI-01-Corr, for topside electron density. The results showed that the IRI-Neq and IRI-01-Corr models are in good agreement with GPS-TEC values at all times, in all seasons, for the year 2010. For the year 2011, these two models showed agreement at all times with GPS-TEC only for the summer season, and for the period 11:00 to 24:00 UT hours (19:00 to 24:00 LT and 00: 00 to 08:00 LT) during the winter and equinox seasons. The IRI-2012 model electron density profile showed agreement with constellation observing system for meteorology, ionosphere, and climate (COSMIC) radio occultation (RO)-based measurements around 250 to 300 km and was found to be independent of the options for topside density profiles. However, above 300 km, the IRI-2012 model electron density profile does not show agreement with COSMIC measurements. The observations (COSMIC and GPS) and IRI-2012-based data of TEC and electron density profiles were also analyzed during quiet and storm periods. The analysis showed that the IRI model does not represent the impact of storms, while observations show the impact of storms on the low-latitude ionosphere. This suggests that significant improvements in the IRI model are required for estimating behavior during storms, particularly in low-latitude regions.</t>
  </si>
  <si>
    <t>[Kumar, Sanjay; Tan, Eng Leong] Nanyang Technol Univ, Sch EEE, Singapore 639798, Singapore; [Razul, Sirajudeen Gulam; See, Chong Meng Samson] Nanyang Technol Univ, Temasek Labs, Singapore 637553, Singapore; [See, Chong Meng Samson] DSO Natl Labs, Singapore 118230, Singapore; [Siingh, Devendraa] Indian Inst Trop Meteorol, Pune 411008, Maharashtra, India</t>
  </si>
  <si>
    <t>Nanyang Technological University; Nanyang Technological University; Ministry of Earth Sciences (MoES) - India; Indian Institute of Tropical Meteorology (IITM)</t>
  </si>
  <si>
    <t>10.1186/1880-5981-66-17</t>
  </si>
  <si>
    <t>WOS:000338137400004</t>
  </si>
  <si>
    <t>Chew, Lup Wai; Liu, Xuan; Li, Xian-Xiang; Norford, Leslie K.</t>
  </si>
  <si>
    <t>Heat waves are unusually high temperature events over consecutive days and may cause adverse impacts such as morbidity and mortality. The interaction between heat waves and urban heat island (UHI) effects has remained a subject of debate, as some studies prove heat wave-UHI synergy while others do not. Furthermore, heat waves affect tropical cities more severely than mid-latitude cities, but there is a disproportionate lack of heat wave studies focusing on tropical cities. We attempt to narrow this gap by studying the heat wave in Singapore in April 2016 using ground observations and the Weather Research and Forecasting (WRF) model. Compared to non-heat wave days, the ground observations show that daytime temperatures can be 3 degrees C higher during the heat wave. Despite the temperature spike, the UHI intensity is not amplified during the heat wave, maintaining its peak near 2.5 degrees C during both heat wave and non-heat wave periods. WRF simulation results also agree well with measurements and predict UHI peaks near 2.5 degrees C during both periods, showing no heat wave-UHI synergy. The spatially averaged UHI intensity also shows no such synergy. There is no significant change of wind speed, soil moisture availability or heat storage flux during the heat wave. Therefore, the lack of heat wave-UHI synergy in our study is consistent with current understanding of factors contributing to UHI. This study shows that the heat wave-UHI interaction in a tropical city can be different from that in cities in the temperate climate zone and more studies should be conducted in tropical cities, which are projected to suffer larger impacts of increasing heat stress.</t>
  </si>
  <si>
    <t>[Chew, Lup Wai] Singapore MIT Alliance Res &amp; Technol, Ctr Environm Sensing &amp; Modeling, Singapore, Singapore; [Liu, Xuan] Agcy Sci Technol &amp; Res, Inst High Performance Comp, Singapore, Singapore; [Li, Xian-Xiang] Sun Yat Sen Univ, Sch Atmospher Sci, Guangzhou, Peoples R China; [Li, Xian-Xiang] Southern Marine Sci &amp; Engn Guangdong Lab Zhuhai, Guangzhou, Peoples R China; [Li, Xian-Xiang] Sun Yat Sen Univ, Guangdong Prov Key Lab Climate Change &amp; Nat Disas, Guangzhou, Peoples R China; [Norford, Leslie K.] MIT, Dept Architecture, Cambridge, MA 02139 USA</t>
  </si>
  <si>
    <t>Singapore-MIT Alliance for Research &amp; Technology Centre (SMART); Agency for Science Technology &amp; Research (A*STAR); A*STAR - Institute of High Performance Computing (IHPC); Sun Yat Sen University; Southern Marine Science &amp; Engineering Guangdong Laboratory; Southern Marine Science &amp; Engineering Guangdong Laboratory (Zhuhai); Sun Yat Sen University; Massachusetts Institute of Technology (MIT)</t>
  </si>
  <si>
    <t>National Research Foundation Singapore (NRF) under its Campus for Research Excellence and Technological Enterprise (CREATE) program; Intra-CREATE Collaborative Project Cooling Singapore</t>
  </si>
  <si>
    <t>This work is supported by the National Research Foundation Singapore (NRF) under its Campus for Research Excellence and Technological Enterprise (CREATE) program and Intra-CREATE Collaborative Project Cooling Singapore. The Center for Environmental Sensing and Modeling (CENSAM) is an interdisciplinary research group of the Singapore-MIT Alliance for Research and Technology (SMART). We thank Dr. Wenhui He for helping to process some of the graphics.</t>
  </si>
  <si>
    <t>10.1016/j.atmosres.2020.105134</t>
  </si>
  <si>
    <t>WOS:000586020600002</t>
  </si>
  <si>
    <t>Monecke, Katrin; Meilianda, Ella; Walstra, Dirk-Jan; Hill, Emma M.; McAdoo, Brian G.; Qiu, Qiang; Storms, Joep E. A.; Masputri, Aisha Sri; Mayasari, Cut Deasy; Nasir, Muhammad; Riandi, Indra; Setiawan, Agus; Templeton, Caroline K.</t>
  </si>
  <si>
    <t>We model postseismic changes to the shoreline of West Aceh, Indonesia, a region largely affected by the December 2004 Sumatra-Andaman earthquake and ensuing Indian Ocean tsunami, using a cross-shore morphodynamic model. Subsidence of 0.5-1.0 m and tsunami scouring during the 2004 event caused the complete destruction of the beach and the landward displacement of the western coast of Aceh by an average of 110 m. Comparing a series of satellite images and topographic surveys, we reconstruct the build-up of a new beach ridge along a 6 km long stretch of coastline in the years following the event. We then use the cross-shore model UNIBEST-TC developed for a wave-dominated sandy shoreline to determine the controlling factors of shoreline recovery. Input parameters include bathymetric data measured in 2015, grain size characteristics of offshore sediment samples, modeled wave data, tidal elevations from a nearby tide-gauge station as well as measured and modeled postseismic uplift data. After establishing a cross-shore profile in equilibrium with the prevailing hydrodynamic conditions, we simulate the post-tsunami recovery, the effect of the monsoon seasons, as well as the influence of postseismic land level changes for up to 10 years and compare them to the observed coastal development. Our modeling results indicate that the recovery of the western Acehnese shoreline after the 2004 tsunami was quick with littoral sediment transport normalizing to pre-tsunami conditions within two to four years following the event. However, field data shows that the shoreline stabilized 50-90 m landward of its pre-2004 tsunami position, most likely due to the build-up of a prominent higher beach ridge in response to co-seismic subsidence. Observed variability in shoreline position in the order of a few tens of meters since 2009 can be attributed to seasonal wave climate variability related to the monsoon cycle. The effect of postseismic uplift on shoreline position is small and in the order of only a few meters over 10 years, which is 3 to 5 times smaller than long-term coastal progradation rates that are driven by abundant sediment supply to the littoral zone. This overall progradational trend will promote preservation of seismically modified beach ridges, which can serve as paleoseismic indicators.</t>
  </si>
  <si>
    <t>[Monecke, Katrin] Wellesley Coll, Dept Geosci, 106 Cent St, Wellesley, MA 02481 USA; [Meilianda, Ella] Syiah Kuala Univ, Tsunami &amp; Disaster Mitigat Res Ctr, Banda Aceh, Indonesia; [Walstra, Dirk-Jan] Deltares, Delft, Netherlands; [Hill, Emma M.; Qiu, Qiang] Nanyang Technol Univ, Asian Sch Environm, Earth Observ Singapore, Singapore, Singapore; [McAdoo, Brian G.] Yale NUS Coll, Singapore, Singapore; [Storms, Joep E. A.] Delft Univ Technol, Dept Geosci &amp; Engn, Delft, Netherlands; [Masputri, Aisha Sri; Setiawan, Agus] Syiah Kuala Univ, Engn Fac, Dept Civil Engn, Banda Aceh, Indonesia; [Mayasari, Cut Deasy; Nasir, Muhammad; Riandi, Indra] Teuku Umar Univ, Dept Civil Engn, Engn Fac, Meulaboh, Indonesia; [Templeton, Caroline K.] Wellesley Coll, Dept Geosci, Wellesley, MA 02181 USA</t>
  </si>
  <si>
    <t>Wellesley College; Universitas Syiah Kuala; Deltares; Nanyang Technological University; Yale NUS College; Delft University of Technology; Universitas Syiah Kuala; Wellesley College</t>
  </si>
  <si>
    <t>Faculty Awards programs at Wellesley College</t>
  </si>
  <si>
    <t>We would like to thank Peter Ruggiero and Guy Gelfenbaum for making post-tsunami offshore survey data available. We thank staff from the Tsunami and Disaster Mitigation Research Center (TDMRC) in Banda Aceh for logistical support and Willi Finger, Sam Unggul Sudrajat, and Rahmat for support during field surveys. The former Aceh and Nias Rehabilitation and Reconstruction Board (BRR) provided aerial photographs of the study area. We greatly appreciated the constructive reviews of two anonymous reviewers and acknowledge generous funding from the Brachman Hoffman and Faculty Awards programs at Wellesley College.</t>
  </si>
  <si>
    <t>10.1016/j.margeo.2017.07.012</t>
  </si>
  <si>
    <t>WOS:000413279600007</t>
  </si>
  <si>
    <t>The Gulf of Thailand (GoT), a shallow semi enclosed basin located in the western equatorial Pacific, undergoes much wind variabilities on both seasonal and inter annual timescales that produce complex surface circulation. The local Ekman pumping modifies sea level in the northern GoT, while remote wind forcing influences sea level variability at the GoT western boundary, potentially through the coastal trapped Kelvin waves. The importance of the Ekman current on ageostrophic current is also important; the stronger influence of the Ekman current is found toward the southern part of the GoT. The GoT circulation reverses its direction seasonally following the monsoon wind reversal which is well-captured by the most dominant complex empirical orthogonal function explaining 28 % of the total circulation variance. During the monsoon transition, a strong meridional current along the western boundary that connects to the flow at the GoT southeastern entrance is observed. This implies high exchange between the GoT and the South China Sea and thus modification of the GoT water. On the inter annual timescale, the GoT circulation is directly impacted by both the El Nino-Southern Oscillation (ENSO) and the Indian Ocean Dipole (IOD). Interestingly, the two climate modes have different spatial influences on the GoT circulation. The IOD dominates the interannual current along the GoT western boundary and the southern boundary of the observing domain (8 degrees N), while the ENSO correlates with that in the interior. The results highlight the complex circulation pattern as being contributed by different dynamics over each region of the GoT.</t>
  </si>
  <si>
    <t>[Anutaliya, Arachaporn] Burapha Univ, Inst Marine Sci, Chon Buri, Thailand</t>
  </si>
  <si>
    <t>Burapha University</t>
  </si>
  <si>
    <t>This research has been supported by the Burapha University (grant no. 001/2564)</t>
  </si>
  <si>
    <t>10.5194/os-19-335-2023</t>
  </si>
  <si>
    <t>WOS:000960653100001</t>
  </si>
  <si>
    <t>Campbell, James R.; Dolinar, Erica K.; Lolli, Simone; Fochesatto, Gilberto J.; Gu, Yu; Lewis, Jasper R.; Marquis, Jared W.; McHardy, Theodore M.; Ryglicki, David R.; Welton, Ellsworth J.</t>
  </si>
  <si>
    <t>Cirrus cloud daytime top-of-the-atmosphere radiative forcing (TOA CRF) is estimated for a 2-yr NASA Micro-Pulse Lidar Network (532 nm; MPLNET) dataset collected at Fairbanks, Alaska. Two-year-averaged daytime TOA CRF is estimated to be between -1.08 and 0.78 W.m(-2) (from -0.49 to 1.10 W.m(-2) in 2017, and from -1.67 to 0.47 W.m(-2) in 2018). This subarctic study completes a now trilogy of MPLNET ground-based cloud forcing investigations, following midlatitude and tropical studies by Campbell et al. at Greenbelt, Maryland, and Lolli et al. at Singapore. Campbell et al. hypothesize a global meridional daytime TOA CRF gradient that begins as positive at the equator (2.20-2.59 W.m(-2) over land and from -0.46 to 0.42 W.m(-2) over ocean at Singapore), becomes neutral in the midlatitudes (0.03-0.27 W.m(-2) over land in Maryland), and turns negative moving poleward. This study does not completely confirm Campbell et al., as values are not found as exclusively negative. Evidence in historical reanalysis data suggests that daytime cirrus forcing in and around the subarctic likely once was exclusively negative. Increasing tropopause heights, inducing higher and colder cirrus, have likely increased regional forcing over the last 40 years. We hypothesize that subarctic interannual cloud variability is likely a considerable influence on global cirrus cloud forcing sensitivity, given the irregularity of polar versus midlatitude synoptic weather intrusions. This study and hypothesis lay the basis for an extrapolation of these MPLNET experiments to satellite-based lidar cirrus cloud datasets.</t>
  </si>
  <si>
    <t>[Campbell, James R.; Dolinar, Erica K.; Ryglicki, David R.] Naval Res Lab, Monterey, CA 93943 USA; [Dolinar, Erica K.] Amer Soc Engn Educ, Monterey, CA USA; [Lolli, Simone] CNR, Ist Metodol Anal Ambientale, Tito, Italy; [Fochesatto, Gilberto J.] Univ Alaska Fairbanks, Fairbanks, AK USA; [Gu, Yu] Univ Calif Los Angeles, Los Angeles, CA USA; [Lewis, Jasper R.] Univ Maryland Baltimore Cty, Joint Ctr Earth Syst Technol, Baltimore, MD 21228 USA; [Marquis, Jared W.] Univ North Dakota, Grand Forks, ND USA; [McHardy, Theodore M.] Univ Arizona, Tucson, AZ USA; [Welton, Ellsworth J.] NASA, Goddard Space Flight Ctr, Greenbelt, MD USA</t>
  </si>
  <si>
    <t>United States Department of Defense; United States Navy; Naval Research Laboratory; Consiglio Nazionale delle Ricerche (CNR); Istituto di Metodologie per l'Analisi Ambientale (IMAA-CNR); University of Alaska System; University of Alaska Fairbanks; University of California System; University of California Los Angeles; University System of Maryland; University of Maryland Baltimore County; University of North Dakota Grand Forks; University of Arizona; National Aeronautics &amp; Space Administration (NASA); NASA Goddard Space Flight Center</t>
  </si>
  <si>
    <t>Earth Observing System project; NASA Radiation Sciences Program(National Aeronautics &amp; Space Administration (NASA)); Naval Research Laboratory Base Program; Office of Naval Research Arctic Cyclone Department Research Initiative, Program Element</t>
  </si>
  <si>
    <t>The NASA Micro-Pulse Lidar Network is supported by the Earth Observing System project (S. Platnick) and the NASA Radiation Sciences Program (H. Maring). The Radiative Effects of Thin Cirrus Clouds (REThinC) project is supported by the Naval Research Laboratory Base Program (BE033-03-45-T008-17; Drs. S. Chang, J. Hansen, and R. Preller). Author D. R. Ryglicki has participated here through support of the Office of Naval Research Arctic Cyclone Department Research Initiative, Program Element 0601153N (R. Ferek, D. Eleuterio, and J. Doyle). We gratefully acknowledge assistance from the administrative staff of the Geophysical Institute at the University of Alaska Fairbanks in maintaining the instrument and operating laboratory since lidar operations commenced in autumn 2016.</t>
  </si>
  <si>
    <t>10.1175/JAMC-D-20-0077.1</t>
  </si>
  <si>
    <t>WOS:000646370700004</t>
  </si>
  <si>
    <t>Supriyasilp, Thanaporn; Suwanlertcharoen, Teerawat</t>
  </si>
  <si>
    <t>Higher temperatures are expected to increase evaporation and reference evapo-transpiration (ETo). However, a decrease in ETo has been observed in numerous regions worldwide. ETo is controlled by climate variables besides temperature; wind speed, air humidity, and radiation, which vary according to regional climatic conditions, may also be drivers. Few studies have quantified the sensitivity and contributions of climate variables to ETo change in tropical savanna climates. Long-term (1991-2019) climate time series in northern Thailand was used to assess the trends in ETo and determine which climate variables exert the strongest control on ETo, during the rainy and non-rainy season, as an example for the tropical savanna climate. Furthermore, this study used the proportion of contribution and sum of positive (negative) contribution and classified the results into five groups to analyse the change in ETo. This helped to determine the climate variable with the highest contribution. From this study, ETo was the most sensitive to the maximum temperature, followed by sunshine duration in both rainy and non-rainy seasons. Furthermore, the variables that contributed the most to the long-term change in ETo were sunshine duration and wind speed. The increase (decrease) in sunshine duration and wind speed contributed to the increase (decrease) in ETo in this area. Understanding ETo changes and determining whether ETo has a strong tendency to change are the basis for water resource planning and management in the region.</t>
  </si>
  <si>
    <t>[Supriyasilp, Thanaporn] Chiang Mai Univ, Dept Civil Engn, Fac Engn, Chiang Mai 50200, Thailand; [Suwanlertcharoen, Teerawat] Geoinformat &amp; Space Technol Dev Agcy, Publ Org, Bangkok, Thailand</t>
  </si>
  <si>
    <t>Agricultural Research Development Agency</t>
  </si>
  <si>
    <t>Agricultural Research Development Agency, Grant/Award Number: PRP6405031500</t>
  </si>
  <si>
    <t>10.1002/joc.8227</t>
  </si>
  <si>
    <t>WOS:001069652700001</t>
  </si>
  <si>
    <t>Sriariyawat, Anurak; Kimmany, Bounhome; Miyamoto, Mamoru; Kakinuma, Daiki; Shakti, P. C.; Visessri, Supattra</t>
  </si>
  <si>
    <t>Flooding is a major natural hazard that can cause significant damage to socioeconomic and ecological systems. This study presents an approach to pro-ducing the maximum flood inundation and flood duration maps over the Chao Phraya River Basin (CPRB), Thailand. An integrated numerical model and spatial analysis tool were utilized in this study. The Rainfall-Runoff-Inundation (RRI) model was first used to simulate both river discharge and inunda-tion depth. Then, the maximum flood inundation and flood duration maps with different return periods were estimated using a Geographical Information Sys-tem (GIS) tool. The results illustrate that the flood in-undation areas were spread out, starting from Nakhon Sawan Province, which is located in the central part of the basin. The maximum flood inundation depth could reach up to approximately 7.71, 8.28, and 8.78 m for the flood return periods of 50, 100, and 200 years, re-spectively. The results also indicate that the inunda-tion areas over the CPRB could cover approximately 21,837, 23,392, and 24,533 km2 for flood return peri-ods of 50,100, and 200 years, respectively. The longest flood durations for return periods of 50, 100, and 200 years were approximately 159, 177, and 198 days, respectively. The longest flood duration occurred in the vicinity of the Nakhon Sawan. This study sug-gests that flood inundation areas and duration map-ping could provide supporting information regarding the impacts caused by varying degrees of flood haz-ards and can be used to enhance comprehensive disas-ter risk management planning.</t>
  </si>
  <si>
    <t>[Sriariyawat, Anurak; Kimmany, Bounhome; Visessri, Supattra] Chulalongkorn Univ, Fac Engn, Dept Water Resource Engn, Phayathai Rd, Bangkok 10330, Thailand; [Miyamoto, Mamoru; Kakinuma, Daiki] Publ Works Res Inst PWRI, Int Ctr Water Hazard &amp; Risk Management UNESCO ICHA, Tsukuba, Ibaraki, Japan; [Shakti, P. C.] Natl Res Inst Earth Sci &amp; Disaster Resilience NIED, Tsukuba, Japan; [Visessri, Supattra] Chulalongkorn Univ, Disaster &amp; Risk Management Informat Syst DRMIS Res, Bangkok, Thailand</t>
  </si>
  <si>
    <t>Chulalongkorn University; PWRI: Public Works Research Institute; Chulalongkorn University</t>
  </si>
  <si>
    <t>Science and Technology Research Partnership for Sustainable Develop- ment (SATREPS); Japan Science and Technology Agency (JST)/Japan International Cooperation Agency (JICA)(Japan Science &amp; Technology Agency (JST)); Japan International Cooper - ation Agency (JICA)</t>
  </si>
  <si>
    <t>This research was conducted under the ?Regional Resilience En- hancement through Establishment of Area-BCM at Industry Com- plexes in Thailand.? Project under the umbrella of the Science and Technology Research Partnership for Sustainable Develop- ment (SATREPS) Project supported by Japan Science and Tech- nology Agency (JST, JPMJSA1708) /Japan International Cooper - ation Agency (JICA) . The authors would like to express their deep gratitude to the Royal Irrigation Department (RID) , Land Devel- opment Department (LDD) , and GISTDA for supporting the ob- served data used in this study.</t>
  </si>
  <si>
    <t>10.20965/jdr.2022.p0864</t>
  </si>
  <si>
    <t>WOS:000869454500004</t>
  </si>
  <si>
    <t>Maurischa, Saghita Desiyana; Fahmi, Fikri Zul; Suroso, Djoko Santoso Abi</t>
  </si>
  <si>
    <t>This study aims to identify the transformation process of coastal village communities in building resilience to disasters. We develop our theoretical framework based on the concepts of socioecological resilience, transformative resilience, panarchy systems and resilience capacities. Using the qualitative research methods, we examine two cases of coastal villages in Indonesia that represent differing levels of socio-economic vulnerability and community responses to disasters. The findings of this study highlight that the building of transformative resilience is affected by the transformation phases, the heterogeneity and interdependence of capacities, and the intensity of resources used as capacity. The building process of transformative resilience cannot happen instantly but requires an ideal timeframe for transitional phase navigation in which communities form valley and peak waves to create a perfect phase in each regime. This condition triggers the achievement of high resilience conditions in the face of disasters. Although endogenous capacities, in the form of local social networks and agents of change, have become the key aspects of resilience, openness to external conditions and collaborations are also essential in nurturing transformation. Our findings suggest an important implication for policy, in that a long-term transformation process should be taken into account in policymaking. Further, in enhancing the resilience of coastal communities it is important to build their innovative capacities, among other things, by nurturing their networks through various opportunities and exposures to external parties which enable collaborations and exchanges of knowledge.</t>
  </si>
  <si>
    <t>[Maurischa, Saghita Desiyana; Fahmi, Fikri Zul; Suroso, Djoko Santoso Abi] Inst Teknol Bandung, Sch Architecture Planning &amp; Policy Dev, Jalan Ganesha 10, Bandung 40132, Indonesia; [Fahmi, Fikri Zul] Inst Teknol Bandung, Bandung, Indonesia</t>
  </si>
  <si>
    <t>Institute Technology of Bandung; Institute Technology of Bandung</t>
  </si>
  <si>
    <t>10.1016/j.ijdrr.2023.103615</t>
  </si>
  <si>
    <t>WOS:000951895700001</t>
  </si>
  <si>
    <t>Delfino, Rafaela Jane; Bagtasa, Gerry; Hodges, Kevin; Vidale, Pier Luigi</t>
  </si>
  <si>
    <t>Typhoon (TY) Haiyan was one of the most intense and highly destructive tropical cyclones (TCs) to affect the Philippines. As such, it is regarded as a baseline for extreme TC hazards. Improving the simulation of such TCs will not only improve the forecasting of intense TCs but will also be essential in understanding the potential sensitivity of future intense TCs with climate change. In this study, we investigate the effects of model configuration in simulating TY Haiyan using the Weather Research Forecasting (WRF) Model. Sensitivity experiments were conducted by systematically altering the choice of cumulus schemes, surface flux options, and spectral nudging. In addition to using the European Centre for Medium-Range Weather Forecasts Reanalysis fifth-generation (ERAS) single high-resolution realization as initial and boundary conditions, we also used 4 of the 10 lower-resolution ERAS data assimilation system (EDA) ensemble members as initial and boundary conditions. Results indicate a high level of sensitivity to cumulus schemes, with a tradeoff between using Kain-Fritsch and Tiedtke schemes that have not been mentioned in past studies of TCs in the Philippines. The Tiedtke scheme simulates the track better (with a lower mean direct positional error, DPE, of 33 km), while the Kain-Fritsch scheme produces stronger intensities (by 15 hPa minimum sea level pressure). Spectral nudging also resulted in a reduction in the mean DPE by 20 km, and varying the surface flux options resulted in the improvement of the simulated maximum sustained winds by up to 10 m s(-1). Simulations using the EDA members initial and boundary conditions revealed low sensitivity to the initial and boundary conditions, having less spread than the simulations using different parameterization schemes. We highlight the advantage of using an ensemble of cumulus parameterizations to take into account the uncertainty in the track and intensity of simulating intense tropical cyclones.</t>
  </si>
  <si>
    <t>[Delfino, Rafaela Jane; Hodges, Kevin; Vidale, Pier Luigi] Univ Reading, Dept Meteorol, Reading, Berks, England; [Delfino, Rafaela Jane; Bagtasa, Gerry] Univ Philippines Diliman, Inst Environm Sci &amp; Meteorol, Quezon City, Philippines</t>
  </si>
  <si>
    <t>University of Reading; University of the Philippines System; University of the Philippines Diliman</t>
  </si>
  <si>
    <t>Philippine Commission on Higher Education(Commission on Higher Education (CHED), Philippines); British Council under the Joint Development of Niche Programmes through the Philippines-UK Linkages (JDNP) dual-PhD program; Research Councils UK (RCUK) through the Natural Environment Research Council; Centre for Environmental Data Analysis</t>
  </si>
  <si>
    <t>The authors would like to thank Nicholas Klingaman for the input in the design and initial analysis of the experiments. Rafaela Jane Delfino is supported by a scholarship under the Philippine Commission on Higher Education and British Council under the Joint Development of Niche Programmes through the Philippines-UK Linkages (JDNP) dual-PhD program. Kevin Hodges and Pier Luigi Vidale are funded by the Research Councils UK (RCUK) through the Natural Environment Research Council. This research used resources of the JASMIN data analysis facility supported by the Centre for Environmental Data Analysis. We also thank the two anonymous reviewers for their constructive comments and suggestions.</t>
  </si>
  <si>
    <t>OCT 12</t>
  </si>
  <si>
    <t>10.5194/nhess-22-3285-2022</t>
  </si>
  <si>
    <t>WOS:000866155800001</t>
  </si>
  <si>
    <t>Hapsari, Kartika Anggi; Biagioni, Siria; Jennerjahn, Tim C.; Reimer, Peter Meyer; Saad, Asmadi; Achnopha, Yudhi; Sabiham, Supiandi; Behling, Hermann</t>
  </si>
  <si>
    <t>Tropical peatlands are important for the global carbon cycle as they store 18% of the total global peat carbon. As they are vulnerable to changes in temperature and precipitation, a rapidly changing environment endangers peatlands and their carbon storage potential. Understanding the mechanisms of peatland carbon accumulation from studying past developments may, therefore, help to assess the future role of tropical peatlands. Using a multi-proxy palaeoecological approach, a peat core taken from the Sungai Buluh peatland in Central Sumatra has been analyzed for its pollen and spore, macro charcoal and biogeochemical composition. The result suggests that peat and C accumulation rates were driven mainly by sea level change, river water level, climatic variability and anthropogenic activities. It is also suggested that peat C accumulation in Sungai Buluh is correlated to the abundance of Freycinetia, Myrtaceae, Calophyllum, Stemonuraceae, Fiats and Euphorbiaceae. Sungai Buluh has reasonable potential for being a future global tropical peat C sinks. However, considering the impact of rapid global climate change in addition to land-use change following rapid economic growth in Indonesia, such potential may be lost. Taking advantage of available palaeoecological records and advances made in Quaternary studies, some considerations for management practice such as identification of priority taxa and conservation sites are suggested. (C) 2017 Elsevier Ltd. All rights reserved.</t>
  </si>
  <si>
    <t>[Hapsari, Kartika Anggi; Biagioni, Siria; Behling, Hermann] Univ Goettingen, Dept Palynol &amp; Climate Dynam, Gottingen, Germany; [Jennerjahn, Tim C.] Leibniz Ctr Trop Marine Ecol ZMT, Dept Biogeochem &amp; Geol, Bremen, Germany; [Reimer, Peter Meyer] Goshen Coll, Dept Biol Sci, Goshen, IN USA; [Saad, Asmadi; Achnopha, Yudhi] Univ Jambi, Dept Soil Sci, Jambi, Indonesia; [Sabiham, Supiandi] Bogor Agr Univ IPB, Dept Soil Sci &amp; Land Resource, Bogor, Indonesia</t>
  </si>
  <si>
    <t>University of Gottingen; Leibniz Zentrum fur Marine Tropenforschung (ZMT); Goshen College; Universitas Jambi; Bogor Agricultural University</t>
  </si>
  <si>
    <t>DFG Sonderforschungsbereich(German Research Foundation (DFG)); German Indonesian research project (EFForTS); Dorothee Dasbach (Chemilabor, ZMT Bremen); Erasmus Mundus Lotus Program</t>
  </si>
  <si>
    <t>We acknowledge our financial support from the DFG Sonderforschungsbereich in the framework of the collaborative German Indonesian research project CRC 990 (EFForTS) subproject A01 and Erasmus Mundus Lotus Program. This study was conducted using samples collected under Research Permit No.1095/FRP/SM/V/ 2013 recommended by the Indonesian Institute of Science (LIPI) issued by the Ministry of Forestry (PHKA). We thank Dorothee Dasbach (Chemilabor, ZMT Bremen) for supporting the carbon content and stable isotopes measurements and Thomas Giesecke for providing us his expertise in statistical analysis. We also thank Paula Rodriguez and Christoph Peters for their supports and intersting perspectives throughout the writing process. Finally, our gratitude to the reviewers for their constructive suggestions for improving this manuscript.</t>
  </si>
  <si>
    <t>0277-3791</t>
  </si>
  <si>
    <t>1873-457X</t>
  </si>
  <si>
    <t>QUATERNARY SCI REV</t>
  </si>
  <si>
    <t>Quat. Sci. Rev.</t>
  </si>
  <si>
    <t>10.1016/j.quascirev.2017.05.026</t>
  </si>
  <si>
    <t>WOS:000405154100011</t>
  </si>
  <si>
    <t>Sari, Fitria Puspita; Manola, Iris; Tsiringakis, Aristofanis; Steeneveld, Gert Jan</t>
  </si>
  <si>
    <t>Within the period 2014-2017, five hail events were reported in the city of Surabaya in Indonesia. Although deep convection commonly develops over the Maritime Continent, severe thunderstorms triggering hail events develop less frequently as specific atmospheric conditions are required. The rapid urbanization in Surabaya might have led to increased heat release to the atmosphere and to the deepening of convection, which raises the question of whether urbanization is the culprit of the recent hail events in Surabaya. Hence, for a selected hail event, we used the high-resolution Weather Research and Forecasting model to understand the storm dynamics and to explore the role of urbanization, sea surface temperature, and aerosol concentration on the storm dynamics with a total of 11 scenarios. The control simulation reveals that low-level convergence induced by a sea breeze creates instability. At the same time, the urban heat release enhances the energy supply to induce hail formation and retain the storm's lifetime over the city. A factor separation method revealed that the urbanization (added anthropogenic heat flux, urban aerosol, and the rise in building height) and the sea surface temperature increase contribute to the storm enhancement over Surabaya, producing two times higher updraft velocity, doubling the maximum graupel mass mixing ratio and finally resulting in 15%-30% higher accumulated precipitation over Surabaya, compared to the control simulation.</t>
  </si>
  <si>
    <t>[Sari, Fitria Puspita] Sch Meteorol Climatol &amp; Geophys STMKG, Meteorol Dept, Tangerang Selatan, Indonesia; [Sari, Fitria Puspita; Manola, Iris; Tsiringakis, Aristofanis; Steeneveld, Gert Jan] Wageningen Univ &amp; Res, Meteorol &amp; Air Qual Sect, Wageningen, Netherlands; [Sari, Fitria Puspita] Univ Illinois, Dept Atmospher Sci, Champaign, IL USA; [Manola, Iris] Free Univ Amsterdam, Inst Environm Studies, Amsterdam, Netherlands; [Tsiringakis, Aristofanis] ECMWF, Bonn, Germany</t>
  </si>
  <si>
    <t>Wageningen University &amp; Research; University of Illinois System; University of Illinois Urbana-Champaign; Vrije Universiteit Amsterdam</t>
  </si>
  <si>
    <t>The authors thank all agencies for providing data and information on hail events in Surabaya, and to the staff of Juanda Meteorological Station in particular. FS acknowledges financial support from the Indonesia Endowment Fund for Education (LPDP) and Fulb; Indonesia Endowment Fund for Education (LPDP); Fulbright Scholarship; NWO Grant; NWO(Netherlands Organization for Scientific Research (NWO));</t>
  </si>
  <si>
    <t>The authors thank all agencies for providing data and information on hail events in Surabaya, and to the staff of Juanda Meteorological Station in particular. FS acknowledges financial support from the Indonesia Endowment Fund for Education (LPDP) and Fulbright Scholarship during revising and finishing of this paper and also to Sonia Lasher-Trapp for a fruitful discussion and review in the CCN part. AT and GJS acknowledge support from NWO Grant 864.14.007. We acknowledge funding from NWO for SURFSARA supercomputing facilities (Grant SH-312-15). We thanks two anonymous reviewers for their valuable comments and suggestions.</t>
  </si>
  <si>
    <t>SEP 16</t>
  </si>
  <si>
    <t>10.1029/2023JD038817</t>
  </si>
  <si>
    <t>WOS:001059163400001</t>
  </si>
  <si>
    <t>Tan, Mou Leong; Ibrahim, Ab Latif; Yusop, Zulkifli; Chua, Vivien P.; Chan, Ngai Weng</t>
  </si>
  <si>
    <t>This study aims to evaluate the potential impacts of climate change on water resources of the Kelantan River Basin in north-eastern Peninsular Malaysia using the Soil and Water Assessment Tool (SWAT) model. Thirty-six downscaled climate projections from five General Circulation Models (GCMs) under the three Representative Concentration Pathways (RCPs) 2.6;4.5 and 8.5 scenarios for the periods of 2015-2044 and 2045-2074 were incorporated into the calibrated SWAT model. Differences of these scenarios were calculated by comparing to the 1975-2004 baseline period. Overall, the SWAT model performed well in monthly streamflow simulation, with the Nash-Sutcliffe efficiency values of 0.75 and 0.63 for calibration and validation, respectively. Based on the ensemble of five GCMs, the annual rainfall and maximum temperature are projected to increase by 1.2-8.7% and 0.6-2.1 C-omicron, respectively. This corresponds to the increases in the annual streamflow (14.6-272%), evapotranspiration (0.3-2.7%), surface runoff (46.8-90.2%) and water yield (142-26.5%) components. The study shows an increase of monthly rainfall during the wet season, and decrease during the dry season. Therefore, the monthly streamflow and surface runoff are likely to increase significantly in November, December and January. In addition, slight decreases in the monthly water yield are found between June and October (1.9-8.9%) during the 2015-2044 period. These findings could act as a scientific reference to develop better climate adaptation strategies. (C) 2017 Elsevier B.V. All rights reserved.</t>
  </si>
  <si>
    <t>[Tan, Mou Leong; Chua, Vivien P.] Natl Univ Singapore, Dept Civil &amp; Environm Engn, 1 Engn Dr 2, Singapore, Singapore; [Tan, Mou Leong; Ibrahim, Ab Latif] Univ Teknol Malaysia, Res Inst Sustainable Environm, Geosci &amp; Digital Earth Ctr, Johor Baharu, Malaysia; [Yusop, Zulkifli] Univ Teknol Malaysia, Res Inst Sustainable Environm, Ctr Environm Sustainabil &amp; Water Secur, Johor Baharu, Malaysia; [Chan, Ngai Weng] Univ Sains Malaysia, Sch Humanities, Geog Sect, George Town, Malaysia</t>
  </si>
  <si>
    <t>National University of Singapore; Universiti Teknologi Malaysia; Universiti Teknologi Malaysia; Universiti Sains Malaysia</t>
  </si>
  <si>
    <t>This research was supported by the Ministry of Higher Education Malaysia and Universiti Teknologi Malaysia under the Transdisciplinary Research Grant Scheme (R.J130000.7809.4L835). The authors would like to thank to the MMD, DID, JUPEM and DOA for supplying hydro-climatic data, topographic, land use and soil maps for this study. The authors also wish to thank the CMIP5 project for providing future climate data. The authors acknowledge the 2016 Summer Institute for Disaster and Risk Research fellowship for the opportunity to work in the Beijing Normal University, China. Special thanks to the reviewers for their helpful comments and suggestions.</t>
  </si>
  <si>
    <t>10.1016/j.atmosres.2017.01.008</t>
  </si>
  <si>
    <t>WOS:000398007400001</t>
  </si>
  <si>
    <t>Najib, Mohamad Khoirun; Nurdiati, Sri; Sopaheluwakan, Ardhasena</t>
  </si>
  <si>
    <t>Forest fires have become a national issue yearly and elicited serious attention from the government and researchers in Indonesia. Copula-based joint distribution can construct a fire risk model to improve the early warning system of forest fires, especially in Kalimantan. This study models and analyzes the copula-based joint distribution between climate conditions and hotspots. Several climate conditions, such as total precipitation, dry spells, and El Nino-Southern Oscillation (ENSO), are used. The joint distributions are constructed using rotated a.k.a. reflected copula functions with reduced sample size according to ENSO conditions, and the copula regression model is employed to estimate the fire size. The marginal distribution is selected by inference of function for margin method using the Anderson-Darling hypothesis test, while root-mean-squared error (RMSE), Akaike's information criterion, and the Cramer-von Mises hypothesis test are employed to select the fittest copula function. Results show that the probability of extreme hotspots during normal ENSO conditions is rare and almost near zero during La Nina. Moreover, extreme hotspot events (more severe than in 2019) during El Nino are more sensitive to total precipitation than dry spells according to the conditional survival function. The copula regression model used dry spells as a climate condition better than total precipitation, with the RMSE value of 1110 hotspots and the R-2 value of 73.02%. A total of 95% confidence interval of the expected hotspots can cover all actual hotspot data in this model.</t>
  </si>
  <si>
    <t>[Najib, Mohamad Khoirun; Nurdiati, Sri] IPB Univ, Dept Math, Bogor 16680, Indonesia; [Sopaheluwakan, Ardhasena] Agcy Meteorol Climatol &amp; Geophys, Ctr Appl Climate Serv, Jakarta 10720, Indonesia</t>
  </si>
  <si>
    <t>Bogor Agricultural University; Indonesian Agency for Meteorology, Climatology &amp; Geophysics</t>
  </si>
  <si>
    <t>Department of Mathematics, IPB University; Agency for Meteorology, Climatology, and Geophysics, Indonesia</t>
  </si>
  <si>
    <t>We would like to thank the Department of Mathematics, IPB University, and the Agency for Meteorology, Climatology, and Geophysics, Indonesia, for the assistance and support provided, the Directorate of Scientific Publications and Strategic Information, IPB University for facilitating language checking services, and three anonymous reviewers who have provided constructive comments and suggestions on this article.</t>
  </si>
  <si>
    <t>10.1007/s11069-022-05346-3</t>
  </si>
  <si>
    <t>WOS:000785901400001</t>
  </si>
  <si>
    <t>Chong, K. L.; Huang, Y. F.; Koo, C. H.; Ahmed, Ali Najah; El-Shafie, Ahmed</t>
  </si>
  <si>
    <t>Statistical drought characterization is critical for drought studies within the multivariate temporal and frequency domains. An efficient drought management can result in improved drought preparedness and risk management. In this study, Standardized precipitation indices (SPIs) over various timeframes were derived using precipitation data. The historical data for the hydrological stations and meteorological stations in Sabah and Sarawak, Malaysia were courtesy of the Department of Irrigation and Drainage, Malaysia. Based on the SPI index, the meteorological drought trends, periodicities, and the turning points were analysed using the Mann-Kendall (MK) test, Spearman rho (SR) test, sequential Mann-Kendall (SQMK) test, k-means clustering algorithm, and the Continuous wavelet transform (CWT). The MK and SR test were applied on a decade interval, for a period of years from 1989 to 2018. According to the findings, it was observed that there was a declining tendency shifting from the east to the west in Sabah, whereas in Sarawak, there was observed a declining trend across the state, particularly in its central area. The underlying trend of the droughts in Sabah reveals that the dominant periodicity of the SPI series that persisted throughout the study period at the Sabah stations varied between 2.5 and 5.5 years. However, the periodicity in Sarawak did not vary as much as it did in Sabah. The wavelet coherence analysis also reveals that significant coherence between SPI and climatic indices occurred intermittently for shorter periodicities. Furthermore, the longer dominating periodicities were shown to be associated with one or more climate phenomena.</t>
  </si>
  <si>
    <t>[Chong, K. L.; Huang, Y. F.; Koo, C. H.] Univ Tunku Abdul Rahman, Lee Kong Chian Fac Engn &amp; Sci, Dept Civil Engn, Jalan Bandar Sg Long, Kajang 43000, Selangor, Malaysia; [Ahmed, Ali Najah] Univ Tenaga Nasl UNITEN, Fac Engn, Kajang 43000, Selangor, Malaysia; [Ahmed, Ali Najah] Univ Tenaga Nasl UNITEN, Inst Engn Infrastruct IEI, Kajang 43000, Selangor, Malaysia; [El-Shafie, Ahmed] Univ Malaya, Fac Engn, Dept Civil Engn, Kuala Lumpur 50603, Malaysia; [El-Shafie, Ahmed] United Arab Emirates Univ, Natl Water Ctr, Al Ain, U Arab Emirates</t>
  </si>
  <si>
    <t>Universiti Tunku Abdul Rahman (UTAR); Universiti Malaya; United Arab Emirates University</t>
  </si>
  <si>
    <t>Universiti Tunku Abdul Rahman (UTAR), Malaysia, via Project Research Assistantship</t>
  </si>
  <si>
    <t>This study was funded by Universiti Tunku Abdul Rahman (UTAR), Malaysia, via Project Research Assistantship (Project Number: UTARRPS 6251/H03). The authors are grateful for the funding.</t>
  </si>
  <si>
    <t>10.1016/j.jhydrol.2021.127299</t>
  </si>
  <si>
    <t>WOS:000752463500001</t>
  </si>
  <si>
    <t>Makama, Ezekiel Kaura; Lim, Hwee San</t>
  </si>
  <si>
    <t>Variations as well as distribution patterns of total precipitable water vapour (WST) and layered precipitable water vapour (W) over Peninsular Malaysia using data retrieved and archived by the Satellite Application Facilities on Climate Monitoring (CM SAF), Deutscher Wetterdienst, Germany, for the period 2001-2011 are analysed using simple regression method. The lower and middle layers of W are observed to exhibit bimodal annual oscillations, which arc in phase with WST at all the climatic regions, with a pair of minima and maxima in each case. The primary and secondary minima occur in February and August, while their maxima counterparts are noticed around November and May/June respectively. These oscillations are synchronous to the movement of the prevailing monsoons. The satellite and radiosonde products are compared at the seasonal scale and the results show good agreement, with con-elation coefficients between 0.60-0.98 and mean bias range of-0.60-0.59 kg m(-2) throughout the study area. Also at the seasonal scale WST and W exhibit significant agreement at all the stations for which radiosonde records were available. The difference between W, from the two sources of measurements arc relatively uniform, irrespective of the satellite value, at all the layers and to a large extend, throughout the period of the year. While the satellite precipitable water is greater than its radiosonde counterpart at the middle and upper layers, the reverse is, however, the case for the lower layer in all the climatic regions. These differences are more as a result of instrumentation than the variability of the atmosphere.</t>
  </si>
  <si>
    <t>[Makama, Ezekiel Kaura; Lim, Hwee San] Univ Sains Malaysia, Sch Phys, George Town, Malaysia; [Makama, Ezekiel Kaura] Univ Jos, Dept Phys, Jos, Nigeria</t>
  </si>
  <si>
    <t>CHINESE GEOSCIENCE UNION</t>
  </si>
  <si>
    <t>TAIPEI</t>
  </si>
  <si>
    <t>PO BOX 23-59, TAIPEI 10764, TAIWAN</t>
  </si>
  <si>
    <t>10.3319/TAO.2017.05.21.01</t>
  </si>
  <si>
    <t>WOS:000418885200011</t>
  </si>
  <si>
    <t>Guillet, Sebastien; Corona, Christophe; Stoffel, Markus; Khodri, Myriam; Lavigne, Franck; Ortega, Pablo; Eckert, Nicolas; Sielenou, Pascal Dkengne; Daux, Valerie; Churakova (Sidorova), Olga V.; Davi, Nicole; Edouard, Jean-Louis; Zhang, Yong; Luckman, Brian H.; Myglan, Vladimir S.; Guiot, Joel; Beniston, Martin; Masson-Delmotte, Valerie; Oppenheimer, Clive</t>
  </si>
  <si>
    <t>The eruption of Samalas in Indonesia in 1257 ranks among the largest sulfur-rich eruptions of the Common Era with sulfur deposition in ice cores reaching twice the volume of the Tambora eruption in 1815. Sedimentological analyses of deposits confirm the exceptional size of the event, which had both an eruption magnitude and a volcanic explosivity index of 7. During the Samalas eruption, more than 40 km(3) of dense magma was expelled and the eruption column is estimated to have reached altitudes of 43 km. However, the climatic response to the Samalas event is debated since climate model simulations generally predict a stronger and more prolonged surface air cooling of Northern Hemisphere summers than inferred from tree-ring-based temperature reconstructions. Here, we draw on historical archives, ice-core data and tree-ring records to reconstruct the spatial and temporal climate response to the Samalas eruption. We find that 1258 and 1259 experienced some of the coldest Northern Hemisphere summers of the past millennium. However, cooling across the Northern Hemisphere was spatially heterogeneous. Western Europe, Siberia and Japan experienced strong cooling, coinciding with warmer-than-average conditions over Alaska and northern Canada. We suggest that in North America, volcanic radiative forcing was modulated by a positive phase of the El Nino-Southern Oscillation. Contemporary records attest to severe famines in England and Japan, but these began prior to the eruption. We conclude that the Samalas eruption aggravated existing crises, but did not trigger the famines.</t>
  </si>
  <si>
    <t>[Guillet, Sebastien; Stoffel, Markus; Churakova (Sidorova), Olga V.] Univ Bern, Inst Geol Sci, Dendrolab Ch, Baltzerstr 1 3, CH-3012 Bern, Switzerland; [Corona, Christophe] Univ Blaise Pascal, CNRS, UMR 6042, Geolab, 4 Rue Ledru, F-63057 Clermont Ferrand, France; [Stoffel, Markus; Beniston, Martin] Univ Geneva, Inst Environm Sci, Climat Change &amp; Climate Impacts, 66 Blvd Carl Vogt, CH-1205 Geneva, Switzerland; [Stoffel, Markus] Univ Geneva, Dept Earth Sci, Rue Maraichers 13, CH-1205 Geneva, Switzerland; [Khodri, Myriam] Univ Paris 06, Lab Oceanog &amp; Climat Expt Approches Numer, 4 Pl Jussieu, F-75252 Paris 05, France; [Lavigne, Franck] Univ Paris 1 Pantheon Sorbonne, Lab Geog Phys, 1 Pl Aristide Briand, F-92195 Meudon, France; [Ortega, Pablo] Univ Reading, Dept Meteorol, NCAS Climate, Reading RG6 6BB, Berks, England; [Eckert, Nicolas; Sielenou, Pascal Dkengne] UR ETNA Univ Grenoble Alpes, Irstea, 2 Rue Papeterie, F-38402 St Martin Dheres, France; [Daux, Valerie; Masson-Delmotte, Valerie] Univ Paris Saclay, Lab Sci Climat &amp; Environm, Inst Pierre Simon Laplace, CEA,CNRS,UVSQ,UMR8212, F-91191 Gif Sur Yvette, France; [Churakova (Sidorova), Olga V.] VN Sukachev Inst Forest, Krasnoyarsk 660036, Russia; [Churakova (Sidorova), Olga V.; Myglan, Vladimir S.] Siberian Fed Univ, RU-660041 Krasnoyarsk, Russia; [Davi, Nicole] William Paterson Univ, Dept Environm Sci, Wayne, NJ 07470 USA; [Davi, Nicole] Univ Arizona, Columbia Univ, Lamont Doherty Earth Observ, Palisades, NY 10964 USA; [Edouard, Jean-Louis] CNRS, UMR 7299, CCJ, Maison Mediterraneenne Sci Homme 5 Rue Chateau, F-13094 Aix En Provence, France; [Zhang, Yong] Chinese Acad Sci, Inst Geog Sci &amp; Nat Resources, Key Lab Land Surface Pattern &amp; Simulat, Beijing 100101, Peoples R China; [Zhang, Yong] Chinese Acad Sci, Ctr Excellence &amp; Innovat Tibetan Plateau Earth Sy, Beijing 100101, Peoples R China; [Luckman, Brian H.] Univ Western Ontario, Dept Geog, 1151 Richmond St, London, ON N6A 5C2, Canada; [Guiot, Joel] Aix Marseille Univ, CNRS, IRD, Coll France,CEREGE,ECCOREV, F-13545 Aix En Provence, France; [Oppenheimer, Clive] Univ Cambridge, Dept Geog, Downing Pl, Cambridge CB2 3EN, England</t>
  </si>
  <si>
    <t>University of Bern; Centre National de la Recherche Scientifique (CNRS); CNRS - Institute of Ecology &amp; Environment (INEE); Universite Clermont Auvergne (UCA); Universite de Limoges; University of Geneva; University of Geneva; Sorbonne Universite; Museum National d'Histoire Naturelle (MNHN); Universite Paris-Est-Creteil-Val-de-Marne (UPEC); UK Research &amp; Innovation (UKRI); Natural Environment Research Council (NERC); NERC National Centre for Atmospheric Science; University of Reading; Communaute Universite Grenoble Alpes; Universite Grenoble Alpes (UGA); INRAE; CEA; Centre National de la Recherche Scientifique (CNRS); Universite Paris Saclay; Universite Paris Cite; CNRS - National Institute for Earth Sciences &amp; Astronomy (INSU); Russian Academy of Sciences; Krasnoyarsk Science Center of the Siberian Branch of the Russian Academy of Sciences; Sukachev Institute of Forest, Siberian Branch, Russian Academy of Sciences; Siberian Federal University; University of Arizona; Columbia University; Aix-Marseille Universite; Centre National de la Recherche Scientifique (CNRS); CNRS - Institute for Humanities &amp; Social Sciences (INSHS); Chinese Academy of Sciences; Institute of Geographic Sciences &amp; Natural Resources Research, CAS; Chinese Academy of Sciences; Western University (University of Western Ontario); Centre National de la Recherche Scientifique (CNRS); Aix-Marseille Universite; Institut de Recherche pour le Developpement (IRD); Universite PSL; College de France; University of Cambridge</t>
  </si>
  <si>
    <t>Era.Net RUSplus project ELVECS (SNF); Russian Science Foundation(Russian Science Foundation (RSF)); Natural Environment Research Council(UK Research &amp; Innovation (UKRI)Natural Environment Research Council (NERC)); Russian Science Foundation(Russian Science Foundation (RSF)); Swiss National Science Foundation (SNF)(Swiss National Science Foundation (SNSF)); NERC(UK Research &amp; Innovation (UKRI)Natural Environment Research Council (NERC))</t>
  </si>
  <si>
    <t>S.G., C.C., M.S. and O.V.C. acknowledge support from the Era.Net RUSplus project ELVECS (SNF project number: IZRPZ0_164735). This study benefited from data gathered within the ANR CEPS GREENLAND project. V.S.M. received support from the Russian Science Foundation (project no. 15-14-30011). R. Hantemirov kindly provided a millennium-long chronology. The authors are grateful to W. S. Atwell and W. Wayne-Farris for discussions on historical sources from Japan as well as to M. Luisa Avila for her help with Muslim sources from Mediaeval Spain. S.G. and C.C. are very grateful to S. Finet, L. Fazan and P. Guerin for their help with R-scripts, translations and fruitful discussions, respectively.</t>
  </si>
  <si>
    <t>NATURE PUBLISHING GROUP</t>
  </si>
  <si>
    <t>75 VARICK ST, 9TH FLR, NEW YORK, NY 10013-1917 USA</t>
  </si>
  <si>
    <t>10.1038/NGEO2875</t>
  </si>
  <si>
    <t>WOS:000394121800016</t>
  </si>
  <si>
    <t>Boer, Rizaldi; Surmaini, Elza</t>
  </si>
  <si>
    <t>The El Nino Southern Oscillation (ENSO) strongly influences rainfall extremes in Indonesia with major impacts on droughts and floods and potential consequences for rice production. The Southern Oscillation Index (SOI) is an indicator used to detect the occurrence of ENSO events. A consistently negative (phase 1) and a rapidly falling SOI (phase 3) (indicating an El Nino cycle) were related to high probability of below-average rainfalls in the Ciparay and Bojongsoang areas of Bandung District. Therefore, the use of SOI phase information prior to the planting season would assist farmers in making optimum planting decisions. This study attempted to evaluate the economic benefits of using SOI phase information in March/April to make informed agricultural decisions for the second crop planting (April/May). The use of the SOI phases in conjunction with a crop simulation model would facilitate an objective evaluation of other cropping options. The results indicated that farmers who switched from rice to soybean or maize for the May planting season, following the March/April SOI phase I and III, earned higher incomes. The cumulative net income differences over the 63 years for soybean was about USD 1700 (27% higher at Ciparay) and USD 2350 (45% higher at Bojongsoang) and for maize was about USD 1524 (19% higher at Ciparay) and USD 1970 (35% higher at Bojongsoang).</t>
  </si>
  <si>
    <t>[Boer, Rizaldi] IPB Univ, CCROM SEAP, Bogor, Indonesia; [Surmaini, Elza] Indonesian Agroclimate &amp; Hydrol Res Inst, IAARD, Jalan Tentara Pelajar 1A, Bogor, Indonesia</t>
  </si>
  <si>
    <t>Bogor Agricultural University; Indonesian Agency for Agricultural Research &amp; Development</t>
  </si>
  <si>
    <t>10.1007/s00704-019-03055-9</t>
  </si>
  <si>
    <t>WOS:000511528400046</t>
  </si>
  <si>
    <t>Dao, Hassan; Zuhairi, Megat Farez Azril; Islam, M. D. Rafiqul</t>
  </si>
  <si>
    <t>Rain fade duration is one of the essential components for engineers to design and plan satellite communication systems at high frequency bands. In this paper, rain fade duration was obtained for twelve consecutive months at Ku-band with 77.4 elevation angle from MEASAT3 in Kuala Lumpur, Malaysia. Empirically, the fade duration was found discrepant to the results predicted by models. Therefore, a modification of fade duration model is proposed based on measured data for this tropical climate and high elevation angle. (C) 2018 COSPAR. Published by Elsevier Ltd. All rights reserved.</t>
  </si>
  <si>
    <t>[Dao, Hassan; Zuhairi, Megat Farez Azril] Univ Kuala Lumpur, Malaysian Inst Informat Technol, Kuala Lumpur 50250, Malaysia; [Islam, M. D. Rafiqul] Int Islamic Univ Malaysia, Dept Elect &amp; Comp Engn, Kuala Lumpur 50728, Malaysia</t>
  </si>
  <si>
    <t>University of Kuala Lumpur; International Islamic University Malaysia</t>
  </si>
  <si>
    <t>10.1016/j.asr.2018.06.032</t>
  </si>
  <si>
    <t>WOS:000445718000018</t>
  </si>
  <si>
    <t>Gray, T. M.; Bennartz, R.</t>
  </si>
  <si>
    <t>Due to the climate effects and aviation threats of volcanic eruptions, it is important to accurately locate ash in the atmosphere. This study aims to explore the accuracy and reliability of training a neural network to identify cases of ash using observations from the Moderate Resolution Imaging Spectroradiometer (MODIS). Satellite images were obtained for the following eruptions: Kasatochi, Aleutian Islands, 2008; Okmok, Aleutian Islands, 2008; Grimsvotn, northeastern Iceland, 2011; Chaiten, southern Chile, 2008; Puyehue-Corden Caulle, central Chile, 2011; Sangeang Api, Indonesia, 2014; and Kelut, Indonesia, 2014. The Hybrid Single Particle Lagrangian Integrated Trajectory (HYSPLIT) model was used to obtain ash concentrations for the same archived eruptions. Two back-propagation neural networks were then trained using brightness temperature differences as inputs obtained via the following band combinations: 1211, 11-8.6, 11-7.3, and 11 mu m. Using the ash concentrations determined via HYSPLIT, flags were created to differentiate between ash (1) and no ash (0) and SO2-rich ash (1) and no SO2-rich ash (0) and used as output. When neural network output was compared to the test data set, 93% of pixels containing ash were correctly identified and 7% were missed. Nearly 100% of pixels containing SO2-rich ash were correctly identified. The optimal thresholds, determined using Heidke skill scores, for ash retrieval and SO2-rich ash retrieval were 0.48 and 0.47, respectively. The networks show significantly less accuracy in the presence of high water vapor, liquid water, ice, or dust concentrations. Significant errors are also observed at the edge of the MODIS swath.</t>
  </si>
  <si>
    <t>[Gray, T. M.; Bennartz, R.] Vanderbilt Univ, Dept Earth &amp; Environm Sci, Nashville, TN 37235 USA</t>
  </si>
  <si>
    <t>Vanderbilt University</t>
  </si>
  <si>
    <t>Vanderbilt research grant</t>
  </si>
  <si>
    <t>The authors would like to thank M. Pavolonis of NOAA as well as the two anonymous reviewers for helpful scientific discussions. A special thanks also goes to J. Rausch at Vanderbilt University for programming assistance. This work was supported by an internal Vanderbilt research grant awarded to Ralf Bennartz.</t>
  </si>
  <si>
    <t>1867-1381</t>
  </si>
  <si>
    <t>1867-8548</t>
  </si>
  <si>
    <t>ATMOS MEAS TECH</t>
  </si>
  <si>
    <t>Atmos. Meas. Tech.</t>
  </si>
  <si>
    <t>10.5194/amt-8-5089-2015</t>
  </si>
  <si>
    <t>WOS:000367384600005</t>
  </si>
  <si>
    <t>Phuong Nguyen-Ngoc-Bich; Tan Phan-Van; Long Trinh-Tuan; Tangang, Fredolin T.; Cruz, Faye; Santisirisomboon, Jerasorn; Juneng, Liew; Chung, Jing Xiang; Aldrian, Edvin</t>
  </si>
  <si>
    <t>This study analyzes projected changes in drought characteristics over Southeast Asia for the mid and late 21st century under Representative Concentration Pathway (RCP) scenarios (RCP4.5 and RCP8.5) that participated in IPCC AR5. Drought characteristics are computed using the standardised precipitation index (SPI) with 12-month time scales based on precipitation data from the multi-model downscaled experiments of the Coordinated Regional Climate Downscaling Experiment-Southeast Asia (CORDEX-SEA). Comparison with observations indicates that model uncertainties are high over Myanmar, southern China, and some areas of the Maritime Continent. The multi-model ensemble is in best agreement with the observation relative to individual models. Under the future projections, the ensemble model exhibits no significant changes in duration and severity of drought for all scenarios in the mid 21st century. However, the drought characteristics are projected to become shorter and more severe for RCP8.5 in the late 21st century. Projected changes in inter-arrival time, maximum intensity, frequency, and geographic extent also indicate more frequent and severe drought over the mainland in the late 21st century for RCP8.5.</t>
  </si>
  <si>
    <t>[Phuong Nguyen-Ngoc-Bich; Tan Phan-Van] Vietnam Natl Univ, VNU Univ Sci, Hydrol &amp; Oceanog, Hanoi, Vietnam; [Long Trinh-Tuan] VNU Univ Sci, Ctr Environm Fluid Dynam, Hanoi, Vietnam; [Tangang, Fredolin T.; Juneng, Liew] Univ Kebangsaan Malaysia, Fac Sci &amp; Technol, Bangi, Malaysia; [Cruz, Faye] Manila Observ, Reg Climate Syst Lab, Quezon City, Philippines; [Santisirisomboon, Jerasorn] Ramkhamhang Univ, Ramkhamhaeng Univ Ctr Reg Climate Change &amp; Renewa, Bangkok, Thailand; [Chung, Jing Xiang] Univ Malaysia Terengganu, Fac Sci &amp; Marine Environm, Terengganu, Malaysia; [Aldrian, Edvin] Agcy Assessment &amp; Applicat Technol BPPT, Agcy Assessment &amp; Applicat Technol, Jakarta, Indonesia</t>
  </si>
  <si>
    <t>Vietnam National University Hanoi; Vietnam National University Hanoi; Universiti Kebangsaan Malaysia; Ramkhamhaeng University; Universiti Malaysia Terengganu; National Research &amp; Innovation Agency of Indonesia (BRIN); Agency for the Assessment &amp; Application of Technology (BPPT)</t>
  </si>
  <si>
    <t>Vietnam National Foundation for Science and Technology Development (NAFOSTED)(National Foundation for Science &amp; Technology Development (NAFOSTED)); Asia-Pacific for Global Change Research (APN)</t>
  </si>
  <si>
    <t>This research is supported by Vietnam National Foundation for Science and Technology Development (NAFOSTED) under Grant Number 105.06-2019.306. SEACLID/CORDEX-SEA was funded by the Asia-Pacific for Global Change Research (APN) (ARCP2015-04CMY-Tangang, ARCP2014-07CMY-Tangang, ARCP2013-17NMY-Tangang) .</t>
  </si>
  <si>
    <t>10.15625/2615-9783/16974</t>
  </si>
  <si>
    <t>WOS:000767348300008</t>
  </si>
  <si>
    <t>Garzanti, Eduardo; Wang, Jiang-Gang; Vezzoli, Giovanni; Limonta, Mara</t>
  </si>
  <si>
    <t>This study illustrates the petrographic, heavy-mineral, geochemical and geochronological signatures of sand transported by various branches of the Irrawaddy (Ayeyarwadi) River, one of the first in the world for sediment flux. Intrasample and intersample compositional variability, weathering and hydraulic-sorting controls are also discussed. Feldspatho-quartzose sand in Irrawaddy headwaters is largely derived first-cycle from mid-crustal metamorphic and plutonic rocks of the Mogok Belt and Lohit complex, whereas feldspatho-litho-quartzose Chindwin sand is largely recycled from supracrustal, sedimentary and very low-grade metasedimentary units. Additional mafic to ultramafic detritus is derived from ophiolites and blueschists exposed from the Indo-Burman Ranges to the Jade Mines and Myitkyina belts, linked northward to the Yarlung-Tsangpo suture of the Himalaya. Volcanic detritus derived from the Popa-Wuntho arc or recycled from forearc-basin strata also occurs. Decreasing concentration of most chemical elements along the Irrawaddy reflects progressive addition of detritus, recycled from sedimentary rocks, most evident downstream of the Chindwin confluence. REE patterns with LREE enrichment and negative Eu anomaly reflect the occurrence of allanite, largely derived from granitoid rocks in the Mali catchment. Chemical indices indicate moderate weathering in the monsoon-dominated climate of Myanmar. Young U-Pb ages (15-170 Ma) represent 85% of detrital zircons in Irrawaddy headwater branches, reflecting long-lasting subduction-related magmatism along a ring of fire connecting with the southern and central Lhasa batholiths in Tibet and polyphase metamorphism in the Mogok belt. Chindwin sand contains larger amounts of finer-grained, recycled pre-Mesozoic zircons, also yielding early Mesoproterozoic to Archean ages. Such different petrographic, heavy-mineral, geochemical and geochronological fingerprints characterizing sand in different river branches allowed us to calculate bulk-sediment and zircon-provenance budgets that converge to indicate equivalent sand supply from the Nmai and Mali Rivers to the upper Irrawaddy, and from the Chindwin and upper Irrawaddy to the lower Irrawaddy. This implies that despite of higher erosion potential indicated by stream-profile analysis in high-relief Irrawaddy headwaters, sediment yields and erosion rates are detectably higher in the Chindwin catchment, which is mainly ascribed to higher erodibility of widely exposed siliciclastic rocks. Quantifying sediment provenance and defining erosion patterns based on an integrated compositional database in a big-river system such as the mighty Irrawaddy allows us to expand our understanding of sediment generation processes with the ultimate goal to increase our capacity to read into the stratigraphic record. (C) 2016 Elsevier B.V. All rights reserved.</t>
  </si>
  <si>
    <t>[Garzanti, Eduardo; Vezzoli, Giovanni; Limonta, Mara] Univ Milano Bicocca, Dept Earth &amp; Environm Sci, Lab Provenance Studies, Piazza Sci 4, I-20126 Milan, Italy; [Wang, Jiang-Gang] Chinese Acad Sci, Inst Geol &amp; Geophys, State Key Lab Lithospher Evolut, Beijing 100029, Peoples R China</t>
  </si>
  <si>
    <t>University of Milano-Bicocca; Chinese Academy of Sciences; Institute of Geology &amp; Geophysics, CAS</t>
  </si>
  <si>
    <t>Chinese Academy of Sciences(Chinese Academy of Sciences)</t>
  </si>
  <si>
    <t>We are deeply grateful to the Editor Jerome Gaillardet and two reviewers for their very useful comments and constructive criticism. Yani Najman travelled the lower Irrawaddy with EG in 2005. Andrew Carter, Christian France-Lanord, Hanna Haedke, Hella Wittman and Shouye Yang kindly provided geochronological and geochemical data. Work financially supported by the Strategic Priority Research Program (B) of the Chinese Academy of Sciences (XDB03010100).</t>
  </si>
  <si>
    <t>10.1016/j.chemgeo.2016.06.010</t>
  </si>
  <si>
    <t>WOS:000383937500007</t>
  </si>
  <si>
    <t>Yang, Yiya; Wu, Renguang; Wang, Chenghai</t>
  </si>
  <si>
    <t>This study documents interannual rainfall variations over the Indochina Peninsula (ICP) during the rainy season and individual and combined influences of tropical Indo-Pacific sea surface temperature (SST) anomalies. The rainfall variability is large along the west coast in May-June, along the west coast and over the eastern mountains in July-August, and along the central Vietnam coast in September-November. More rainfall in May-June, July-August, and October-November occurs in the La Nina decaying years, La Nina decaying years and/or El Nino developing years, and La Nina developing years, respectively. The May-June rainfall variation along the west coast is associated with equatorial central-eastern Pacific (EP), south Indian Ocean, and western North Pacific SST anomalies. The July-August rainfall variation along the west coast and over the eastern mountains is related to equatorial central Pacific and tropical southeastern Indian Ocean SST anomalies. The October-November rainfall variation along the central Vietnam coast is affected by EP and tropical western Indian Ocean SST anomalies. The EP and tropical western Indian Ocean SST influence is through anomalous Walker circulation. The south Indian Ocean SST influence is via cross-equatorial flows. The tropical southeastern Indian Ocean SST influence is via an anomalous cross-equatorial overturning circulation. The equatorial central Pacific and western North Pacific SST influence is via a Rossby wave-type response. The analysis illustrates the importance of combined effects of regional SST anomalies on the ICP precipitation variation in different stages of the rainy season. Numerical experiments with SST anomalies imposed in different regions confirm the combined effects of the Indo-Pacific SST anomalies on the ICP rainfall variation.</t>
  </si>
  <si>
    <t>[Yang, Yiya; Wu, Renguang] Chinese Acad Sci, Ctr Monsoon Syst Res, Inst Atmospher Phys, Beijing, Peoples R China; [Yang, Yiya] Univ Chinese Acad Sci, Coll Earth &amp; Planetary Sci, Beijing, Peoples R China; [Wu, Renguang] Zhejiang Univ, Sch Earth Sci, Hangzhou, Zhejiang, Peoples R China; [Wang, Chenghai] Lanzhou Univ, Coll Atmospher Sci, Lanzhou, Gansu, Peoples R China</t>
  </si>
  <si>
    <t>Chinese Academy of Sciences; Institute of Atmospheric Physics, CAS; Chinese Academy of Sciences; University of Chinese Academy of Sciences, CAS; Zhejiang University; Lanzhou University</t>
  </si>
  <si>
    <t>National Natural Science Foundation of China(National Natural Science Foundation of China (NSFC))</t>
  </si>
  <si>
    <t>Comments of three anonymous reviewers are appreciated. This study is supported by grants from the National Natural Science Foundation of China (41775080, 41661144016, 41661144017, 41530425, and 41721004). The GPCC and GPCP data were obtained from https://www.esrl.noaa.gov/psd/. The ERAInterim datawere obtained from https://www.ecmwf.int/. The HadISST SST data were obtained from https://www.metoffice.gov.uk/hadobs/hadisst/.</t>
  </si>
  <si>
    <t>10.1175/JCLI-D-19-0262.1</t>
  </si>
  <si>
    <t>WOS:000506003200007</t>
  </si>
  <si>
    <t>Nguyen, Kim-Anh; Liou, Yuei-An; Tran, Ha-Phuong; Hoang, Phi-Phung; Nguyen, Thanh-Hung</t>
  </si>
  <si>
    <t>Salinity intrusion is a pressing issue in the coastal areas worldwide. It affects the natural environment and causes massive economic loss due to its impacts on the agricultural productivity and food safety. Here, we assessed the salinity intrusion in the Tra Vinh Province, in the Mekong Delta of Vietnam. Landsat 8 OLI image was utilized to derive indices for soil salinity estimate including the single bands, Vegetation Soil Salinity Index (VSSI), Soil Adjusted Vegetation Index (SAVI), Normalized Difference Vegetation Index (NDVI), and Normalized Difference Salinity Index (NDSI). Statistical analysis between the electrical conductivity (EC1:5, dS/m) and the environmental indices derived from Landsat 8 OLI image was performed. Results indicated that spectral values of near-infrared (NIR) band and VSSI were better correlated with EC1:5 (r(2) = 0.8 and r(2) = 0.7, respectively) than the other indices. Comparative results show that soil salinity derived from Landsat 8 was consistent with in situ data with coefficient of determination, R-2 = 0.89 and RMSE = 0.96 dS/m for NIR band and R-2 = 0.77 and RMSE = 1.27 dS/m for VSSI index. Findings of this study demonstrate that Landsat 8 OLI images reveal a high potential for spatiotemporally monitoring the magnitude of soil salinity at the top soil layer. Outcomes of this study are useful for agricultural activities, planners, and farmers by mapping the contamination for better selection of accomodating crop types to reduce economical loss in the context of climate change. Our proposed method that estimates soil salinity using satellite-derived variables can be potentially useful as a fast-approach to detect the soil salinity in the other regions with low cost and considerable accuracy.</t>
  </si>
  <si>
    <t>[Nguyen, Kim-Anh; Liou, Yuei-An] Natl Cent Univ, Ctr Space &amp; Remote Sensing Res, 300 Jhongda Rd, Taoyuan 32001, Taiwan; [Nguyen, Kim-Anh] Vietnam Acad Sci &amp; Technol, Inst Geog, 18 Hoang Quoc Viet Rd, Hanoi, Vietnam; [Nguyen, Kim-Anh; Hoang, Phi-Phung] VAST, Grad Univ Sci &amp; Technol, 18 Hoang Quoc Viet Rd, Hanoi, Vietnam; [Tran, Ha-Phuong] VAST, Ho Chi Minh City Inst Resources Geog, 1 Mac Dinh Chi St, Ho Chi Minh City, Vietnam; [Hoang, Phi-Phung] VAST, Vietnam Natl Space Ctr, Ho Chi Minh City Space Technol Applicat Ctr, Ho Chi Minh City, Vietnam; [Nguyen, Thanh-Hung] VAST Ho Chi Minh City, Representat Off, Ho Chi Minh City, Vietnam</t>
  </si>
  <si>
    <t>National Central University; Vietnam Academy of Science &amp; Technology (VAST); Vietnam Academy of Science &amp; Technology (VAST); Vietnam Academy of Science &amp; Technology (VAST); Vietnam Academy of Science &amp; Technology (VAST)</t>
  </si>
  <si>
    <t>VAST; MOST of Vietnam; MOST of Taiwan</t>
  </si>
  <si>
    <t>This research was financially supported by the VAST under the code VAST05.04/16-17 and MOST of Vietnam under code KHCN_TNB/14-19/C23 and partially supported by MOST of Taiwan under the codes 107-2111-M008-036 and 105-2221-E-008-056-MY3.</t>
  </si>
  <si>
    <t>10.1186/s40645-019-0311-0</t>
  </si>
  <si>
    <t>WOS:000511694600001</t>
  </si>
  <si>
    <t>The changes in precipitation simulated by the 40-model CMIP5 ensemble for the Asia-Pacific region are assessed, focusing on the two periods 1986-2005 and 2080-2099 under the RCP8.5 scenario. The frequency distributions of both daily and monthly mean rain rates at model grid points in each of four seasons are considered. In spatial averages for the land domain and seven selected regions, there is both an increase in the frequency of dry days and a shift towards heavier rain. Three 20-year seasonal aggregate statistics, the mean, the top decile of monthly amounts, and top percentile of daily amounts are assessed. The percentage changes over land are on average 4% higher for monthly extremes than for the mean, and a further 10% higher for the daily extremes. Over Australia and central Indonesia in some seasons the mean decreases but daily extremes increase. In much of Asia the daily extremes increase by 30% or more. For these statistics, there is a range across the ensemble that can often be linked to a pattern of sea surface temperature change that is quantified by a Pacific-Indian Dipole (or difference, PID) index. Correlations with both mean and extreme rain are highly negative over Australia and Indonesia and moderately positive over parts of south and east Asia in some seasons. The mechanism for this is explored through additional simulations and links with water vapour path. The results provide some understanding of the range of projections of future rainfall change based on the CMIP5 results, with some potential for narrowing it.</t>
  </si>
  <si>
    <t>[Watterson, Ian G.] CSIRO Oceans &amp; Atmosphere, Climate Sci Ctr, Private Bag 1, Aspendale, Vic 3195, Australia</t>
  </si>
  <si>
    <t>Commonwealth Scientific &amp; Industrial Research Organisation (CSIRO); CSIRO Oceans &amp; Atmosphere</t>
  </si>
  <si>
    <t>SHINKIL-DONG 508, SIWON BLDG 704, YONGDUNGPO-GU, SEOUL, 150-050, SOUTH KOREA</t>
  </si>
  <si>
    <t>10.1007/s13143-019-00141-w</t>
  </si>
  <si>
    <t>WOS:000540802100003</t>
  </si>
  <si>
    <t>This study aims to evaluate the effects of climate change and El Nino-Southern Oscillation (ENSO) on reference evapotranspiration (ETo) in the climate sub-regions of South Vietnam (SVN) and the role of the related meteorological variables. The trend analysis shows that ETo has been increasing quite clearly, especially during the rainy season. By examining the contribution of meteorological variables to the increase of ETo, it is indicated that temperature is the main contributor. Among the meteorological variables that are related to ETo, temperature is also the factor that has gained the most significant increase. Analysis of variance reveals that there is no difference in the increase of ETo among the climate sub-regions of SVN. The effect of ENSO on ETo is assessed based on the difference in the mean value of ETo between the El Nino and La Nina phases. The results show that this difference is most obvious from October to May, and the main factor contributing to the increase is not temperature but sunshine hours. The difference in sunshine hours between the warm and cold phases in these months is around one hour per day, contributing about 58%-86% to the ETo difference. Further analysis of variance shows that ENSO has different levels of influences on ETo in the climate sub-regions. Compared to the increase in ETo due to climate change over the past 40 years, the ETo difference between El Nino and La Nina phases is many times higher. In addition, since the effect of ENSO on ETo is most obvious in the study area during the dry season, it is much stronger. In order to mitigate the effect of ENSO on drought in this area, monitoring and forecasting meteorological variables that have the main contribution to the variation of ETo, including the number of sunshine hours, should be promoted.</t>
  </si>
  <si>
    <t>[Luong, Van Viet] Ind Univ Ho Chi Minh City, Ho Chi Minh City 71408, Vietnam</t>
  </si>
  <si>
    <t>Wallonie-Bruxelles Government</t>
  </si>
  <si>
    <t>This study is supported by the Project 2.21 in the framework of the bilateral cooperation between Vietnam and the Wallonie-Bruxelles Government in the period 2019-2021. We sincerely thank the organizations related to this project.</t>
  </si>
  <si>
    <t>10.1007/s13351-021-1006-1</t>
  </si>
  <si>
    <t>WOS:000714941900011</t>
  </si>
  <si>
    <t>Rahayuningtyas, Christina; Wu, Ray-Shyan; Anwar, Ruslin; Chiang, Li-Chi</t>
  </si>
  <si>
    <t>The upstream Lesti watershed is one of the major watersheds of East Java in Indonesia, covering about 38093 hectares. Although there are enough water resources to meet current demands in the basin, many challenges including high spatial and temporal variability in precipitation from year to year exist. It is essential to understand how the climatic condition affects Lesti River stream flow in each sub basin. This study investigated the applicability of using the Soil and Water Assessment Tool (SWAT) with the incorporation of groundwater recharge prediction in stream flow simulation in the upstream Lesti watershed. Four observation wells in the upstream Lesti watershed were used to evaluate the seasonal and annual variations in the water level and estimate the groundwater recharge in the deep aquifer. The results show that annual water level rise was within the 2800 - 5700 mm range in 2007, 3900 - 4700 mm in 2008, 3200 - 5100 mm in 2009, and 2800 - 4600 mm in 2010. Based on the specific yield and the measured water level rise, the area-weighted groundwater predictions at the watershed outlet are 736, 820.9, 786.7, 306 4 mm in 2007, 2008, 2009, and 2010, respectively. The consistency test reveals that the R-square statistical value is greater than 0.7, and the DV (%) ranged from 32 - 55.3% in 2007 - 2010. Overall, the SWAT model performs better in the wet season flow simulation than the dry season. It is suggested that the SWAT model needs to be improved for stream flow simulation in tropical regions.</t>
  </si>
  <si>
    <t>[Rahayuningtyas, Christina; Wu, Ray-Shyan] Natl Cent Univ, Dept Civil Engn, Taoyuan, Taiwan; [Rahayuningtyas, Christina; Anwar, Ruslin] Univ Brawijaya, Dept Civil Engn, Malang, Indonesia; [Chiang, Li-Chi] Natl United Univ, Dept Civil &amp; Disaster Prevent Engn, Miaoli, Taiwan</t>
  </si>
  <si>
    <t>National Central University; Brawijaya University; National United University</t>
  </si>
  <si>
    <t>10.3319/TAO.2014.07.25.01(Hy)</t>
  </si>
  <si>
    <t>WOS:000346455400012</t>
  </si>
  <si>
    <t>Ratri, Dian Nur; Whan, Kirien; Schmeits, Maurice</t>
  </si>
  <si>
    <t>Dynamical seasonal forecasts are afflicted with biases, including seasonal ensemble precipitation forecasts from the new ECMWF seasonal forecast system 5 (SEAS5). In this study, biases have been corrected using empirical quantile mapping (EQM) bias correction (BC). We bias correct SEAS5 24-h rainfall accumulations at seven monthly lead times over the period 1981-2010 in Java, Indonesia. For the observations, we have used a new high-resolution (0.25 degrees) land-only gridded rainfall dataset [Southeast Asia observations (SA-OBS)]. A comparative verification of both raw and bias-corrected reforecasts is performed using several verification metrics. In this verification, the daily rainfall data were aggregated to monthly accumulated rainfall. We focus on July, August, and September because these are agriculturally important months; if the rainfall accumulation exceeds 100 mm, farmers may decide to grow a third rice crop. For these months, the first 2-month lead times show improved and mostly positive continuous ranked probability skill scores after BC. According to the Brier skill score (BSS), the BC reforecasts improve upon the raw reforecasts for the lower precipitation thresholds at the 1-month lead time. Reliability diagrams show that the BC reforecasts have good reliability for events exceeding the agriculturally relevant 100-mm threshold. A cost/loss analysis, comparing the potential economic value of the raw and BC reforecasts for this same threshold, shows that the value of the BC reforecasts is larger than that of the raw ones, and that the BC reforecasts have value for a wider range of users at 1- to 7-month lead times.</t>
  </si>
  <si>
    <t>[Ratri, Dian Nur; Whan, Kirien; Schmeits, Maurice] Royal Netherlands Meteorol Inst, KNMI, De Bilt, Netherlands; [Ratri, Dian Nur] Indonesian Agcy Meteorol Climatol &amp; Geophys, BMKG, Jakarta, Indonesia</t>
  </si>
  <si>
    <t>Royal Netherlands Meteorological Institute; Indonesian Agency for Meteorology, Climatology &amp; Geophysics</t>
  </si>
  <si>
    <t>Netherlands Space Office (NSO)</t>
  </si>
  <si>
    <t>This study was part of the G4INDO project, which was mostly funded by the Netherlands Space Office (NSO). The authors are grateful to the Santander met group for developing and maintaining the downscaleR package (https://github.com/SantanderMetGroup/downscaleR), and to the three anonymous reviewers and Albert Klein Tank (WUR) for their comments on an earlier version of the manuscript, which have helped to improve it. We also thank Gerard van der Schrier (KNMI) and Robi Muharsyah (BMKG) for assistance with the observational data and Folmer Krikken (KNMI) for the geopotential ECMWF model data.</t>
  </si>
  <si>
    <t>10.1175/JAMC-D-18-0210.1</t>
  </si>
  <si>
    <t>WOS:000476766900001</t>
  </si>
  <si>
    <t>Ramadhani, Fadhlullah; Pullanagari, Reddy; Kereszturi, Gabor; Procter, Jonathan</t>
  </si>
  <si>
    <t>Regular monitoring and mapping of rice (Oryza Sativa) growth phases are essential for industry stakeholders to ensure food production is on track and to assess the impact of climate change on rice production. In Indonesia, high-cost field surveys have been widely used to monitor the rice growth phases. Alternatively, this research proposes a methodology to retrieve multi-temporal rice phenology (vegetative, reproductive, and ripening) and bare land mapping using medium resolution remote sensing imagery obtained from Landsat-8 Operational Land Imager (OLI) combined with machine learning techniques. In this study, we have used extensive ground validation information collected from 2014 to 2016 for training the models. This ground validation information was obtained from pre-installed webcams across Indonesia. Five different machine learning algorithms were used including random forest (RF), support vector machine (SVM) with three kernel functions (linear, polynomial, and radial) and artificial neural networks (ANN) to classify rice growth phases and bare land. This paper also evaluates the temporal evolution of rice phenology and bare land to check the prediction model consistency between two consecutive dates in 3 years. The results show that the nonlinear SVM algorithm gives the best model accuracy (70.5% with Kappa: 0.66) based on the test dataset and the lowest temporal changes (&lt;11%). Spatial-temporal assessment of rice phenology and bare land from Landsat-8 indicated that the models were reliable and robust over different seasons and years. The distribution of rice phenology maps will enable Indonesian management authorities to supply fertilizer, allocate water resources, harvesting, and marketing facilities more efficiently.</t>
  </si>
  <si>
    <t>[Ramadhani, Fadhlullah; Kereszturi, Gabor; Procter, Jonathan] Massey Univ, Sch Agr &amp; Environm, Geosci, Palmerston North 4410, New Zealand; [Pullanagari, Reddy] Sch Food &amp; Adv Technol, Massey AgriFood Digital Lab, Palmerston North, New Zealand</t>
  </si>
  <si>
    <t>Massey University</t>
  </si>
  <si>
    <t>Kementerian Pertanian, Republik Indonesia</t>
  </si>
  <si>
    <t>This work was supported by the Kementerian Pertanian, Republik Indonesia https://search.crossref.org/funding?q=501100013305.</t>
  </si>
  <si>
    <t>NOV 1</t>
  </si>
  <si>
    <t>10.1080/01431161.2020.1779378</t>
  </si>
  <si>
    <t>WOS:000563970500003</t>
  </si>
  <si>
    <t>Halik, Gusfan; Putra, Victorius Setiaji; Wiyono, Retno Utami Agung</t>
  </si>
  <si>
    <t>This research had been conducted in Sampean Baru Watershed, Bondowoso-Situbondo Regency, Indonesia. The National Disaster Management Agency (BNPB) categorizes this watershed as an area that has a very high level of drought. This condition is likely to get worse and will have a broad impact on people's lives if global warming continues for the next few years, therefore, future drought assessment is needed to assist in decision making. This study aims to assess future drought using General Circulation Model data. The GCM data contains future climate change scenarios called the Representatives Concentration Pathway (RCP) as results of the Fifth Assessment Report-Intergovernmental Panel on Climate Change (IPCC-AR5) report. GCM data containing coarse-resolution climate parameters are processed using downscaling techniques, so predictive rainfall data with the fine resolution, and local scale are obtained. The rainfall data is used in Soil and Water Assessment Tools (SWAT) modelling to simulate discharge at Sampean Baru watershed. Furthermore, the Standardized Runoff Index (SRI) method with simulated discharge used as input data to assess the drought severity. The results showed that the drought severity using SRI gives high accuracy and can be used for predictions of drought in the future. The drought prediction results showed that increased greenhouse gas concentrations while earth's temperature on RCP scenarios have an influence the intensity of drought events and drought-affected areas. Scenarios of climate change based on the temperature increase contained in the RCP will have a real effect on the severity of drought.</t>
  </si>
  <si>
    <t>[Halik, Gusfan; Putra, Victorius Setiaji; Wiyono, Retno Utami Agung] Univ Jember, Fac Engn, Dept Civil Engn, POB 159, Jember, East Java, Indonesia</t>
  </si>
  <si>
    <t>Universitas Jember</t>
  </si>
  <si>
    <t>Indonesian Ministry of Research, Technology, and Higher Education(Ministry of Research and Technology of the Republic of Indonesia (RISTEK)); Magister Thesis Program scheme</t>
  </si>
  <si>
    <t>This research was supported by a grant from Indonesian Ministry of Research, Technology, and Higher Education with Magister Thesis Program scheme.</t>
  </si>
  <si>
    <t>10.1007/s11069-022-05245-7</t>
  </si>
  <si>
    <t>WOS:000757762300004</t>
  </si>
  <si>
    <t>Melendy, L.; Hagen, S. C.; Sullivan, F. B.; Pearson, T. R. H.; Walker, S. M.; Ellis, P.; Kustiyo; Sambodo, Ari Katmoko; Roswintiarti, O.; Hanson, M. A.; Klassen, A. W.; Palace, M. W.; Braswell, B. H.; Delgado, G. M.</t>
  </si>
  <si>
    <t>Selective logging has an impact on the global carbon cycle, as well as on the forest micro-climate, and longer-term changes in erosion, soil and nutrient cycling, and fire susceptibility. Our ability to quantify these impacts is dependent on methods and tools that accurately identify the extent and features of logging activity. LiDAR-based measurements of these features offers significant promise. Here, we present a set of algorithms for automated detection and mapping of critical features associated with logging roads/decks, skid trails, and gaps- using commercial airborne LiDAR data as input. The automated algorithm was applied to commercial LiDAR data collected over two logging concessions in Kalimantan, Indonesia in 2014. The algorithm results were compared to measurements of the logging features collected in the field soon after logging was complete. The automated algorithm-mapped road deck and skid trail features match closely with features measured in the field, with agreement levels ranging from 69% to 99% when adjusting for GPS location error. The algorithm performed most poorly with gaps, which, by their nature, are variable due to the unpredictable impact of tree fall versus the linear and regular features directly created by mechanical means. Overall, the automated algorithm performs well and offers significant promise as a generalizable tool useful to efficiently and accurately capture the effects of selective logging, including the potential to distinguish reduced impact logging from conventional logging. (C) 2018 International Society for Photogrammetry and Remote Sensing, Inc. (ISPRS). Published by Elsevier B.V. All rights reserved.</t>
  </si>
  <si>
    <t>[Melendy, L.; Hagen, S. C.; Braswell, B. H.; Delgado, G. M.] Appl GeoSolut, 55 Main St, Newmarket, NH 03857 USA; [Sullivan, F. B.; Palace, M. W.] Univ New Hampshire, Inst Study Earth Oceans &amp; Space, Earth Syst Res Ctr, Durham, NH 03824 USA; [Pearson, T. R. H.; Walker, S. M.] Winrock Int Livestock Res &amp; Training Ctr, Ecosyst Serv Unit, Arlington, VA USA; [Ellis, P.] Nature Conservancy, 1815 N Lynn St, Arlington, VA USA; [Kustiyo; Sambodo, Ari Katmoko; Roswintiarti, O.] Indonesia Natl Inst Aeronaut &amp; Space LAPAN, Jl Lapan 70, Jakarta, Indonesia; [Hanson, M. A.] Dev Seed, Washington, DC USA; [Klassen, A. W.] Trop Forest Fdn, Bogor, West Java, Indonesia</t>
  </si>
  <si>
    <t>University System Of New Hampshire; University of New Hampshire; Nature Conservancy; National Research &amp; Innovation Agency of Indonesia (BRIN); National Institute of Aeronautics &amp; Space of Indonesia (LAPAN)</t>
  </si>
  <si>
    <t>NASA's Carbon Monitoring System Program; NASA(National Aeronautics &amp; Space Administration (NASA))</t>
  </si>
  <si>
    <t>This study was funded by a grant from NASA's Carbon Monitoring System Program (grant # NNX13AP88G). We are grateful to two anonymous reviewers who provided constructive recommendations that have substantially improved the presentation of this research.</t>
  </si>
  <si>
    <t>0924-2716</t>
  </si>
  <si>
    <t>1872-8235</t>
  </si>
  <si>
    <t>ISPRS J PHOTOGRAMM</t>
  </si>
  <si>
    <t>ISPRS-J. Photogramm. Remote Sens.</t>
  </si>
  <si>
    <t>10.1016/j.isprsjprs.2018.02.022</t>
  </si>
  <si>
    <t>Geography, Physical; Geosciences, Multidisciplinary; Remote Sensing; Imaging Science &amp; Photographic Technology</t>
  </si>
  <si>
    <t>WOS:000431160100017</t>
  </si>
  <si>
    <t>Fontijn, Karen; Costa, Fidel; Sutawidjaja, Igan; Newhall, Christopher G.; Herrin, Jason S.</t>
  </si>
  <si>
    <t>The 1963 AD eruption of Agung volcano was one of the most significant twentieth century eruptions in Indonesia, both in terms of its explosivity (volcanic explosivity index (VEI) of 4+) and its short-term climatic impact as a result of around 6.5 Mt SO2 emitted during the eruption. Because Agung has a significant potential to generate more sulphur-rich explosive eruptions in the future and in the wake of reported geophysical unrest between 2007 and 2011, we investigated the Late Holocene tephrostratigraphic record of this volcano using stratigraphic logging, and geo-chemical and geochronological analyses. We show that Agung has an average eruptive frequency of one VEI &gt;= 2-3 eruptions per century. The Late Holocene eruptive record is dominated by basaltic andesitic eruptions generating tephra fall and pyroclastic density currents. About 25 % of eruptions are of similar or larger magnitude than the 1963 AD event, and this includes the previous eruption of 1843 AD (estimated VEI 5, contrary to previous estimations of VEI 2). The latter represents one of the chemically most evolved products (andesite) erupted at Agung. In the Late Holocene, periods of more intense explosive activity alternated with periods of background eruptive rates similar to those at other subduction zone volcanoes. All eruptive products at Agung show a texturally complex mineral assemblage, dominated by plagioclase, clinopyroxene, orthopyroxene and olivine, suggesting recurring open-system processes of magmatic differentiation. We propose that erupted magmas are the result of repeated intrusions of basaltic magmas into basaltic andesitic to andesitic reservoirs producing a hybrid of bulk basaltic andesitic composition with limited compositional variations.</t>
  </si>
  <si>
    <t>[Fontijn, Karen; Costa, Fidel; Newhall, Christopher G.; Herrin, Jason S.] Nanyang Technol Univ, Earth Observ Singapore, Singapore 639798, Singapore; [Fontijn, Karen] Univ Oxford, Dept Earth Sci, Oxford OX1 3AN, England; [Fontijn, Karen] Univ Ghent, Dept Geol &amp; Soil Sci, B-9000 Ghent, Belgium; [Sutawidjaja, Igan] Geol Agcy, Ctr Volcanol &amp; Geol Hazard Mitigat, Bandung 40122, Indonesia; [Herrin, Jason S.] Nanyang Technol Univ, Sch Mat Sci &amp; Engn, Facil Anal Characterisat Testing Simulat, Singapore 639798, Singapore</t>
  </si>
  <si>
    <t>Nanyang Technological University; University of Oxford; Ghent University; Nanyang Technological University</t>
  </si>
  <si>
    <t>Earth Observatory of Singapore; Oxford (NERC); Ghent universities; Natural Environment Research Council(UK Research &amp; Innovation (UKRI)Natural Environment Research Council (NERC)); NERC(UK Research &amp; Innovation (UKRI)Natural Environment Research Council (NERC))</t>
  </si>
  <si>
    <t>We thank CVGHM for logistic support during fieldwork and RISTEK for research permits. We are grateful to Anwar Sidik, I Nengah Wardhana and Dewa Mertheyash from the Rendang Volcano Observatory for their hospitality and help in the field. Ryuta Furukawa is thanked for introductions to key outcrops. Tanya Furman is kindly acknowledged for sharing the work by Doust (2003). Reviews by John Pallister and Mary-Ann del Marmol, and editorial handling by James Gardner were greatly appreciated. Fieldwork and laboratory analyses were funded by the Earth Observatory of Singapore. Data interpretation and writing was performed at Oxford (NERC grant NE/I013210/1) and Ghent universities.</t>
  </si>
  <si>
    <t>0258-8900</t>
  </si>
  <si>
    <t>1432-0819</t>
  </si>
  <si>
    <t>B VOLCANOL</t>
  </si>
  <si>
    <t>Bull. Volcanol.</t>
  </si>
  <si>
    <t>10.1007/s00445-015-0943-x</t>
  </si>
  <si>
    <t>WOS:000357427200003</t>
  </si>
  <si>
    <t>Devnita, Rina; Sukiyah, Emi; Sandrawati, Apong</t>
  </si>
  <si>
    <t>Ultic is the soil characteristics in soil taxonomy when argillic or kandic horizon is found within the depth of 125 cm with the base saturation of less than 35 % on the overall of upper 50 cm. The purpose of this research is to investigate whether ultic horizon was found in the soil developing from the Pleistocene eruption of Mount Tilu (basaltic parent materials), in West Java, Indonesia. The method used was descriptive and comparative surveys of three profiles in the area around Mount Tilu, including the investigation of andic soil properties and the formation of argillic or kandic horizon. The result showed that the soils fulfilled the requirements of andic soil properties to be classified as Andisols. Soil never dried for ninety days cumulative (udic) to be classified as Udands. There were Fulvudands and Hapludands in this location. Accumulation of clays was more than 1.2% higher than the overlying horizon found at the depth of 90, 79, and 51 cm in those three profiles. Base saturation in upper 50 cm ranged from 1.07 to 6.86 cmol kg(-1) or less than 35 %, making the soils were classified as Ultic Fulvudands and Ultic Hapludands. The high rainfall in the tropics and Pleistocene age led to the leaching of clays for a long period to form the argillic horizon. The influence of rain was stronger than the basaltic parent materials in forming Ultic Hapludands. Basaltic parent material was not strong enough to produce base saturation of more than 35 %.</t>
  </si>
  <si>
    <t>[Devnita, Rina; Sandrawati, Apong] Univ Padjadjaran, Fac Agr, Dept Soil Sci &amp; Land Resources, Jln Raya Bandung Sumedang Km 21, Jatinangor 45363, Indonesia; [Sukiyah, Emi] Univ Padjadjaran, Fac Geol Engn, Jln Raya Bandung Sumedang Km 21, Jatinangor 45363, Indonesia</t>
  </si>
  <si>
    <t>Universitas Padjadjaran; Universitas Padjadjaran</t>
  </si>
  <si>
    <t>Indonesian Ministry of Education and Culture(Ministry of Research and Technology of the Republic of Indonesia (RISTEK)); Directorate General of Higher Education</t>
  </si>
  <si>
    <t>The authors would like to thank the Indonesian Ministry of Education and Culture, c.q. The Directorate General of Higher Education for funding this research. The authors also thank Prof. E. Van Ranst from Ghent University, Belgium, for facilitating laboratory analyses in the Laboratory of Soil Science, Ghent University.</t>
  </si>
  <si>
    <t>GEOLOGICAL AGENCY</t>
  </si>
  <si>
    <t>BANDUNG</t>
  </si>
  <si>
    <t>JL DIPONEGORO NO 57, BANDUNG, 00000, INDONESIA</t>
  </si>
  <si>
    <t>2355-9314</t>
  </si>
  <si>
    <t>2355-9306</t>
  </si>
  <si>
    <t>INDONES J GEOSCI</t>
  </si>
  <si>
    <t>Indones. J. Geosci.</t>
  </si>
  <si>
    <t>10.17014/ijog.9.2.159-172</t>
  </si>
  <si>
    <t>WOS:001130464000002</t>
  </si>
  <si>
    <t>Basri, Muhamad Afdal Ahmad; Shaharudin, Shazlyn Milleana; Kismiantini; Tan, Mou Leong; Najib, Sumayyah Aimi Mohd; Zainuddin, Nurul Hila; Andayani, Sri</t>
  </si>
  <si>
    <t>Monthly precipitation data during the period of 1970 to 2019 obtained from the Meteorological, Climatological and Geophysical Agency database were used to analyze regionalized precipitation regimes in Yogyakarta, Indonesia. There were missing values in 52.6% of the data, which were handled by a hybrid random forest approach and bootstrap method (RF-Bs). The present approach addresses large missing values and also reduces the Root Mean Square Error (RMSE) and the Mean Absolute Error (MAE) in the search for the optimum minimal value. Cluster analysis was used to classify stations or grid points into different rainfall regimes. Hierarchical clustering analysis (HCA) of rainfall data reveal the pattern of behavior of the rainfall regime in a specific region by identifying homogeneous clusters. According to the HCA, four distinct and homogenous regions were recognized. Then, the principal component analysis (PCA) technique was used to homogenize the rainfall series and optimally reduce the long-term rainfall records into a few variables. Moreover, PCA was applied to monthly rainfall data in order to validate the results of the HCA analysis. On the basis of the 75% of cumulative variation, 14 factors for the Dry season and the Rainy season, and 12 factors for the Inter-monsoon season, were extracted among the components using varimax rotation. Consideration of different groupings into these approaches opens up new advanced early warning systems in developing recommendations on how to differentiate climate change adaptation- and mitigation-related policies in order to minimize the largest economic damage and taking necessary precautions when multiple hazard events occur.</t>
  </si>
  <si>
    <t>[Basri, Muhamad Afdal Ahmad; Shaharudin, Shazlyn Milleana; Zainuddin, Nurul Hila] Univ Pendidikan Sultan Idris, Fac Sci &amp; Math, Dept Math, Tanjong Malim 35900, Perak, Malaysia; [Kismiantini] Univ Negeri Yogyakarta, Fac Math &amp; Nat Sci, Dept Stat, Yogyakarta 55281, Indonesia; [Tan, Mou Leong] Univ Sains Malaysia, Sch Humanities, GeoInformat Unit, Geog Sect, Gelugor 11800, Pulau Pinang, Malaysia; [Najib, Sumayyah Aimi Mohd] Univ Pendidikan Sultan Idris, Fac Human Sci, Dept Geog &amp; Environm, Tanjong Malim 35900, Perak, Malaysia; [Andayani, Sri] Univ Negeri Yogyakarta, Fac Math &amp; Nat Sci, Dept Math, Yogyakarta 55281, Indonesia</t>
  </si>
  <si>
    <t>Universiti Pendidikan Sultan Idris; Universitas Negeri Yogyakarta; Universiti Sains Malaysia; Universiti Pendidikan Sultan Idris; Universitas Negeri Yogyakarta</t>
  </si>
  <si>
    <t>FUNDAMENTAL RESEARCH GRANT SCHEME; Geran Penyelidikan Universiti Fundamental (GPUF) 2020; Universiti Pendidikan Sultan Idris</t>
  </si>
  <si>
    <t>This research was funded by FUNDAMENTAL RESEARCH GRANT SCHEME, grant number 2019-0132-103- 02 (FRGS/1/2019/STG06/UPSI/02/4) and The APC was funded by Geran Penyelidikan Universiti Fundamental (GPUF) 2020, grant number 2020-0172-103-01 and Universiti Pendidikan Sultan Idris.</t>
  </si>
  <si>
    <t>10.3390/ijgi10100689</t>
  </si>
  <si>
    <t>WOS:000806906300001</t>
  </si>
  <si>
    <t>Roth, Matthias; Jansson, Christer; Velasco, Erik</t>
  </si>
  <si>
    <t>Detailed eddy covariance measurements of radiation, energy and carbon dioxide fluxes over a residential neighbourhood of Singapore are presented. The measurements cover a period of approximate to 7 years and represent the longest set of flux data reported for a tropical city. Owing to its equatorial location, the observed radiation fluxes are uniformly high throughout the year. Annual changes in climate, energy fluxes and carbon dioxide exchange are therefore much less than observed in cities located outside the Tropics. The energy balance partitioning is nevertheless similar to that reported for subtropical and mid-latitude suburban sites. Across the entire study period and all weather conditions 53.6% of net radiation (3.222 GJ m(-2) year(-1)) is partitioned into sensible and 39.4% into latent heat, respectively, resulting in a long-term daily Bowen ratio of approximate to 1.4. Significant variability exists in net radiation and sensible heat flux using a classification based on clouds and rainfall. Carbon dioxide fluxes are generally positive throughout the day with morning and evening peaks related to maxima in traffic volume separating lower day- from higher nighttime fluxes. Unlike in many other comparable suburban studies, net fluxes are generally higher during night- compared to daytime. The largest daily fluxes and most pronounced diurnal variability coincide with seasons when the flux footprint includes the highest proportion of vegetation, suggesting an important role for daytime sequestration and nighttime respiration to control the diurnal and seasonal variation. Carbon dioxide fluxes change little across the year given the absence of a heating season with an annual total mass flux of 6368 Mg CO2 km(-2) year(-1). Singapore provides a unique climatic context, and the present long-term study is expected to add robust statistics from the understudied (sub)tropical region to the global data set of urban energy and carbon dioxide fluxes, which is dominated by work conducted in mid- and high latitudes.</t>
  </si>
  <si>
    <t>[Roth, Matthias] Natl Univ Singapore, Dept Geog, 1 Arts Link, Singapore 117570, Singapore; [Jansson, Christer] Swedish Meteorol &amp; Hydrol Inst, Rossby Ctr, Norrkoping, Sweden; [Velasco, Erik] Singapore MIT Alliance Res &amp; Technol SMART, Singapore, Singapore</t>
  </si>
  <si>
    <t>National University of Singapore; Swedish Meteorological &amp; Hydrological Institute; Singapore-MIT Alliance for Research &amp; Technology Centre (SMART)</t>
  </si>
  <si>
    <t>National University of Singapore(National University of Singapore); National Research Foundation Singapore through Singapore MIT Alliance for Research and Technology Center for Environmental Sensing and Modeling research program(National Research Foundation, SingaporeSingapore-MIT Alliance for Research &amp; Technology Centre (SMART))</t>
  </si>
  <si>
    <t>This research was funded by a National University of Singapore research grant (R-109-000-091-112) and the National Research Foundation Singapore through the Singapore MIT Alliance for Research and Technology Center for Environmental Sensing and Modeling research program. We thank ANV Satyanarayana, S Harshan, SH Tan, M Quak, V Lim and LGY Feng for their assistance in the field and lab, and M Cher (East Lodge Hostel) for access to the measurement site.</t>
  </si>
  <si>
    <t>10.1002/joc.4873</t>
  </si>
  <si>
    <t>WOS:000398859700036</t>
  </si>
  <si>
    <t>Feng, Wen; Zhu, Li; Wong, Waikin; Choy, Chunwing; Miao, Junfeng</t>
  </si>
  <si>
    <t>While considerable studies have proved that the track and intensity forecasts of tropical cyclone (TC) relied heavily on output from numerical weather prediction (NWP) model, few researches investigated how well NWP models forecast TC genesis in the western North Pacific (WNP) basin. In order to understand the characteristics of TC genesis forecast in WNP basin by NWP models, this study derives a set of criteria to identify the formation of TC using historical data and verifies it based on ECMWF model data between 2013 and 2015. The results show that the percentile values adopted as the criteria thresholds have a significant impact on the performance of algorithm based on the criteria. A reasonable adjustment of threshold in a specific interval can effectively improve the TC genesis prediction. For example, in the WNP basin the forecast results are most sensitive to small changes in the relative vorticity on the 850 hPa level. The results of forecast test of the optimal threshold combination scheme indicate that the turning point of performance lies between 24 and 48 hours with regard to the hit rate in the 12-72 hours prior to the formation of TC. For lead time less than 24 hours, the hit rate was basically maintained at a high level above 0.7 with a small decrease. After that, the performance drops sharply before stabilizing beyond 48 hours. In addition, the performance of the TC genesis prediction in ECMWF model varies significantly from year to year and also in different WNP regions. It performs better to the east of the Philippines than over the South China Sea (SCS). On the other hand, high false alarm (FA) rates are found in the central parts of the SCS up to the waters around the Philippines and the central part of the WNP. The significant discrepancy in ECMWF's performance can also be observed between different basins. Within the 24 hours before the genesis of a TC, the forecasts for the WNP basin verify better than those for the Atlantic basin.</t>
  </si>
  <si>
    <t>[Feng, Wen; Miao, Junfeng] Nanjing Univ Informat Sci &amp; Technol, Coll Atmospher Sci, Nanjing 210044, Peoples R China; [Feng, Wen] Hainan Meteorol Observ, Haikou 510203, Hainan, Peoples R China; [Zhu, Li] Taizhou Meteorol Observ, Taizhou 225300, Peoples R China; [Wong, Waikin; Choy, Chunwing] Hong Kong Observ, Hong Kong 99907, Peoples R China</t>
  </si>
  <si>
    <t>National Key Research and Development Program of China; National Natural Science Foundation of China(National Natural Science Foundation of China (NSFC)); Applied Technology Research and Development and Demonstration Projects of Hainan Province; Natural Science Foundation of Hainan; Tropical Cyclone Research Fellowship programme of the ESCAP/WMO Typhoon Committee in 2015</t>
  </si>
  <si>
    <t>This research was funded by National Key Research and Development Program of China, grant number 2018YFC1506902; National Natural Science Foundation of China, grant number 41365004; Applied Technology Research and Development and Demonstration Projects of Hainan Province, grant number ZDXM2015106; Natural Science Foundation of Hainan, grant number 413132, and Tropical Cyclone Research Fellowship programme of the ESCAP/WMO Typhoon Committee in 2015. The numerical calculations in this paper have been done on the supercomputing system in the Supercomputing Center of Nanjing University of Information Science &amp; Technology.</t>
  </si>
  <si>
    <t>INDIA METEOROLOGICAL DEPT</t>
  </si>
  <si>
    <t>NEW DELHI</t>
  </si>
  <si>
    <t>MAUSAM BHAWAN, LODI RD, NEW DELHI, 110 003, INDIA</t>
  </si>
  <si>
    <t>0252-9416</t>
  </si>
  <si>
    <t>Mausam</t>
  </si>
  <si>
    <t>WOS:000583272700008</t>
  </si>
  <si>
    <t>van Noordwijk, Meine; Tanika, Lisa; Lusiana, Betha</t>
  </si>
  <si>
    <t>Watersheds buffer the temporal pattern of river flow relative to the temporal pattern of rainfall. This ecosystem service is inherent to geology and climate, but buffering also responds to human use and misuse of the landscape. Buffering can be part of management feedback loops if salient, credible and legitimate indicators are used. The flow persistence parameter F-p in a parsimonious recursive model of river flow (Part 1, van Noordwijk et al., 2017) couples the transmission of extreme rainfall events (1-F-p), to the annual base-flow fraction of a watershed (F-p). Here we compare F-p estimates from four meso-scale watersheds in Indonesia (Cidanau, Way Besai and Bialo) and Thailand (Mae Chaem), with varying climate, geology and land cover history, at a decadal timescale. The likely response in each of these four to variation in rainfall properties (including the maximum hourly rainfall intensity) and land cover (comparing scenarios with either more or less forest and tree cover than the current situation) was explored through a basic daily water-balance model, GenRiver. This model was calibrated for each site on existing data, before being used for alternative land cover and rainfall parameter settings. In both data and model runs, the wet-season (3-monthly) F-p values were consistently lower than dry-season values for all four sites. Across the four catchments F-p values decreased with increasing annual rainfall, but specific aspects of watersheds, such as the riparian swamp (peat soils) in Cidanau reduced effects of land use change in the upper watershed. Increasing the mean rainfall intensity (at constant monthly totals for rainfall) around the values considered typical for each landscape was predicted to cause a decrease in F-p values by between 0.047 (Bialo) and 0.261 (Mae Chaem). Sensitivity of F-p to changes in land use change plus changes in rainfall intensity depends on other characteristics of the watersheds, and generalisations made on the basis of one or two case studies may not hold, even within the same climatic zone. A wet-season F-p value above 0.7 was achievable in forest-agroforestry mosaic case studies. Inter-annual variability in Fp is large relative to effects of land cover change. Multiple (5-10) years of paired-plot data would generally be needed to reject no-change null hypotheses on the effects of land use change (degradation and restoration). F-p trends over time serve as a holistic scale-dependent performance indicator of degrading/recovering watershed health and can be tested for acceptability and acceptance in a wider social-ecological context.</t>
  </si>
  <si>
    <t>[van Noordwijk, Meine; Tanika, Lisa; Lusiana, Betha] World Agroforestry Ctr, Bogor, Indonesia; [van Noordwijk, Meine] Wageningen Univ, Plant Prod Syst, Wageningen, Netherlands</t>
  </si>
  <si>
    <t>Wageningen University &amp; Research</t>
  </si>
  <si>
    <t>10.5194/hess-21-2341-2017</t>
  </si>
  <si>
    <t>WOS:000400732900002</t>
  </si>
  <si>
    <t>The study analyzed the time series of the tropical cyclone (TC) frequencies which passed through the East China Sea between July and September from 1963 to 2012. The result of applying the statistical change-point analysis to this time series shows that a climate regime shift occurred in 1983 when the TC frequencies which pass the East China Sea area started increasing. The study then analyzed the average difference after 1983 (1984-2012) and before 1983 (1963-1983). The TC genesis frequency shows a tendency in mainly appearing in the tropical and subtropical Northwestern Pacific between 1963 and 1983 and the southern part between 1984 and 2012. The TC passage frequency shows a pattern that the TCs move from the far northeast sea of Philippines and change direction to Korea and Japan, passing through the East China Sea between 1984 and 2012. Meanwhile, the TC passage frequency shows a pattern which moves from the far southeast sea of the Philippines to southern China in the west direction in the previous period (1963-1983). These TC movement patterns coincide with the development status of the subtropical western North Pacific high (SWNPH) which averages for each period. It shows that the SWNPH in the second period stays away from the SWNPH in the second period from the northeast direction, but that the SWNPH in the first period expands to western Taiwan. This study analyzes the difference between the two periods in the 500-hPa streamline to understand the changes in such TC activities in the two groups. The anomalous anticyclonic circulations centered in the southern part of Japan are fortified in most of the subtropical Northwestern Pacific. The anomalous southerlies from the anomalous circulations are outstanding in the East China Sea area, Korea, and Japan. Therefore, the TCs generated in the tropical and subtropical Northwestern Pacific move along with the anomalous steering flow (anomalous southwesterlies) and up toward the East China Sea area, Korea, and Japan. The anomalous anticyclonic circulations are fortified in most of the subtropical Northwestern Pacific areas, but the anomalous cyclonic circulations are strengthened in the tropical Northwestern Pacific below 15A degrees N, causing the generation of TCs mainly in the northwestern part of the tropical and subtropical Northwestern Pacific between 1963 and 1983, and in the southeastern part between 1984 and 2012.</t>
  </si>
  <si>
    <t>[Choi, Ki-Seon; Cha, Yu-Mi; Kang, Sung-Dae] Korea Meteorol Adm, Natl Typhoon Ctr, Cheju, South Korea; [Kim, Hae-Dong] Keimyung Univ, Dept Environm Conservat, Daegu, South Korea</t>
  </si>
  <si>
    <t>10.1007/s00704-014-1142-y</t>
  </si>
  <si>
    <t>WOS:000351866800002</t>
  </si>
  <si>
    <t>Lin, I. -I.; Pun, Iam-Fei; Lien, Chun-Chi</t>
  </si>
  <si>
    <t>With the extra-ordinary intensity of 170 kts, supertyphoon Haiyan devastated the Philippines in November 2013. This intensity is among the highest ever observed for tropical cyclones (TCs) globally, 35 kts well above the threshold (135kts) of the existing highest category of 5. Though there is speculation to associate global warming with such intensity, existing research indicate that we have been in a warming hiatus period, with the hiatus attributed to the La Nina-like multi-decadal phenomenon. It is thus intriguing to understand why Haiyan can occur during hiatus. It is suggested that as the western Pacific manifestation of the La Nina-like phenomenon is to pile up warm subsurface water to the west, the western North Pacific experienced evident subsurface warming and created a very favorable ocean pre-condition for Haiyan. Together with its fast traveling speed, the air-sea flux supply was 158% as compared to normal for intensification.</t>
  </si>
  <si>
    <t>[Lin, I. -I.; Pun, Iam-Fei; Lien, Chun-Chi] Natl Taiwan Univ, Dept Atmospher Sci, Taipei 10764, Taiwan</t>
  </si>
  <si>
    <t>National Taiwan University</t>
  </si>
  <si>
    <t>Ministry of Science and Technology (MOST), Taiwan(Ministry of Science and Technology, Taiwan)</t>
  </si>
  <si>
    <t>This work is supported by the Ministry of Science and Technology (MOST), Taiwan. Thanks to Hsiao-Ching Huang, Ming Fang, Yi-Hsuan Hsieh for help in data processing and figure editing. Thanks also to the AVISO team, NOAA, ECMWF, JTWC, and the Central Weather Bureau (CWB, Dr. Ching-Tsi Feng and Mr. Yen-chi Shen) Taiwan, for providing essential data sets. Thanks to Wen Zhou and Richard Li (City University of Hong Kong) for helpful comments. Thanks a lot to the reviewers for their very constructive comments. We also thank the Editors and the production team for handling this paper. Finally, this work is a tribute to Bob Simpson, who proposed the Saffir-Simpson TC scale a few decades ago. The first author is greatly inspired by Simpson's talk during the American Meteorological Society's Hurricane conference in 2012. Though he was already 100 years old, his zeal and passion for science touched so many of us in the audience. Our very best wishes and sincere thanks to Bob Simpson.</t>
  </si>
  <si>
    <t>DEC 16</t>
  </si>
  <si>
    <t>10.1002/2014GL061281</t>
  </si>
  <si>
    <t>WOS:000348462000051</t>
  </si>
  <si>
    <t>Krishnan, Ninu M., V; Prasanna, M., V; Vijith, H.</t>
  </si>
  <si>
    <t>Impact of climate change over the hydrological system in a region can be identified through statistical characterization of hydrometeorological parameters such as rainfall, temperature, humidity and evaporation. In order to understand the influence of climate change, statistical trend characteristics of rainy days, non-rainy days and evaporation rate in the Limbang River Basin (LRB) in Sarawak, Malaysia, Northern Borneo was assessed in the present research. iknnual rainfall and monthly evaporation data, over a period of 46 years, (1970 - 2015) corresponding to three rain gauging stations, the Limbang DID, Ukong and Long Napir were used in the research. Linear regression model. Mann Kendall and Sen's slope estimator techniques were applied to detect the statistical trends in rainy days and evaporation. A statistically significant increasing trend in annual rainy days was found at all the stations. Non-rainy days showed a statistically significant decreasing trend at Limbang DID and Ukong. Monthly evaporation rates showed an overall increasing trend and the greatest increasing trend in evaporation was observed in September (2.55 num'year) for the Limbang DID and in December (2.61 min/year) for Ukong. Evaporation measured at the Ukong station also showed a non-significant decrease during June and September. A comparison of the evaporation controlling meteorological variables such as rainfall, temperature and relative humidity indicates inter-influence at various strengths. Along with local precipitation characteristics, wind and fluctuation of atmospheric temperature over the region plays a vital role in increased rate of evaporation from the region. Overall, the analysis identified a statistically significant increasing trend in rainy days and evaporation in the LRB. The results of the present research can be used as critical planning data for micro and macro hydroelectric projects in the river basin.</t>
  </si>
  <si>
    <t>[Krishnan, Ninu M., V; Prasanna, M., V; Vijith, H.] Curtin Univ Malaysia, Fac Engn &amp; Sci, Dept Appl Geol, Miri, Malaysia</t>
  </si>
  <si>
    <t>UNIV NACIONAL DE COLOMBIA</t>
  </si>
  <si>
    <t>BOGOTA</t>
  </si>
  <si>
    <t>EDIFICIO MANUAL ANCIZAR AA, BOGOTA, 14490, COLOMBIA</t>
  </si>
  <si>
    <t>1794-6190</t>
  </si>
  <si>
    <t>2339-3459</t>
  </si>
  <si>
    <t>EARTH SCI RES J</t>
  </si>
  <si>
    <t>Earth Sci. Res. J.</t>
  </si>
  <si>
    <t>10.15446/esrj.v24n3.77670</t>
  </si>
  <si>
    <t>WOS:000600896900007</t>
  </si>
  <si>
    <t>Fatin, M. Nurul; Razali, Sheriza Mohd; Ahmad, A. Ainuddin; Shafri, Zulhaidi M. S. Mohd</t>
  </si>
  <si>
    <t>Oil palm is the most important crop in Malaysia. It plays a key role in maintaining carbon balance and it possesses high economic value. However, oil palm productivity is really sensitive to environmental changes especially during the long-term dry season. This has warranted studies on frequent observation of dry season for the plantation of oil palm. In this study, Moderate-Resolution Imaging Spectroradiometer (MODIS) surface reflectance data were utilized to generate an index for the crop assessment at Felcra Mendom Oil Plantation area, Negeri Sembilan. The indices of Normalized Difference Vegetation Index (NDVI), Enhanced Vegetation Index (EVI), and shortwave indices, namely Shortwave Infrared Water Stress Index (SWISI), at three different channels of 2, 5, and 6 were utilized. The main aim is to identify drought year based on MODIS-SPI-based index calculated and evaluated indices developed from MODIS images. The precipitation data retrieved from Malaysia Meteorology Department starting from year 1997 until 2017 and later are classified using Standardised Precipitation Index (SPI). Then by using the data from precipitation and SPI, the MODIS images were extracted from Land Process Distributed Active Archive Center (LP DAAC). Next, the images were processed and analysed by using ENVI Version 5.3 software to extract the indices used. The SPI-3 and SPI-1 were classified year 2015 as extreme drought with extreme' and mild', respectively. Meanwhile, the vegetation indices were calculated and average showed both NDVI and EVI approaching +1.00 value at the highest NDVI is 0.79 during 2017 and the highest EVI is 0.62 during years 2005 and 2013, respectively. Both SIWSI showed similar pattern, indicating high-moisture content as the index approaching -1.00. The result does not represent the overall condition of the specific study area, but the SPI is reliable to display the whole area and the utilization of MODIS and SPI can be used in further study.</t>
  </si>
  <si>
    <t>[Fatin, M. Nurul; Razali, Sheriza Mohd; Ahmad, A. Ainuddin] Univ Putra Malaysia, Inst Trop Forest &amp; Forest Prod INTROP, Serdang, Selangor, Malaysia; [Ahmad, A. Ainuddin] Univ Putra Malaysia, Fac Forestry, Serdang, Selangor, Malaysia; [Shafri, Zulhaidi M. S. Mohd] Univ Putra Malaysia, Fac Engn, Serdang, Selangor, Malaysia</t>
  </si>
  <si>
    <t>Universiti Putra Malaysia; Universiti Putra Malaysia; Universiti Putra Malaysia</t>
  </si>
  <si>
    <t>Universiti Putra Malaysia Research Grant</t>
  </si>
  <si>
    <t>This work was supported by the Universiti Putra Malaysia Research Grant [grant number9542100].</t>
  </si>
  <si>
    <t>10.1080/01431161.2019.1608394</t>
  </si>
  <si>
    <t>WOS:000471955100020</t>
  </si>
  <si>
    <t>Mudashiru, Rofiat Bunmi; Sabtu, Nuridah; Abdullah, Rozi; Saleh, Azlan; Abustan, Ismail</t>
  </si>
  <si>
    <t>Flooding is a major and recurring natural disaster in Northeast Penang, Malaysia. The ability to effectively identify flood hazard areas represents an important part of flood risk analysis and management. There is a need for a structured study that incorporates stakeholders' inputs such as the multi-criteria decision-making (MCDM) model to delineate flood-prone locations to support the management and mitigation measures of flooding in this area. Previous studies have compared the analytic hierarchy process (AHP) and fuzzy AHP methods in flood hazard mapping. Therefore, this study proposes to test the predicting capability of three MCDM models in the determination of flood-prone areas: the AHP, triangular fuzzy AHP (TF-AHP), and trapezoidal fuzzy AHP (TZF-AHP) in this area. The methodology applies nine flood-causative factors (FCFs) which include drainage density, elevation, land use, slope, rainfall, flood depth, distance from rivers, lithology, and distance from inundation. The resulting flood hazard maps showed a closer similarity between the TF-AHP and TZ-AHP methods compared to the AHP method for flood hazard mapping. The sensitivity analysis indicated that the AHP was more accurate than the fuzzy AHP models based on the weight estimation. The validation results showed that 100%, 93%, and 93% of the actual flood events occurred in the 'moderate' to 'very high' flood hazard areas for the AHP, TF-AHP, and TZF-AHP, respectively. Overall results showed the accuracy of all three models in modeling flood hazard areas. Therefore, the findings can be adopted as a tool in making informed and accurate policies about flood management for effective climate mitigation decision making.</t>
  </si>
  <si>
    <t>[Mudashiru, Rofiat Bunmi; Sabtu, Nuridah; Abdullah, Rozi; Abustan, Ismail] Univ Sains Malaysia, Sch Civil Engn, George Town, Malaysia; [Mudashiru, Rofiat Bunmi] Fed Polytech Offa, Dept Civil Engn, Offa, Nigeria; [Saleh, Azlan] Univ Teknol Malaysia, Disaster Preparedness &amp; Prevent Ctr DPPC, Malaysia Japan Int Inst Technol MJIIT, Johor Baharu, Malaysia</t>
  </si>
  <si>
    <t>Universiti Sains Malaysia; Universiti Teknologi Malaysia</t>
  </si>
  <si>
    <t>Tertiary Institutions Education Fund (TETFund), Nigeria</t>
  </si>
  <si>
    <t>This article is financially supported by the Tertiary Institutions Education Fund (TETFund), Nigeria.</t>
  </si>
  <si>
    <t>10.1007/s11069-022-05250-w</t>
  </si>
  <si>
    <t>WOS:000769571900005</t>
  </si>
  <si>
    <t>Chaudhary, Shagun; Chua, Lloyd H. C.; Kansal, Arun</t>
  </si>
  <si>
    <t>Modeling the washoff of pollutants from urban catchments is a difficult task. Although the exponential washoff model has been in use for decades, there is a general lack of data on model parameters and much less is known about how the model parameters are influenced by storm and climate characteristics. This study was done to understand how model parameters vary between different catchments having vastly different rainfall characteristics. Such a study will elucidate model response to rainfall, which in turn provides better knowledge on model function. High quality rainfall, runoff, and water quality data for a total of 117 storm events were sourced from the literature, which included 48 storm events from temperate (Bellevue, Washington, US; Dublin, Ireland) and 69 storm events from tropical (Skudai, Malaysia; Singapore; Pampano Beach, Florida, US) catchments, respectively. All the data were sourced from catchments with residential land use. This dataset was supplemented by additional measurements done in two residential catchments in Geelong (temperate) where a total of 16 storm events were monitored. Monte Carlo analysis was used to obtain the best-fit values of the washoff model parameters consisting the washoff coefficient, C-3, washoff exponent, C-4, and the initial mass on surface, B-in. It was found that the spread of these parameter values was greater for the dissolved pollutants ortho-phosphate (OP) and ammonium- nitrogen (NH4 - N) than for total suspended solids (TSS). There are strong suggestions that Bin represents the mass available on the surface at the start of a washoff event, as evidenced by observations that Bin is significantly higher for the tropical dataset, a reflection of the greater storm energy associated with tropical rainfall. The small variation in C-4 across all (temperate and tropical) sites is related to its dependence on local flow conditions, linked with the friction velocity and critical shear stress conditions. The parameters C-3 and B-in on the other hand, are correlated with rainfall, with C-3 having a larger uncertainty. Of all the rainfall characteristics investigated, the rainfall depth for the current event, d was found to be the single parameter that correlated well with B-in and C-3 for TSS. The strength of this dependence diminished for pollutants in mixed and dissolved forms. In temperate regions, Bin correlates strongly with both the average and maximum intensities whereas in tropical catchments, maximum intensity and depth were found to be significant. This correlation for the temperate catchments can be understood by the dependence of rainfall energy on intensity. Rainfall energy ceases to increase once intensity exceeds 3 in/hr (76.2 mm/hr), which is uncommon in temperate catchments, but is common in the tropics.</t>
  </si>
  <si>
    <t>[Chaudhary, Shagun; Chua, Lloyd H. C.] Deakin Univ, Fac Sci Engn &amp; Built Environm, Sch Engn, 75 Pigdons Rd, Waurn Ponds, Vic 3220, Australia; [Kansal, Arun] TERI Sch Adv Studies, Coca Cola Dept Reg Water Studies, Delhi 110070, India</t>
  </si>
  <si>
    <t>Deakin University; TERI University</t>
  </si>
  <si>
    <t>City of Greater Geelong; School of Engineering, Deakin University; Deakin University In-Country Higher Degree by Research Scholarship</t>
  </si>
  <si>
    <t>The authors thank Ming Fai Chow of Monash University Malaysia for providing the Skudai, Malaysia dataset; J.C. Ebbert, J. E. Poole, and K.L. Payne of the US Geological Survey (USGS) for providing the Nationwide Urban Runoff Program (NURP) Bellevue dataset; H.C. Mattraw and C.B. Sherwood of the US Environmental Protection Agency (UE EPA) for the Florida dataset; David Morgan of University College Dublin (UCD), Dublin, Ireland for providing the Dublin dataset; and PUB, Singapores national water agency, for providing the Kranji, Singapore dataset. Hongkui Zhang did the fieldwork and laboratory analyses for the Geelong stormwater data. Laboratory analyses for the Geelong stormwater samples were done at the School of Engineering, Deakin University was supervised by Leanne Farago. Funding for this research was supported by the City of Greater Geelong and the School of Engineering, Deakin University. The first author is funded for her Ph.D studies through a Deakin University In-Country Higher Degree by Research Scholarship. This work was done out in collaboration with TERI School of Advanced Studies (TERI SAS). The funding and support from the afore mentioned individuals and organizations are gratefully acknowledged. Lastly, the authors wish to thank the reviewers of our paper, who provided many insightful comments that have helped to improve the paper.</t>
  </si>
  <si>
    <t>10.1016/j.jhydrol.2021.126951</t>
  </si>
  <si>
    <t>WOS:000706318300029</t>
  </si>
  <si>
    <t>Salimun, Ester; Tangang, Fredolin; Juneng, Liew; Zwiers, Francis W.; Merryfield, William J.</t>
  </si>
  <si>
    <t>This study evaluates the forecast skill of the fourth version of the Canadian coupled ocean-atmosphere general circulation model (CanCM4) and its model output statistics (MOS) to forecast the seasonal rainfall in Malaysia, particularly during early (October-November-December) and late (January-February-March) winter monsoon periods. CanCM4 is the latest component of the Canadian Seasonal to Inter-annual Prediction System (CanSIPS), which is a multi-seasonal climate prediction system developed particularly for Canada but applicable globally. Generally, CanCM4's skill in reproducing the climatology during winter is not as good as in other seasons because of the model's inability to simulate the regional synoptic circulations over the western Maritime Continent. In particular, the model fails to forecast the cold surges and Borneo vortex circulations that play critical roles in moisture horizontal advection. Moreover, its forecast skill during the early winter monsoon period is poorer than during the late period. Interestingly, forecast skill is enhanced when MOS models are applied as the MOS utilizes the predictive signals in the quasi-global predictors from the CanCM4 forecast system. The predictability can be traced to the conventional El Nino-Southern Oscillation (ENSO) and ENSO Modoki signals that are present in the CanCM4 forecast MOS predictor fields. The quasi-global sea-surface temperature and quasi-global sea-level pressure fields are found to be the most useful predictors. Interestingly, CanCM4 forecast signals associated with the Indian Ocean Dipole also contribute to the skill. Skill enhancement is particularly significant for northern Borneo during early monsoon periods in medium-and long-lead forecasts when the CanCM4 has minimal direct skill in the region.</t>
  </si>
  <si>
    <t>[Salimun, Ester; Tangang, Fredolin; Juneng, Liew] Univ Kebangsaan Malaysia, Fac Sci &amp; Technol, Sch Environm &amp; Nat Resource Sci, Bangi 43600, Selangor, Malaysia; [Zwiers, Francis W.] Univ Victoria, Pacific Climate Impacts Consortium, Victoria, BC V8W 2Y2, Canada; [Merryfield, William J.] Univ Victoria, Environm Canada, Canadian Ctr Climate Modelling &amp; Anal, Victoria, BC V8W 2Y2, Canada</t>
  </si>
  <si>
    <t>Universiti Kebangsaan Malaysia; University of Victoria; Environment &amp; Climate Change Canada; Canadian Centre for Climate Modelling &amp; Analysis (CCCma); University of Victoria</t>
  </si>
  <si>
    <t>MOSTI(Ministry of Energy, Science, Technology, Environment and Climate Change (MESTECC), Malaysia); Malaysian Ministry of Higher Education; UKM Research Grants</t>
  </si>
  <si>
    <t>The authors would like to thank MOSTI for the NSF scholarship. We are also grateful to agencies such as MMD, CCCma and PCIC for providing various types of data and facilities to complete this research. The first author is also grateful to MOSTI for funding her research visit to PCIC for 3 months from July to September 2011 and to PCIC for facilitating the visit. The authors are grateful to anonymous reviewers for their valuable comments. This study is funded by the Malaysian Ministry of Higher Education (LRGS/TD/2011/UKM/PG/01), UKM Research Grants (ICONIC-2013-001) and AP-2013-005.</t>
  </si>
  <si>
    <t>10.1002/joc.4361</t>
  </si>
  <si>
    <t>WOS:000367734800031</t>
  </si>
  <si>
    <t>Singh, Yengkhom Raghumani; Singh, Kshetrimayum Atamajit; Devi, Naorem Reshma; Arnold, Thomas Elliott; Abbott, Mark Bunker</t>
  </si>
  <si>
    <t>The palynological assemblages, organic content, Rock-Eval analysis and stable isotope ratios of three outcrop sections were studied of the Miocene Surma Group in Indo-Myanmar Range to characterize the lithology, and assess kerogen types. The well-preserved palynological assemblages from the ATF, AAN and AAS sections indicate a tropical-subtropical climate with humid conditions. The 613C values of the organic matter in these sections ranges from-19.92 to-26.08 &amp; PTSTHOUSND;, indicative of C3 vegetation. Among these sections, our data indicates ATF has the driest and AAN wettest climate. Results from Rock-Eval analysis suggests that all the rock samples have poor organic richness (TOC &lt; 0.5 %) and poor hydrocarbon generation potential (S2 &lt; 0.5 mgHC/g). The organic matter of these samples is mixture of Type III and Type IV. The Tmax and Productive Index values support the results of visual kerogen analysis suggesting immature with mature and contaminant zones. The Surma sediments are poor source of gaseous hydrocarbons based on the results of this work.</t>
  </si>
  <si>
    <t>[Singh, Yengkhom Raghumani; Singh, Kshetrimayum Atamajit; Devi, Naorem Reshma] Manipur Univ, Dept Earth Sci, Imphal 795003, India; [Arnold, Thomas Elliott; Abbott, Mark Bunker] Univ Pittsburgh, Dept Geol &amp; Environm Sci, Pittsburgh, PA USA</t>
  </si>
  <si>
    <t>Manipur University; Pennsylvania Commonwealth System of Higher Education (PCSHE); University of Pittsburgh</t>
  </si>
  <si>
    <t>Science and Engineering Research Board (SERB), New Delhi; Oil India Limited, India</t>
  </si>
  <si>
    <t>The authors thank the Science and Engineering Research Board (SERB), New Delhi [EEQ/2016/000062] and Oil India Limited, India [6111262] for financial assistances in the form of research project. We also acknowledge the University of Pittsburgh's Climate and Global Change Center for stable isotope analyses, Venus Guruaribam, Sh. Priyokumar Singh (Research Scholars) and M. Sapana Devi, Nganthoi Chanu and W. Ajoykumar Singh of project staffs of Department of Earth Sciences, Manipur for their support during maceration and field work. We also thank Editor, Prof. Mei-Fu Zhou and Miss Diane Chung and anonymous reviewer for suggestions to improve the paper.</t>
  </si>
  <si>
    <t>2590-0560</t>
  </si>
  <si>
    <t>J ASIAN EARTH SCI-X</t>
  </si>
  <si>
    <t>J. Asian Earth Sci. X</t>
  </si>
  <si>
    <t>10.1016/j.jaesx.2021.100072</t>
  </si>
  <si>
    <t>WOS:001038185100005</t>
  </si>
  <si>
    <t>D'Ayala, Dina; Wang, Kai; Yan, Yuan; Smith, Helen; Massam, Ashleigh; Filipova, Valeriya; Pereira, Joy Jacqueline</t>
  </si>
  <si>
    <t>Flood hazard is increasing in frequency and magnitude in major South East Asian metropolitan areas due to fast urban development and changes in climate, threatening people's property and life. Typically, flood management actions are mostly focused on large-scale defences, such as river embankments or discharge channels or tunnels. However, these are difficult to implement in town centres without affecting the value of their heritage districts and might not provide sufficient mitigation. Therefore, urban heritage buildings may become vulnerable to flood events, even when they were originally designed and built with intrinsic resilient measures, based on the local knowledge of the natural environment and its threats at the time. Their aesthetic and cultural and economic values mean that they can represent a proportionally high contribution to losses in any event. Hence it is worth investigating more localized, tailored mitigation measures. Vulnerability assessment studies are essential to inform the feasibility and development of such strategies. In this study we propose a multilevel methodology to assess the flood vulnerability and risk of residential buildings in an area of Kuala Lumpur, Malaysia, characterized by traditional timber housing. The multiscale flood vulnerability model is based on a wide range of parameters, covering building-specific parameters, neighbourhood conditions and catchment area conditions. The obtained vulnerability index shows the ability to reflect different exposure by different building types and their relative locations. The vulnerability model is combined with high-resolution fluvial and pluvial flood maps providing scenario events with 0.1 % annual exceedance probability (AEP). A damage function of generic applicability is developed to compute the economic losses at individual building and sample levels. The study provides evidence that results obtained for a small district can be scaled up to the city level, to inform both generic and specific protection strategies.</t>
  </si>
  <si>
    <t>[D'Ayala, Dina; Wang, Kai; Yan, Yuan] UCL, Dept Civil Environm &amp; Geomat Engn, Epictr Res Grp, London, England; [Smith, Helen; Massam, Ashleigh; Filipova, Valeriya] JBA Risk Management, Skipton, England; [Pereira, Joy Jacqueline] Univ Kebangsaan Malaysia, Inst Environm &amp; Dev LESTARI, Southeast Asia Disaster Prevent Res Initiat SEADP, Kuala Lumpur, Malaysia</t>
  </si>
  <si>
    <t>University of London; University College London; Universiti Kebangsaan Malaysia</t>
  </si>
  <si>
    <t>Newton Ungku Omar Fund; Malaysian Industry-Government Group for High Technology (MIGHT); Newton Fund(UK Research &amp; Innovation (UKRI))</t>
  </si>
  <si>
    <t>This research has been supported with funding from the Newton Ungku Omar Fund administrated by Innovate UK and the Malaysian Industry-Government Group for High Technology (MIGHT) for the EPSRC project entitled Disaster Resilient Cities: Forecasting Local Level Climate Extremes and Physical Hazards for Kuala Lumpur (EP/P015506/1).</t>
  </si>
  <si>
    <t>AUG 13</t>
  </si>
  <si>
    <t>10.5194/nhess-20-2221-2020</t>
  </si>
  <si>
    <t>WOS:000562938000003</t>
  </si>
  <si>
    <t>Tournier, Nicolas; Fabbri, Stefano C.; Anselmetti, Flavio S.; Cahyarini, Sri Yudawati; Bijaksana, Satria; Wattrus, Nigel; Russell, James M.; Vogel, Hendrik</t>
  </si>
  <si>
    <t>Located at the triple junction of the Pacific, Eurasian and Sunda plates, the Island of Sulawesi in Indonesia is one of the most tectonically active places on Earth. This is highlighted by the recurrence of devastating earthquakes such as the 2018 Mw 7.5 earthquake that damaged the city of Palu and caused several thousand fatalities in central Sulawesi. The majority of large-magnitude earthquakes on Sulawesi are related to stress release along major strike-slip faults such as the Palu-Koro Fault and its southern extensions, the Matano and Lawanopo Faults. To date, information on the frequency and magnitude of past major events on these faults is limited to instrumental records and historical sources restricted to the last century, whereas information from natural archives is completely lacking. Lake-sediment records can fill this gap, but a detailed assessment of the various factors that influence the sensitivity of sediment successions to past earthquakes is required to evaluate their suitability. Lake Towuti, situated in Eastern Sulawesi, is known for its paleoclimate record and also promises to be a key site to generate a paleoseismology record for Sulawesi. The lake lies close to the highly active Matano and Lawanopo strike-slip faults and thereby is an ideal archive for past earthquakes that have occurred in the surrounding area. Here we combine high-resolution chirp seismic data with lithostratigraphic and petrophysical data of sediment piston cores to assess the recurrence of seismically generated mass-transport and turbidite deposits. Three major seismic-stratigraphic units are distinguished in the upper similar to 10 m of the sediment succession and linked to differences in the frequency of mass-wasting during the past 60 kyrs. The evidence of a more turbidite-prone period between 12 and 40 ka is roughly coincident with a dry phase and associated lake-level lowstand during the last glacial period at Lake Towuti. Hence, we suggest that climate strongly influences the sensitivity of slopes to fail during seismic shaking in this tropical setting as a consequence of lowstand-forced sediment redeposition from the shelves onto the slopes and into the basins. As climate significantly impacts the sensitivity of the lacustrine sediments to record earthquake-related mass wasting deposits, we suggest that the frequency of mass-transport deposits can additionally be employed as a quantitative indicator for past changes in hydroclimate in these tropical settings.(c) 2023 The Authors. Published by Elsevier Ltd. This is an open access article under the CC BY license (http://creativecommons.org/licenses/by/4.0/).</t>
  </si>
  <si>
    <t>[Tournier, Nicolas; Fabbri, Stefano C.; Anselmetti, Flavio S.; Vogel, Hendrik] Univ Bern, Inst Geol Sci, Baltzerstr 1 3, CH-3012 Bern, Switzerland; [Tournier, Nicolas; Fabbri, Stefano C.; Anselmetti, Flavio S.; Vogel, Hendrik] Univ Bern, Oeschger Ctr Climate Change Res, Baltzerstr 1 3, CH-3012 Bern, Switzerland; [Fabbri, Stefano C.] Univ Savoie Mont Blanc, CNRS, Edytem, 5 Bd Mer Caspienne, Le Bourget Du Lac, France; [Cahyarini, Sri Yudawati] Natl Res &amp; Innovat Agcy BRIN, Res Ctr Climate &amp; Atmosphere, Jakarta, Indonesia; [Bijaksana, Satria] Inst Teknol Bandung, Fac Min &amp; Petr Engn, Bandung 40132, Indonesia; [Wattrus, Nigel] Univ Minnesota, Large Lakes Observ, Duluth, MN 55812 USA; [Wattrus, Nigel] Univ Minnesota, Dept Earth &amp; Environm Sci, Duluth, MN 55812 USA; [Russell, James M.] Brown Univ, Dept Earth Environm &amp; Planetary Sci, Box 1846, Providence, RI 02912 USA</t>
  </si>
  <si>
    <t>University of Bern; University of Bern; Centre National de la Recherche Scientifique (CNRS); Universite Savoie Mont Blanc; National Research &amp; Innovation Agency of Indonesia (BRIN); Institute Technology of Bandung; University of Minnesota System; University of Minnesota Duluth; University of Minnesota System; University of Minnesota Duluth; Brown University</t>
  </si>
  <si>
    <t>German Research Foundation (DFG)(German Research Foundation (DFG)); Swiss National Science Foundation, Switzerland (SNSF)(Swiss National Science Foundation (SNSF)); U.S. National Science Foundation (NSF)(National Science Foundation (NSF)); Ministry of Research, Education, and Higher Technology of Indonesia (RISTEK)(Ministry of Research and Technology of the Republic of Indonesia (RISTEK))</t>
  </si>
  <si>
    <t>This research was carried out with support from the German Research Foundation (DFG) and the Swiss National Science Foundation, Switzerland (SNSF) through grants awarded to H. Vogel (DFG: VO 1591/2-1; SNSF: 200020_188876 &amp; 200021_153053) as well as through the U.S. National Science Foundation (NSF) through grants awarded to J.M. Russell. Foreign research permits for field work at Lake Towuti were kindly granted by the Ministry of Research, Education, and Higher Technology of Indonesia (RISTEK) permit number 02/TKPIPA/FRP/SM/II/2010. Logistical support was kindly provided by PT Vale Indonesia. We would like to acknowledge reviewers Katleen Wils and Maarten Van Daele who provided many helpful comments and suggestions which greatly helped to improve the manuscript.</t>
  </si>
  <si>
    <t>10.1016/j.quascirev.2023.108015</t>
  </si>
  <si>
    <t>WOS:000961626100001</t>
  </si>
  <si>
    <t>Nguyen Van Khanh Triet; Nguyen Viet Dung; Merz, Bruno; Apel, Heiko</t>
  </si>
  <si>
    <t>Flooding is an imminent natural hazard threatening most river deltas, e.g. the Mekong Delta. An appropriate flood management is thus required for a sustainable development of the often densely populated regions. Recently, the traditional event-based hazard control shifted towards a risk management approach in many regions, driven by intensive research leading to new legal regulation on flood management. However, a large-scale flood risk assessment does not exist for the Mekong Delta. Particularly, flood risk to paddy rice cultivation, the most important economic activity in the delta, has not been performed yet. Therefore, the present study was developed to provide the very first insight into delta-scale flood damages and risks to rice cultivation. The flood hazard was quantified by probabilistic flood hazard maps of the whole delta using a bivariate extreme value statistics, synthetic flood hydrographs, and a large-scale hydraulic model. The flood risk to paddy rice was then quantified considering cropping calendars, rice phenology, and harvest times based on a time series of enhanced vegetation index (EVI) derived from MODIS satellite data, and a published rice flood damage function. The proposed concept provided flood risk maps to paddy rice for the Mekong Delta in terms of expected annual damage. The presented concept can be used as a blueprint for regions facing similar problems due to its generic approach. Furthermore, the changes in flood risk to paddy rice caused by changes in land use currently under discussion in the Mekong Delta were estimated. Two land-use scenarios either intensifying or reducing rice cropping were considered, and the changes in risk were presented in spatially explicit flood risk maps. The basic risk maps could serve as guidance for the authorities to develop spatially explicit flood management and mitigation plans for the delta. The land-use change risk maps could further be used for adaptive risk management plans and as a basis for a cost-benefit of the discussed land-use change scenarios. Additionally, the damage and risks maps may support the recently initiated agricultural insurance programme in Vietnam.</t>
  </si>
  <si>
    <t>[Nguyen Van Khanh Triet; Nguyen Viet Dung; Merz, Bruno; Apel, Heiko] GFZ German Res Ctr Geosci, Sect 5-4 Hydrol, D-14473 Potsdam, Germany; [Nguyen Van Khanh Triet] SIWRR Southern Inst Water Resources Res, Ho Chi Minh City, Vietnam; [Merz, Bruno] Univ Potsdam, Inst Earth &amp; Environm Sci, D-14476 Potsdam, Germany</t>
  </si>
  <si>
    <t>Helmholtz Association; Helmholtz-Center Potsdam GFZ German Research Center for Geosciences; University of Potsdam</t>
  </si>
  <si>
    <t>German Academic Exchange Service (DAAD)(Deutscher Akademischer Austausch Dienst (DAAD)); German Federal Ministry of Education and Research (BMBF)(Federal Ministry of Education &amp; Research (BMBF))</t>
  </si>
  <si>
    <t>The work leading to this publication was supported by the German Academic Exchange Service (DAAD) with funds from the German Federal Ministry of Education and Research (BMBF). We acknowledge Akihiko Kotera at Vietnam Japan University for providing processed EVI data. The authors want to specially thank Pham The Vinh and various colleagues at SIWRR for their support in providing the DEM and survey data. We would like to thank Jorge Ramirez and the two anonymous referees who reviewed the manuscript for their comments and suggestions that helped to improve the paper.</t>
  </si>
  <si>
    <t>NOV 5</t>
  </si>
  <si>
    <t>10.5194/nhess-18-2859-2018</t>
  </si>
  <si>
    <t>WOS:000449344000001</t>
  </si>
  <si>
    <t>Thai To Duy; Herrmann, Marine; Estournel, Claude; Marsaleix, Patrick; Duhaut, Thomas; Long Bui Hong; Ngoc Trinh Bich</t>
  </si>
  <si>
    <t>The South Vietnam Upwelling (SVU) develops in the South China Sea (SCS) under the influence of southwest monsoon winds. To study the role of small spatiotemporal scales on the SVU functioning and variability, a simulation was performed over 2009-2018 with a high-resolution configuration (1 km at the coast) of the SYMPHONIE model implemented over the western region of the SCS. Its capability to represent ocean dynamics and water masses from daily to interannual scales and from coastal to regional areas is quantitatively demonstrated by comparison with available satellite data and four in situ datasets. The SVU interannual variability is examined for the three development areas already known: the southern (SCU) and northern (NCU) coastal upwelling areas and the offshore upwelling area (OFU). Our high-resolution model, together with in situ observations and high-resolution satellite data, moreover shows for the first time that upwelling develops over the Sunda Shelf off the Mekong Delta (MKU). Our results confirm for the SCU and OFU and show for the MKU the role of the mean summer intensity of wind and cyclonic circulation over the offshore area in driving the interannual variability of the upwelling intensity. They further reveal that other factors contribute to SCU and OFU variability. First, the intraseasonal wind chronology strengthens (in the case of regular wind peaks occurring throughout the summer for SCU or of stronger winds in July-August for OFU) or weakens (in the case of intermittent wind peaks for SCU) the summer average upwelling intensity. Second, the mesoscale circulation influences this intensity (multiple dipole eddies and associated eastward jets developing along the coast enhance the SCU intensity). The NCU interannual variability is less driven by the regional-scale wind (with weaker monsoon favoring stronger NCU) and more by the mesoscale circulation in the NCU area: the NCU is prevented (favored) when alongshore (offshore) currents prevail.</t>
  </si>
  <si>
    <t>[Thai To Duy; Herrmann, Marine; Estournel, Claude; Marsaleix, Patrick; Duhaut, Thomas] Univ Toulouse, LEGOS, IRD, UMR5566,CNES,CNRS, F-31400 Toulouse, France; [Thai To Duy; Herrmann, Marine; Ngoc Trinh Bich] Vietnam Acad Sci &amp; Technol VAST, Univ Sci &amp; Technol Hanoi USTH, LOTUS Lab, 18 Hoang Quoc Viet, Hanoi, Vietnam; [Thai To Duy; Long Bui Hong] Vietnam Acad Sci &amp; Technol VAST, Inst Oceanog IO, Nha Trang, Vietnam</t>
  </si>
  <si>
    <t>Centre National de la Recherche Scientifique (CNRS); CNRS - National Institute for Earth Sciences &amp; Astronomy (INSU); Universite de Toulouse; Universite Toulouse III - Paul Sabatier; Institut de Recherche pour le Developpement (IRD); Laboratoire d'Etudes en Geophysique et oceanographie spatiales; Vietnam Academy of Science &amp; Technology (VAST); University of Science &amp; Technology of Hanoi (USTH); Vietnam Academy of Science &amp; Technology (VAST)</t>
  </si>
  <si>
    <t>Office of 15 Naval Research (ONR)(United States Department of DefenseUnited States NavyOffice of Naval Research)</t>
  </si>
  <si>
    <t>Glider data were collected by the Vietnam Center for Oceanography (CFO, VASI) in the framework of the USAVietnam collaboration project: Gulf of Tonkin Circulation study (grant no. NICOP N62909-15-1-2018), financed by the Office of 15 Naval Research (ONR).</t>
  </si>
  <si>
    <t>10.5194/os-18-1131-2022</t>
  </si>
  <si>
    <t>WOS:000834266600001</t>
  </si>
  <si>
    <t>Fan, Yuanchao; Meijide, Ana; Lawrence, David M.; Roupsard, Olivier; Carlson, Kimberly M.; Chen, Hsin-Yi; Roell, Alexander; Niu, Furong; Knohl, Alexander</t>
  </si>
  <si>
    <t>By mediating evapotranspiration processes, plant canopies play an important role in the terrestrial water cycle and regional climate. Substantial uncertainties exist in modeling canopy water interception and related hydrological processes due to rainfall forcing frequency selection and varying canopy traits. Here we design a new time interpolation method zero to better represent convective-type precipitation in tropical regions. We also implement and recalibrate plant functional type-specific interception parameters for rainforests and oil palm plantations, where oil palms express higher water interception capacity than forests, using the Community Land Model (CLM) versions 4.5 and 5.0 with CLM-Palm embedded. Reconciling the interception scheme with realistic precipitation forcing produces more accurate canopy evaporation and transpiration for both plant functional types, which in turn improves simulated evapotranspiration and energy partitioning when benchmarked against observations from our study sites in Indonesia and an extensive literature review. Regional simulations for Sumatra and Kalimantan show that industrial oil palm plantations have 18-27% higher transpiration and 15-20% higher evapotranspiration than forests on an annual regional average basis across different ages or successional stages, even though the forests experience higher average precipitation according to reanalysis data. Our land-only modeling results indicate that current oil palm plantations in Sumatra and Kalimantan use 15-20% more water (mean 220 mm or 20 Gt) per year compared to lowland rainforests of the same extent. The extra water use by oil palm reduces soil moisture and runoff that could affect ecosystem services such as productivity of staple crops and availability of drinking water in rural areas.</t>
  </si>
  <si>
    <t>[Fan, Yuanchao; Meijide, Ana; Knohl, Alexander] Univ Gottingen, Bioclimatol, Gottingen, Germany; [Fan, Yuanchao] NORCE Norwegian Res Ctr, Bjerknes Ctr Climate Res, Bergen, Norway; [Meijide, Ana] Univ Gottingen, Div Agron, Dept Crop Sci, Gottingen, Germany; [Lawrence, David M.] Natl Ctr Atmospher Res, POB 3000, Boulder, CO 80307 USA; [Roupsard, Olivier] LMI IESOL, UMR Eco&amp;Sols, CIRAD, Dakar, Senegal; [Roupsard, Olivier] Univ Montpellier, Eco&amp;Sols, CIRAD, INRA,IRD,Montpellier SupAgro, Montpellier, France; [Carlson, Kimberly M.; Chen, Hsin-Yi] Univ Hawaii Manoa, Dept Nat Resources &amp; Environm Management, Honolulu, HI 96822 USA; [Roell, Alexander; Niu, Furong] Univ Gottingen, Trop Silviculture &amp; Forest Ecol, Gottingen, Germany; [Niu, Furong] Univ Arizona, Sch Nat Resources &amp; Environm, Tucson, AZ USA; [Knohl, Alexander] Univ Gottingen, Ctr Biodivers &amp; Sustainable Land Use CBL, Gottingen, Germany</t>
  </si>
  <si>
    <t>University of Gottingen; Norwegian Research Centre (NORCE); Bjerknes Centre for Climate Research; University of Gottingen; National Center Atmospheric Research (NCAR) - USA; CIRAD; CIRAD; INRAE; Institut de Recherche pour le Developpement (IRD); Institut Agro; Montpellier SupAgro; Universite de Montpellier; University of Hawaii System; University of Hawaii Manoa; University of Gottingen; University of Arizona; University of Gottingen</t>
  </si>
  <si>
    <t>European Commission Erasmus Mundus FONASO Doctorate fellowship; German Research Foundation (DFG)(German Research Foundation (DFG)); European Union(European Union (EU)); US Department of Agriculture National Institute of Food and Agriculture Hatch Project; National Science Foundation(National Science Foundation (NSF))</t>
  </si>
  <si>
    <t>This study was funded by the European Commission Erasmus Mundus FONASO Doctorate fellowship as well as the Collaborative Research Centre 990 (Ecological and Socioeconomic Functions of Tropical Lowland Rainforest Transformation Systems [Sumatra, Indonesia]) and the Baririflux project (KN 582/8-1) funded by the German Research Foundation (DFG). Y. Fan was also supported by the European Union Horizon 2020 Project CRESCENDO funded by program SC5-01-2014: Advanced Earth-System Models under grant agreement 641816. K. Carlson and H. Chen were supported by the US Department of Agriculture National Institute of Food and Agriculture Hatch Project HAW01136-H managed by the College of Tropical Agriculture and Human Resources and the National Socio-Environmental Synthesis Center (SESYNC) under funding received from the National Science Foundation DBI-1052875. We are grateful to the PTPN-VI plantation in Jambi for providing data on oil palm, to Dirk Holscher for granting access to sap flux data of lowland rainforest sites in Sumatra, and to Alexander Oltchev and Florian Heimsch for providing meteorology and flux data of a rainforest site in Sulawesi. The authors are thankful to two anonymous reviewers for their constructive comments. All site-level observation data used for the manuscript are deposited in the EFForTS-Information System (https://efforts-is.uni-goettingen.de/). The model code and simulation results are archived on the GWDG server (gwdu05.gwdg.de). Both field and model data are available upon request. Most land surface raw data (except oil palm cover) and CRUNCEP and GSWP3 forcing data for the regional simulations are provided by NCAR, Boulder, CO, USA.</t>
  </si>
  <si>
    <t>1942-2466</t>
  </si>
  <si>
    <t>J ADV MODEL EARTH SY</t>
  </si>
  <si>
    <t>J. Adv. Model. Earth Syst.</t>
  </si>
  <si>
    <t>10.1029/2018MS001490</t>
  </si>
  <si>
    <t>WOS:000465080300009</t>
  </si>
  <si>
    <t>Ogino, Shin-Ya; Yamanaka, Manabu D.; Mori, Shuichi; Matsumoto, Jun</t>
  </si>
  <si>
    <t>We present a conceptual advance of the global water cycle in which the precipitation concentrated in tropical coastlines plays the role of an atmospheric dehydrator between the ocean and land. Landward water vapor transport peaks as it enters the coastal region (a few hundred kilometers offshore), and about half of the water vapor is consumed as precipitation over the coastal region before reaching the inland. Our results also revealed that the significant amount of net freshwater is supplied from the atmosphere to the coastal ocean, which is comparable to that of the land water discharge. This fact further provides a new insight on the ocean salinity distribution and its associated dynamics. We discuss a possible link between the tropical land distribution and the Earth's climate through the water circulation.</t>
  </si>
  <si>
    <t>[Ogino, Shin-Ya; Yamanaka, Manabu D.; Mori, Shuichi; Matsumoto, Jun] Japan Agcy Marine Earth Sci &amp; Technol, Yokosuka, Kanagawa, Japan; [Matsumoto, Jun] Tokyo Metropolitan Univ, Dept Geog, Hachioji, Tokyo, Japan</t>
  </si>
  <si>
    <t>Japan Agency for Marine-Earth Science &amp; Technology (JAMSTEC); Tokyo Metropolitan University</t>
  </si>
  <si>
    <t>NOV 28</t>
  </si>
  <si>
    <t>10.1002/2017GL075760</t>
  </si>
  <si>
    <t>WOS:000419102300047</t>
  </si>
  <si>
    <t>Fitrinitia, Irene Sondang; Matsuyuki, Mihoko</t>
  </si>
  <si>
    <t>Limited access to capital influences how the poor define coping strategies, while dealing with disaster impacts. A synergizing intervention needs to consider improving the adaptation process, as well as protecting the poor from slipping deeper into poverty. The intervention of social protection programs, such as Program Keluarga Harapan (PKH), could help poor households arrange coping strategies in dealing with natural disasters. PKH is a conditional cash program for poor households, and includes traditional labor in the coastal city of Pekalongan, Indonesia. This research attempted to explore the relationship between PKH and coping strategies, when dealing with natural disasters through livelihood capital. The first objective of this research was to confirm whether PKH can influence coping strategies. The second was to discover how PKH can improve ex-ante and ex-post strategies, including the key factors for improvement. Using confirmatory factor analysis and structural equation modeling, we found a connection between the PKH intervention and coping strategies. The effect of PKH intervention on coping strategies was based on a two-time scheme: before the flood (ex-ante) and after the flood (ex-post). The two models revealed that PKH encourages ex-ante and ex-post coping strategies for floods through livelihood capital. PKH has the potential to play an additional role in disaster risk reduction for low-income households and finding social/financial capital, thereby encouraging ex-ante and ex-post strategies. Another finding was that incorporating PKH into disaster risk reduction and linking it to human and physical capital will improve its efficiency. This research provides the initial and basic arguments on integrating the poverty reduction and disaster risk reduction approaches, and strategizing an inclusive and efficient way of developing the livelihood resilience of poor people.</t>
  </si>
  <si>
    <t>[Fitrinitia, Irene Sondang] Yokohama Natl Univ, Grad Sch Urban Innovat, Hodogaya Ku, 79-5 Tokiwadai, Yokohama, Kanagawa 2408501, Japan; [Matsuyuki, Mihoko] Yokohama Natl Univ, Inst Urban Innovat, Hodogaya Ku, 79-5 Tokiwadai, Yokohama, Kanagawa 2408501, Japan</t>
  </si>
  <si>
    <t>Yokohama National University; Yokohama National University</t>
  </si>
  <si>
    <t>10.1016/j.ijdrr.2022.103239</t>
  </si>
  <si>
    <t>WOS:000877545700004</t>
  </si>
  <si>
    <t>Vidal, Celine M.; Komorowski, Jean-Christophe; Metrich, Nicole; Pratomo, Indyo; Kartadinata, Nugraha; Prambada, Oktory; Michel, Agnes; Carazzo, Guillaume; Lavigne, Franck; Rodysill, Jessica; Fontijn, Karen; Surono</t>
  </si>
  <si>
    <t>The 1257 A.D. caldera-forming eruption of Samalas (Lombok, Indonesia) was recently associated with the largest sulphate spike of the last 2 ky recorded in polar ice cores. It is suspected to have impacted climate both locally and at a global scale. Extensive fieldwork coupled with sedimentological, geochemical and physical analyses of eruptive products enabled us to provide new constraints on the stratigraphy and eruptive dynamics. This four-phase continuous eruption produced a total of 33-40 km(3) dense rock equivalent (DRE) of deposits, consisting of (i) 7-9 km(3) DRE of pumiceous plinian fall products, (ii) 16 km(3) DRE of pyroclastic density current deposits (PDC) and (iii) 8-9 km(3) DRE of co-PDC ash that settled over the surrounding islands and was identified as far as 660 km from the source on the flanks of Merapi volcano (Central Java). Widespread accretionary lapilli-rich deposits provide evidence of the occurrence of a violent phreatomagmatic phase during the eruption. With a peak mass eruption rate of 4.6x10(8)kg/s, a maximum plume height of 43 km and a dispersal index of 110,500 km(2), the 1257 A.D. eruption stands as the most powerful eruption of the last millennium. Eruption dynamics are consistent with an efficient dispersal of sulphur-rich aerosols across the globe. Remarkable reproducibility of trace element analysis on a few milligrammes of pumiceous tephra provides unequivocal evidence for the geochemical correlation of 1257 A.D. proximal reference products with distal tephra identified on surrounding islands. Hence, we identify and characterise a new prominent inter-regional chronostratigraphic tephra marker.</t>
  </si>
  <si>
    <t>[Vidal, Celine M.; Komorowski, Jean-Christophe; Metrich, Nicole; Michel, Agnes; Carazzo, Guillaume] Univ Paris Diderot, Inst Phys Globe, Sorbonne Paris Cite, CNRS,UMR 7154, 1 Rue Jussieu, F-75238 Paris, France; [Pratomo, Indyo] Badan Geol, Museum Geol, Bandung 40122, Indonesia; [Kartadinata, Nugraha; Prambada, Oktory] Badan Geol, Ctr Volcanol &amp; Geol Hazards Mitigat, Bandung 40122, Indonesia; [Carazzo, Guillaume] Inst Phys Globe, Observ Volcanol &amp; Sismol Martinique, Fonds Saint Denis 97250, Martinique, France; [Lavigne, Franck] Univ Paris 01, Lab Geog Phys, UMR 8591, F-92195 Meudon, France; [Rodysill, Jessica] Brown Univ, Dept Geol Sci, Providence, RI 02912 USA; [Fontijn, Karen] Univ Oxford, Dept Earth Sci, Oxford OX1 3AN, England; [Fontijn, Karen] Univ Ghent, Dept Geol &amp; Soil Sci, B-9000 Ghent, Belgium; [Surono] Badan Geol, Bandung 40122, Indonesia</t>
  </si>
  <si>
    <t>Universite Paris Cite; Centre National de la Recherche Scientifique (CNRS); CNRS - National Institute for Earth Sciences &amp; Astronomy (INSU); Universite Paris Cite; Centre National de la Recherche Scientifique (CNRS); CNRS - Institute of Ecology &amp; Environment (INEE); Universite Paris-Est-Creteil-Val-de-Marne (UPEC); Brown University; University of Oxford; Ghent University</t>
  </si>
  <si>
    <t>NERC grant(UK Research &amp; Innovation (UKRI)Natural Environment Research Council (NERC)); Institut National des Sciences de l'Univers-Centre National de la Recherche Scientifique programme, CT3-ALEA; project ECRin; project INSU-CNRS Artemis; Natural Environment Research Council(UK Research &amp; Innovation (UKRI)Natural Environment Research Council (NERC)); NERC(UK Research &amp; Innovation (UKRI)Natural Environment Research Council (NERC))</t>
  </si>
  <si>
    <t>We are grateful to RISTEK for allowing us to undertake this research and the Nusa Tengara Barat Governor's Office for administrative support. We thank Dr Hendrasto (PVMBG/CVGHM) for his steadfast support and our Indonesian colleagues for field and administrative assistance. We are very grateful to J.-P. Toutain and Etny at IRD for valuable assistance and the institutional support. We are most indebted to Sofie and her staff at PVMBG for their help with administrative procedures and to Didik for the skilful dedicated driving. We also thank F. Le Cornec for her assistance for ICP-MS measurements, S. Hidalgo for pumice density measurements, M. Abrams (NASA) for providing ASTER satellite data and Arlyn (Rinjani Observatory, PVMBG) and H. Rachmat for samples of Barujari lavas. We thank Y. Wahyudi (PVMBG) and participants of the Rinjani excursion (CoV 8) for sharing their ideas. We are grateful for discussions and field insights on Merapi stratigraphy with S. Andreastuti, R. Gertisser and S. Charbonnier, and on marine cores with W. Kuhnt. 14C dates were obtained by C. Moreau and J.-P. Dumoulin (LMC14, CNRS UMS2572). We are grateful to S. Self (editor) and T. Druitt and R. Gertisser (reviewers) for their insightful and constructive comments that helped us to improve our manuscript. K. Fontijn is supported by NERC grant NE/I013210/1. This work is a part of C. Vidal's PhD thesis (Institut de Physique du Globe de Paris). It has been partly funded by the Institut National des Sciences de l'Univers-Centre National de la Recherche Scientifique programme CT3-ALEA, projects ECRin 2013 and 2014, and INSU-CNRS Artemis 2014 for 14C dating. This is IPGP contribution 3550.</t>
  </si>
  <si>
    <t>10.1007/s00445-015-0960-9</t>
  </si>
  <si>
    <t>WOS:000359429800003</t>
  </si>
  <si>
    <t>Suroso, Djoko Santoso Abi; Firman, Tommy</t>
  </si>
  <si>
    <t>Spatial planning is expected to facilitate climate change adaptation by directing future spatial and infrastructure developments away from zones that are exposed to climate-related hazards. This study attempts to confirm this understanding by mapping the effects of the various spatial plans on the northern coast of Java, Indonesia. First, the study maps the extent of coastal hazards for the baseline year of 2010 using a GIS-based inundation model. An overlay in GIS demonstrates the influence of spatial plans for the projection year of 2030. This allows for calculating the economic losses of the planned developments. The case study shows that the current provincial spatial plans direct land use conversions along the northern coast of Java to continue to occur in the future. This could significantly decrease the regional capacity in dealing with the exposure to coastal inundation. The analysis also demonstrates that a total area of 55,220 ha of land prone to inundation, consisting of protected area (1488 ha), fishponds (32,916 ha) and agricultural land (20,814 ha), is planned to be converted into industry (13,399 ha) and settlements (41,821 ha). Thus, these areas will be also prone to inundation in 2030. This change would potentially lead to an economic loss of 246.6 billion USD. The spatial plans issued by the national and provincial governments for regulating the future land use on the northern coast of Java have not integrated measures against hazards related to global sea level rise. Meanwhile, many existing developments have already been affected by coastal inundation. Rather than reducing the exposure towards coastal flood hazards, the case study shows that spatial plans could even increase the risk of climate-related hazards and cause higher economic losses. These findings provide a different perspective on the role of spatial planning for climate change adaptation than what is stated in the literature.</t>
  </si>
  <si>
    <t>[Suroso, Djoko Santoso Abi; Firman, Tommy] Bandung Inst Technol, Sch Architecture Planning &amp; Policy Dev, Bandung, Indonesia</t>
  </si>
  <si>
    <t>Institute Technology of Bandung</t>
  </si>
  <si>
    <t>Ministry of Agrarian and Spatial Planning (MASP); Japan International Cooperation Agency (JICA); MASP; JICA</t>
  </si>
  <si>
    <t>The authors would like to thank the Ministry of Agrarian and Spatial Planning (MASP) and the Japan International Cooperation Agency (JICA) for supporting the study on integrating climate change adaptation into spatial planning policies. Part of the data used for this paper, such as DEM data, existing land use maps, provincial spatial plans, and rate of sea level rise, as well as fieldwork, was made possible through the support of MASP and JICA. The authors also would like to thank Mr. Rizky Ramadhan and Ms. Retno Kumala Wardani who assisted with the research for this paper in 2017.</t>
  </si>
  <si>
    <t>10.1016/j.ocecoaman.2017.12.007</t>
  </si>
  <si>
    <t>WOS:000424073400009</t>
  </si>
  <si>
    <t>Yang, Kai; Cai, Wenju; Huang, Gang; Wang, Guojian; Ng, Benjamin; Li, Shujun</t>
  </si>
  <si>
    <t>A positive Indian Ocean Dipole (pIOD) refers to a sea surface temperature anomaly pattern with cold anomalies in the equatorial eastern Indian Ocean and warm anomalies in the west, leading to floods in the eastern African countries and droughts and bushfires in Indonesia and Australia. The pIOD displays strong inter-event differences, ranging from an extreme event dominated by westward-extended strong cold anomalies along the equator, to a moderate event with weakened cooling confined to region off Sumatra-Java. Representation of the extreme pIOD varies vastly across ocean temperature products. Here we show that products generated in a system explicitly involving subsurface oceanic processes capture the nonlinear dynamics of the extreme pIOD, i.e., the equatorial nonlinear zonal and vertical advection, and systematically produce a more realistic extreme pIOD. Thus, our study identifies ocean temperature products that are more suitable for studying extreme pIOD and its climatic impacts. Plain Language Summary A positive Indian Ocean Dipole (pIOD), with warm and cold sea surface temperature anomalies in the western and eastern equatorial Indian Ocean, respectively, exerts a pronounced impact on the climate extremes, including floods in the eastern African countries and droughts and bushfires in Indonesia and Australia. However, pIOD events vary vastly in amplitude and spatial pattern from one event to another, ranging from extreme events dominated by westward-extended strong cold anomalies along the equator, to moderate events with weakened cooling confined to region off Sumatra-Java. Any product must realistically represent the inter-event difference, because impacts of the extreme and moderate events are rather different. Here we find that ocean temperature products that explicitly involve oceanic processes, in particular, the equatorial oceanic nonlinear zonal and vertical advection, in their construction produce marked pIOD inter-event differences, particularly a greater amplitude of extreme pIODs, than in products that do not. Thus, ocean temperature products that involve oceanic processes are more advantageous for use in pIOD research.</t>
  </si>
  <si>
    <t>[Yang, Kai; Huang, Gang] Chinese Acad Sci, Inst Atmospher Phys, State Key Lab Numer Modeling Atmospher Sci &amp; Geop, Beijing, Peoples R China; [Yang, Kai] Nanjing Univ Informat Sci &amp; Technol, Minist Educ, Key Lab Meteorol Disaster, Nanjing, Peoples R China; [Yang, Kai] Nanjing Univ Informat Sci &amp; Technol, Collaborat Innovat Ctr Forecast &amp; Evaluat Meteoro, Nanjing, Peoples R China; [Yang, Kai; Cai, Wenju; Wang, Guojian; Ng, Benjamin; Li, Shujun] CSIRO Oceans &amp; Atmosphere, Ctr Southern Hemisphere Oceans Res CSHOR, Hobart, Tas, Australia; [Cai, Wenju; Wang, Guojian; Li, Shujun] Ocean Univ China, Key Lab Phys Oceanog, Inst Adv Ocean Studies, Qingdao, Peoples R China; [Cai, Wenju; Wang, Guojian; Li, Shujun] Qingdao Natl Lab Marine Sci &amp; Technol, Qingdao, Peoples R China</t>
  </si>
  <si>
    <t>Chinese Academy of Sciences; Institute of Atmospheric Physics, CAS; Nanjing University of Information Science &amp; Technology; Nanjing University of Information Science &amp; Technology; Commonwealth Scientific &amp; Industrial Research Organisation (CSIRO); CSIRO Oceans &amp; Atmosphere; Centre for Southern Hemisphere Oceans Research; Ocean University of China; Laoshan Laboratory</t>
  </si>
  <si>
    <t>Strategic Priority Research Program of Chinese Academy of Sciences(Chinese Academy of Sciences); CSHOR; Earth System and Climate Change Hub of the Australian Government's National Environment Science Program; National Natural Science Foundation of China(National Natural Science Foundation of China (NSFC)); China Postdoctoral Science Foundation(China Postdoctoral Science Foundation); Open Research Fund Program of Key Laboratory of Meteorological Disaster of Ministry of Education (Nanjing University of Information Science and Technology) grant; China Scholarship Council(China Scholarship Council)</t>
  </si>
  <si>
    <t>This work is supported by the Strategic Priority Research Program of Chinese Academy of Sciences, grant XDB40000000. W.C., G.W., and B.N. are supported by CSHOR and the Earth System and Climate Change Hub of the Australian Government's National Environment Science Program. CSHOR is a joint research Center for Southern Hemisphere Oceans Research between QNLM and CSIRO. G.H. is supported by the National Natural Science Foundation of China (91937302, 41831175), the Strategic Priority Research Program of Chinese Academy of Sciences (XDA20060501). K.Y. is supported by China Postdoctoral Science Foundation (2018M640168), Open Research Fund Program of Key Laboratory of Meteorological Disaster of Ministry of Education (Nanjing University of Information Science and Technology) grant KLME201806, and a scholarship from China Scholarship Council.</t>
  </si>
  <si>
    <t>AUG 28</t>
  </si>
  <si>
    <t>10.1029/2020GL089396</t>
  </si>
  <si>
    <t>WOS:000566245300026</t>
  </si>
  <si>
    <t>Marshall, Nathan; Zeeden, Christian; Hilgen, Frederik; Krijgsman, Wout</t>
  </si>
  <si>
    <t>The factors controlling sedimentary cyclicity in deltaic systems are a subject of intense debate, and more research, in different deltaic environments and time periods, is needed to better understand the possible mechanisms. Offshore and Pleistocene case studies are more common than proximal and more ancient, greenhouse-climate examples. Furthermore, many studies lack a (statistical) cyclostratigraphic element. The paleo-Mahakam delta of Eastern Kalimantan, Borneo developed during the globally warm middle Miocene, in an equatorial setting, making it of interest to comprehend cyclic sedimentation in a period of warmer yet rapidly changing climate. In this study, statistical analysis of lithological changes shows that regular sandstone/shale alternations occur in a distinct pattern of cycles with thicknesses of similar to 90, similar to 30, and similar to 17 m. Using independent dating, these thicknesses translate into periods of about 100, 40, and 20 kyr, matching the known periods of Earth's orbital eccentricity, obliquity and precession. The obliquity dominance in the middle interval is markedly similar to that observed in the global marine isotope (benthic delta O-18) and other cyclic proxy records for this time interval. Despite a mismatch in the number of 40 kyr cycles compared to the global record that can be plausibly linked to the major sea level drop at similar to 13.8 Ma and facies shifts, it appears that the proximal setting of the paleo-Mahakam's sedimentation was dominantly controlled by allogenic orbital forcing, probably as a consequence of glacioeustasy. In particular, the observed obliquity dominance at paleo-equatorial latitudes, as seen in other records, highlights the dominance of orbital forcing, and potentially glacioeustatic sea level change, during this crucial period of warmer climate. (C) 2017 Elsevier B.V. All rights reserved.</t>
  </si>
  <si>
    <t>[Marshall, Nathan; Zeeden, Christian; Hilgen, Frederik; Krijgsman, Wout] Univ Utrecht, Dept Earth Sci, Budapestlaan 17, NL-3584 CD Utrecht, Netherlands; [Zeeden, Christian] IMCCE, Observ Paris, F-75014 Paris, France</t>
  </si>
  <si>
    <t>Utrecht University; Universite PSL; Observatoire de Paris; Sorbonne Universite</t>
  </si>
  <si>
    <t>Marie Curie Actions Plan, Seven Framework Programme</t>
  </si>
  <si>
    <t>We would like to thank the Marie Curie Actions Plan, Seven Framework Programme (Grant no. 237922) for the funding that made this project possible; and the Indonesian geological survey for their assistance with logistics and fieldwork. A special thanks to the late Irfan Cibaj for his vital guidance in the field and sedi-mentological discussion.</t>
  </si>
  <si>
    <t>0012-821X</t>
  </si>
  <si>
    <t>1385-013X</t>
  </si>
  <si>
    <t>EARTH PLANET SC LETT</t>
  </si>
  <si>
    <t>Earth Planet. Sci. Lett.</t>
  </si>
  <si>
    <t>10.1016/j.epsl.2017.04.015</t>
  </si>
  <si>
    <t>WOS:000405153600021</t>
  </si>
  <si>
    <t>Xu, Qi; Guan, Zhaoyong; Jin, Dachao; Hu, Dingzhu</t>
  </si>
  <si>
    <t>Using the NCEP-NCAR reanalysis and Global Precipitation Climatology Project monthly rainfall, we have investigated the regional features of interannual variations of rainfall in the Maritime Continent (MC) and their related anomalous atmospheric circulation patterns during boreal summer by employing the rotated empirical orthogonal function (REOF) analysis. Our results demonstrate that the rainfall variabilities in the MC are of very striking regional characteristics. The MC is divided into four independent subregions on the basis of the leading REOF modes; these subregions are located in central-eastern Indonesia (subregion I), the oceanic area to the west of Indonesia (subregion II+V), the part of the warm pool in the equatorial western Pacific Ocean (subregion III), and Guam (subregion IV+VI).The anomalous precipitation in different subregions exhibits different variation periodicities, which are associated with different circulation patterns as a result of atmospheric response to different sea surface temperature anomaly (SSTA) patterns in the tropical Indo-Pacific sector. It is found that rainfall anomalies in subregion I are induced by the Pacific ENSO, whereas those in subregion II+V are dominated by a triple SSTA pattern with positive correlations in the MC and negative correlation centers in the tropical Pacific and tropical Indian Ocean. Rainfall anomalies in subregion III mainly resulted from an SSTA pattern with negative correlations in the eastern MC and positive correlations in the western equatorial Pacific east of the MC. A horseshoe SSTA pattern in the central Pacific is found to affect the precipitation anomalies in subregion IV+VI. All of the results of this study are helpful for us to better understand both the climate variations in the MC and monsoon variations in East Asia.</t>
  </si>
  <si>
    <t>[Xu, Qi; Guan, Zhaoyong; Jin, Dachao; Hu, Dingzhu] Nanjing Univ Informat Sci &amp; Technol, Collaborat Innovat Ctr Forecast &amp; Evaluat Meteoro, Joint Int Res Lab Climate &amp; Environm Change, Key Lab Meteorol Disaster,Minist Educ, Nanjing, Jiangsu, Peoples R China; [Xu, Qi] Jiangsu Climate Ctr, Nanjing, Jiangsu, Peoples R China</t>
  </si>
  <si>
    <t>Natural Science Foundation of China(National Natural Science Foundation of China (NSFC)); PAPD project of Jiangsu Province</t>
  </si>
  <si>
    <t>This work is jointly supported by the project of Natural Science Foundation of China (41330425), and the PAPD project of Jiangsu Province. Data services are provided by Nanjing Atmospheric Information Center of Department of Earth Science (Nanjing University of Information Science and Technology); NCEP-NCAR reanalyses are downloaded from the NOAA Earth System Research Laboratory (http://www.esrl.noaa.gov/). Figures are plotted using the Grads and NCL software packages.</t>
  </si>
  <si>
    <t>10.1175/JCLI-D-18-0480.1</t>
  </si>
  <si>
    <t>WOS:000472082600004</t>
  </si>
  <si>
    <t>This study focused on the analysis of land-use/land-cover changes and their impact on flood runoff, flood hazards and inundation, focusing in the Pampanga River basin of the Philippines. The land-cover maps for the years 1996 and 2016 were generated using Landsat images, and the land cover changes were analyzed using TerrSet Geospatial Monitoring and Modeling System (TGMMS). Based on an empirical approach and considering variable factors, the land-cover maps for the future were predicted using Land Change Modeler (LCM). After preparation of land-cover maps for past and future years, flood characteristics were analyzed using a distributed hydrological model named the rainfall runoff inundation (RRI) model with a land-cover map for different years. The impacts of land cover changes on flood runoff, flood volume and flood inundation were analyzed for 50- and 100-year floods. The results show that flood runoff, flood inundation volume and flood extent areas may increase in the future due to land-cover change in the basin.</t>
  </si>
  <si>
    <t>[Shrestha, Badri Bhakta] Univ Tokyo, Dept Civil Engn, Tokyo 1138654, Japan</t>
  </si>
  <si>
    <t>10.3390/quat2030027</t>
  </si>
  <si>
    <t>WOS:000487949900009</t>
  </si>
  <si>
    <t>Tan, Jackson; Huffman, George J.; Bolvin, David T.; Nelkin, Eric J.</t>
  </si>
  <si>
    <t>This study demonstrates the maturing ability of the half-hourly precipitation estimates from the Integrated Multi-satellitE Retrievals for GPM (IMERG) for use in global analyses of the diurnal cycle. The refined intercalibration and interpolation between the sensors in V06 leads to greater consistency in the precipitation retrievals over different hours of the day. Evaluation against ground measurements suggests a slight lag in the diurnal phase of only +0.59 hr. We demonstrate the diurnal cycle over different regions around the globe, including the Maritime Continent, where accurate representation of precipitation variability in global models remains a challenge. Using examples over Singapore, Bangladesh, and Lake Victoria, we reveal the intricate interplay between diurnal and seasonal variability. This study demonstrates the unprecedented capability of IMERG in capturing the diurnal cycle of precipitation globally, potentially advancing our understanding in regions of sparse ground measurements and supporting improvements in its representation in global models.</t>
  </si>
  <si>
    <t>[Tan, Jackson] Univ Space Res Assoc, Columbia, MD 21046 USA; [Tan, Jackson; Huffman, George J.; Bolvin, David T.; Nelkin, Eric J.] NASA, Goddard Space Flight Ctr, Greenbelt, MD 20771 USA; [Bolvin, David T.; Nelkin, Eric J.] Sci Syst &amp; Applicat Inc, Lanham, MD USA</t>
  </si>
  <si>
    <t>Universities Space Research Association (USRA); National Aeronautics &amp; Space Administration (NASA); NASA Goddard Space Flight Center; Science Systems &amp; Applications Inc</t>
  </si>
  <si>
    <t>NASA(National Aeronautics &amp; Space Administration (NASA))</t>
  </si>
  <si>
    <t>The authors thank two anonymous reviewers and the Editor Kaicun Wang for their detailed comments that improved this study. The authors also benefited from discussions with Wim Theiry and Elise Monsieurs. IMERG was provided by the NASA Goddard Space Flight Center's IMERG and PPS teams, which develop and compute IMERG as a contribution to the GPM mission, and archived at the NASA GES DISC (https://disc.gsfc.nasa.gov/datasets/GPM_3IMERGHH_V06/summary) and online (at https://pmm.nasa.gov/data-access/download/gpm).All authors are supported by the NASA Precipitation Measurement Missions funding (NNH18ZDA001N-PMMST). Codes used to perform the analysis in this study can be obtained online (at https://github.com/JacksonTanBS/2019_GRL_IMERGdiurnal).</t>
  </si>
  <si>
    <t>10.1029/2019GL085395</t>
  </si>
  <si>
    <t>WOS:000499042700001</t>
  </si>
  <si>
    <t>Liu, Zhiyu; Lian, Qiang; Zhang, Fangtao; Wang, Lei; Li, Mingming; Bai, Xiaolin; Wang, Jianing; Wang, Fan</t>
  </si>
  <si>
    <t>Despite its potential importance in the global climate system, mixing properties of the North Pacific low-latitude western boundary current system (LLWBC) remained unsampled until very recently. We report here on the first measurements of turbulence microstructure associated with these currents, made in the western boundary region of the tropical North Pacific east of the Philippines. The results suggest that thermocline mixing in the North Pacific LLWBC is generally weak with the diapycnal diffusivity kappa(rho) similar to O(10(-6))m(2) s(-1). This is consistent with predictions from internal wave-wave interaction theory that mixing due to internal wave breaking is significantly reduced at low latitudes. Enhanced mixing is found to be associated with a permanent cyclonic eddy, the Mindanao Eddy, but mainly at its south and north flanks. There, kappa(rho) is elevated by an order of magnitude due to eddy-induced geostrophic shear. Mixing in the eddy core is at the background level with no indication of enhancement.</t>
  </si>
  <si>
    <t>[Liu, Zhiyu; Lian, Qiang; Zhang, Fangtao; Wang, Lei; Bai, Xiaolin] Xiamen Univ, State Key Lab Marine Environm Sci, Coll Ocean &amp; Earth Sci, Xiamen, Peoples R China; [Liu, Zhiyu; Lian, Qiang; Zhang, Fangtao; Wang, Lei; Bai, Xiaolin] Xiamen Univ, Dept Phys Oceanog, Coll Ocean &amp; Earth Sci, Xiamen, Peoples R China; [Lian, Qiang] Oregon State Univ, Coll Earth Ocean &amp; Atmospher Sci, Corvallis, OR 97331 USA; [Li, Mingming] Guangdong Ocean Univ, Coll Oceanog &amp; Meteorol, Zhanjiang, Peoples R China; [Wang, Jianing; Wang, Fan] Chinese Acad Sci, Inst Oceanol, Key Lab Ocean Circulat &amp; Waves, Qingdao, Peoples R China</t>
  </si>
  <si>
    <t>Xiamen University; Xiamen University; Oregon State University; Guangdong Ocean University; Chinese Academy of Sciences; Institute of Oceanology, CAS</t>
  </si>
  <si>
    <t>National Basic Research Program of China(National Basic Research Program of China); National Natural Science Foundation of China(National Natural Science Foundation of China (NSFC)); Natural Science Foundation of Fujian Province of China(Natural Science Foundation of Fujian Province); Strategic Priority Research Program of the Chinese Academy of Sciences(Chinese Academy of Sciences)</t>
  </si>
  <si>
    <t>This work was jointly supported by the National Basic Research Program of China (2012CB417402), the National Natural Science Foundation of China (41476006 and 41622601), the Natural Science Foundation of Fujian Province of China (2015J06010), and the Strategic Priority Research Program of the Chinese Academy of Sciences (XDA11010204). We thank the crew of the R/V Kexue for their assistance in data collection and two anonymous reviewers for their valuable comments and recommendations that help improve clarity of the paper. Bill Smyth is thanked for proof reading and helpful comments. Data analyzed in this paper are available for download at http://jmp.sh/DJ5vucz.</t>
  </si>
  <si>
    <t>10.1002/2017GL075210</t>
  </si>
  <si>
    <t>WOS:000416761600053</t>
  </si>
  <si>
    <t>Huang Jiao-wen; He Jin-hai; Xu Hai-ming; Jin Qi-hua</t>
  </si>
  <si>
    <t>The NCEP/NCAR reanalysis, CMAP rainfall and Hadley Centre sea surface temperature (SST) datasets are used to investigate the relationship between the seasonal transition of East Asian monsoon and Asian-Pacific thermal contrast, together with the possible causes. Based on the 250 hPa air temperature over two selected key areas, the Asian-Pacific thermal difference (APTD) index is calculated. Results show that the APTD index is highly consistent with the Asian-Pacific Oscillation (APO) index defined by Zhao et al., in terms of different key areas in different seasons. Moreover, the time point of the seasonal transition of the Asian-Pacific thermal contrast can be well determined by the APTD index, indicative of seasonal variation in East Asian atmospheric circulation from winter to summer. The transition characteristic of the circulation can be summarized as follows. The continental cold high at lower tropospheric level moves eastward to the East China Sea and decreases rapidly in intensity, while the low-level northerlies turn to southerlies. At middle tropospheric level, the East Asia major trough is reduced and moves eastward. Furthermore, the subtropical high strengthens and appears near Philippines. The South Asia high shifts from the east of Philippines to the west of Indochina Peninsula, and the prevailing southerlies change into northerlies in upper troposphere. Meanwhile, both the westerly and easterly jets both jump to the north. The seasonal transition of atmospheric circulation is closely related to the thermal contrast, and the possible mechanism can be concluded as follows. Under the background of the APTD seasonal transition, the southerly wind appears firstly at lower troposphere, which triggers the ascending motion via changing vertical shear of meridional winds. The resultant latent heating accelerates the transition of heating pattern from winter to summer. The summer heating pattern can further promote the adjustment of circulation, which favors the formation and strengthening of the low-level southerly and upper-level northerly winds. As a result, the meridional circulation of the East Asian subtropical monsoon is established through a positive feedback between the circulation and thermal fields. Moreover, the time point of this seasonal transition has a significant positive correlation with the SST anomalies over the tropical central-eastern Pacific Ocean, providing a basis for the short-term climate prediction.</t>
  </si>
  <si>
    <t>[Huang Jiao-wen; He Jin-hai; Xu Hai-ming] Nanjing Univ Informat Sci &amp; Technol, Collaborat Innovat Ctr Forecast &amp; Evaluat Meteoro, Minist Educ, Key Lab Meteorol Disaster, Nanjing 210044, Jiangsu, Peoples R China; [Huang Jiao-wen; He Jin-hai; Xu Hai-ming] Nanjing Univ Informat Sci &amp; Technol, Coll Atmospher Sci, Nanjing 210044, Jiangsu, Peoples R China; [Jin Qi-hua] Chinese Acad Meteorol Sci, Beijing 100081, Peoples R China</t>
  </si>
  <si>
    <t>Nanjing University of Information Science &amp; Technology; Nanjing University of Information Science &amp; Technology; China Meteorological Administration; Chinese Academy of Meteorological Sciences (CAMS)</t>
  </si>
  <si>
    <t>National Basic Research and Development (973) Program of China(National Basic Research Program of China); Natural Science Foundation of China(National Natural Science Foundation of China (NSFC)); China Special Fund for Meteorological Research in the Public Interest; 333 Project of Jiangsu Province(Natural Science Foundation of Jiangsu Province); Priority Academic Program Development (PAPD) of Jiangsu Higher Education Institutions; Program for Changjiang Scholars and Innovative Research Team in University (PCSIRT)(Program for Changjiang Scholars &amp; Innovative Research Team in University (PCSIRT)); Qinglan Project of Jiangsu Province for Cultivating Research Teams</t>
  </si>
  <si>
    <t>National Basic Research and Development (973) Program of China (2013CB430202); Natural Science Foundation of China (41490643, 41575077, 41375089); China Special Fund for Meteorological Research in the Public Interest (GYHY201406018); 333 Project of Jiangsu Province (BRA2015290); Priority Academic Program Development (PAPD) of Jiangsu Higher Education Institutions; Program for Changjiang Scholars and Innovative Research Team in University (PCSIRT); Qinglan Project of Jiangsu Province for Cultivating Research Teams</t>
  </si>
  <si>
    <t>JOURNAL OF TROPICAL METEOROLOGICAL PRESS</t>
  </si>
  <si>
    <t>GUANGZHOU</t>
  </si>
  <si>
    <t>6 FU JIN RD, GUANGZHOU, 510080, PEOPLES R CHINA</t>
  </si>
  <si>
    <t>1006-8775</t>
  </si>
  <si>
    <t>J TROP METEOROL</t>
  </si>
  <si>
    <t>J. Trop. Meteorol.</t>
  </si>
  <si>
    <t>10.16555/j.1006-8775.2016.04.003</t>
  </si>
  <si>
    <t>WOS:000391740100003</t>
  </si>
  <si>
    <t>Zhang, Ling; Fraedrich, Klaus; Zhu, Xiuhua; Sielmann, Frank; Zhi, Xiefei</t>
  </si>
  <si>
    <t>The observed winter (DJF) precipitation in Southeast China (1961-2010) is characterized by a monopole pattern of the 3-monthly Standardized Precipitation Index (SPI-3) whose interannual variability is related to the anomalies of East Asian Winter Monsoon (EAWM) systems. Dynamic composites and linear regression analysis indicate that the intensity of EAWM and Siberia High (SH), the position of East Asian Trough (EAT), and El Nio events and sea surface temperature (SST) anomalies over South China Sea (SCS) influence different regions of anomalous Southeast China winter precipitation on interannual scales. The circulation indices (EAWM index, SH index, and EAT index) mainly affect the winter precipitation in the eastern part of Southeast China. El Nio events affect the South China winter precipitation due to the anticyclone anomalies over Philippines. The effect of SCS SST anomalies on the winter precipitation is mainly in the southern part of Yangtze River. Thus, a set of circulation regimes, represented by a handful indices, provide the basis for modeling precipitation anomalies or extremes in future climate projections.</t>
  </si>
  <si>
    <t>[Zhang, Ling; Fraedrich, Klaus; Zhi, Xiefei] Collaborat Innovat Ctr Forecast &amp; Evaluat Meteoro, Nanjing, Jiangsu, Peoples R China; [Zhang, Ling; Fraedrich, Klaus; Zhi, Xiefei] Nanjing Univ Informat Sci &amp; Technol, KLME, Nanjing, Jiangsu, Peoples R China; [Zhang, Ling; Fraedrich, Klaus] Max Planck Inst Meteorol, D-20146 Hamburg, Germany; [Zhu, Xiuhua] Univ Hamburg, Hamburg, Germany; [Sielmann, Frank] Univ Hamburg, Inst Meteorol, Hamburg, Germany</t>
  </si>
  <si>
    <t>Nanjing University of Information Science &amp; Technology; Max Planck Society; University of Hamburg; University of Hamburg</t>
  </si>
  <si>
    <t>National Basic Research Program 973 of China(National Basic Research Program of China); Key Laboratory of Meteorology Disaster of Ministry of Education; Max Planck of Meteorology Institute (MPI); Priority Academic Program Development of Jiangsu Higher Education Institutions (PAPD)</t>
  </si>
  <si>
    <t>This study acknowledges the support of the National Basic Research Program 973 of China (2012CB955200), Key Laboratory of Meteorology Disaster of Ministry of Education (KLME1102), Max Planck of Meteorology Institute (MPI) fellowship, and Priority Academic Program Development of Jiangsu Higher Education Institutions (PAPD).</t>
  </si>
  <si>
    <t>10.1007/s00704-014-1111-5</t>
  </si>
  <si>
    <t>WOS:000347409100019</t>
  </si>
  <si>
    <t>Sangeeta, Angom; Kingson, Oinam; Yadav, Bhupendra S.; Pandey, N.; Meitei, Ngangom Romario</t>
  </si>
  <si>
    <t>Sedimentation of the Paleogene and Neogene belts in the Indo-Burma Range (IBR) involved a complex tectonic system letting provenance of both the belts poorly constrained. We made an attempt to investigate provenance, tectonic setting, paleoclimate, and depositional environment of the Renji Formation (Paleogene belt) and the Bhuban Formation (Neogene belt) in the Barak basin of western Manipur employing whole-rock geochemistry and petrography. A semi-arid climatic condition has been indicated for the weathering and liberation of sediments in the source terrain. Derivation of first cycle sediments from mafic and felsic rocks with minor contribution from the metamorphic rocks is suggested but the former seems to have dominated the Renji Formation. A shift in the provenance vis-a-vis differential chemical weathering of the mafic-felsic rocks at the source is attributed. Research results also suggest supply from deformed and elevated craton, presumably the Indian craton, during the Himalayan orogeny. Sedimentation of the Renji Formation took place in a sub-oxic deltaic environment in contrast to the Bhuban Formation which developed in an oxic shallow marine mixed tidal flat environment.</t>
  </si>
  <si>
    <t>[Sangeeta, Angom; Pandey, N.] Assam Univ, Dept Earth Sci, Silchar 788011, India; [Kingson, Oinam; Meitei, Ngangom Romario] Banaras Hindu Univ, Inst Sci, Dept Geol, Varanasi 221005, India; [Yadav, Bhupendra S.] Pondicherry Univ, Dept Earth Sci, Pondicherry 605014, India</t>
  </si>
  <si>
    <t>Assam University; Banaras Hindu University (BHU); Pondicherry University</t>
  </si>
  <si>
    <t>DST, New Delhi(Department of Science &amp; Technology (India)); Department of Earth Science, Assam University, Silchar, Gauhati University; Banaras Hindu University</t>
  </si>
  <si>
    <t>AS acknowledges the DST, New Delhi, for funding the research program through Inspire Fellowship No. IF140996. AS thanks the Department of Earth Science, Assam University, Silchar, Gauhati University for providing laboratory facilities and other necessary support for the research. AS also thanks Prof. Rajneesh Bhutani and Prof. S. Balakrishnan for letting BSY use their lab at the Department of Earth Sciences, Pondicherry University, for whole-rock trace elements analysis. The authors are thankful to the editor Jian-Wei Li, associate editor Thomas J.H. Dodd, and two reviewers (Max Webb and one anonymous reviewer) for their suggestions and comments, which significantly improve the quality of the manuscript. AS and OK also thank Iftikhar Ahmad for his suggestions to improve the manuscript during the revision. This work is also supported by IoE seed grant (Dev. Scheme No 6031) provided by Banaras Hindu University to OK.</t>
  </si>
  <si>
    <t>10.1016/j.jaesx.2023.100161</t>
  </si>
  <si>
    <t>WOS:001060313400001</t>
  </si>
  <si>
    <t>Qiu, Bo; Rudnick, Daniel L.; Cerovecki, Ivana; Cornuelle, Bruce D.; Chen, Shuiming; Schoenau, Martha C.; McClean, Julie L.; Gopalakrishnan, Ganesh</t>
  </si>
  <si>
    <t>Located at the crossroads of the tropical and subtropical circulations, the westward-flowing North Equatorial Current (NEC) and its subsequent bifurcation off the Philippine coast near 13 degrees N serve as important pathways for heat and water mass exchanges between the mid- and low-latitude North Pacific Ocean. Because the western Pacific warm pool, with sea surface temperatures &gt; 28 degrees C, extends poleward of 17 degrees N in the western North Pacific, the bifurcation and transport partitioning of the NEC into the Kuroshio and Mindanao Currents are likely to affect the temporal evolution of the warm pool through lateral advection. In addition to its influence on physical conditions, NEC variability is also important to the regional biological properties and the fisheries along the Philippine coast and in the western Pacific Ocean. This article synthesizes our current understandings of the NEC, especially those garnered through the recent Origins of the Kuroshio and Mindanao Current (OKMC) project.</t>
  </si>
  <si>
    <t>[Qiu, Bo; Chen, Shuiming] Univ Hawaii Manoa, Dept Oceanog, Honolulu, HI 96822 USA; [Rudnick, Daniel L.; Cerovecki, Ivana; Cornuelle, Bruce D.; Schoenau, Martha C.; McClean, Julie L.; Gopalakrishnan, Ganesh] Univ Calif San Diego, Scripps Inst Oceanog, La Jolla, CA 92093 USA</t>
  </si>
  <si>
    <t>University of Hawaii System; University of Hawaii Manoa; University of California System; University of California San Diego; Scripps Institution of Oceanography</t>
  </si>
  <si>
    <t>Office of Naval Research project Origins of the Kuroshio and Mindanao Currents (OKMC)(United States Department of DefenseUnited States NavyOffice of Naval Research); US Department of Energy Office of Science via Los Alamos National Laboratory; National Science Foundation(National Science Foundation (NSF))</t>
  </si>
  <si>
    <t>This study was supported by the Office of Naval Research project Origins of the Kuroshio and Mindanao Currents (OKMC): N00014-10-1-0267 (BQ and SC), N00014-10-1-0273 (DLR, JLM, BDC, MCS, IC and GG), and N00013-11-1-0429 (DLR and MCS). JLM and IC were also supported by a US Department of Energy Office of Science grant entitled Ultra-High Resolution Global Climate Simulation via a Los Alamos National Laboratory subcontract. Computational resources for the POP model simulation were provided by National Science Foundation resource grant TG110013. The POP output is available at the National Institute for Computational Sciences. Argo data were collected and made freely available by the International Argo Program and the national programs that contribute to it (http://www.argo.ucsd.edu, http://argo.jcommops.org). The Argo Program is part of the Global Ocean Observing System.</t>
  </si>
  <si>
    <t>10.5670/oceanog.2015.78</t>
  </si>
  <si>
    <t>WOS:000368447000005</t>
  </si>
  <si>
    <t>Rodolfo, Kelvin S.; Lagmay, A. Mahar F.; Eco, Rodrigo C.; Herrero, Tatum Miko L.; Mendoza, Jerico E.; Minimo, Likha G.; Santiago, Joy T.</t>
  </si>
  <si>
    <t>Category 5 Super Typhoon Bopha, the world's worst storm of 2012, formed abnormally close to the Equator, and its landfall on Mindanao set the record proximity to the Equator for its category. Its torrential rains generated an enormous debris flow in the Mayo River watershed that swept away much of the village Andap in the New Bataan municipality, burying areas under rubble as thick as 9m and killing 566 people. Established in 1968, New Bataan had never experienced super typhoons and debris flows. This unfamiliarity compounded the death and damage. We describe Bopha's history, debris flows and the Mayo River disaster, and then we discuss how population growth contributed to the catastrophe, as well as the possibility that climate change may render other near-Equatorial areas vulnerable to hazards brought on by similar typhoons. Finally, we recommend measures to minimize the loss of life and damage to property from similar future events.</t>
  </si>
  <si>
    <t>[Rodolfo, Kelvin S.] Univ Illinois, Dept Earth &amp; Environm Sci, Chicago, IL 60607 USA; [Lagmay, A. Mahar F.; Mendoza, Jerico E.; Santiago, Joy T.] Nationwide Operat Assessment Hazards, Dept Sci &amp; Technol, Quezon City, Philippines; [Lagmay, A. Mahar F.; Eco, Rodrigo C.; Herrero, Tatum Miko L.; Minimo, Likha G.] Univ Philippines, Natl Inst Geol Sci, Volcano Tecton Lab, Diliman, Philippines; [Herrero, Tatum Miko L.] GEOMAR Helmholtz Ctr Ocean Res, Magmat &amp; Hydrothermal Syst, Kiel, Germany</t>
  </si>
  <si>
    <t>University of Illinois System; University of Illinois Chicago; University of Illinois Chicago Hospital; Department of Science &amp; Technology (DOST), Philippines; University of the Philippines System; University of the Philippines Diliman; Helmholtz Association; GEOMAR Helmholtz Center for Ocean Research Kiel</t>
  </si>
  <si>
    <t>Philippine Department of Science and Technology (DOST); Volcano Tectonics laboratory of the National Institute of Geological Sciences at the University of the Philippines (U.P.)</t>
  </si>
  <si>
    <t>This work was funded by the Philippine Department of Science and Technology (DOST) and the Volcano Tectonics laboratory of the National Institute of Geological Sciences at the University of the Philippines (U.P.). Lidar data covering the New Bataan area were provided by the U.P. Training Center for Applied Geodesy and Photogrammetry. DOST's Balik (Returning) Scientist Program funded Kelvin S. Rodolfo's travel. We thank Eric Colmenares for helping coordinate our field work and Jen Alconis, Yowee Gonzales, Jasmine Sabado and Yani Serrado for their help in the field. We thank DOST's Advanced Science and Technology Institute and the Philippine Atmospheric, Geophysical and Astronomical Services Administration for rainfall data, Congresswoman M. C. Zamora for logistical support and Thomas Pierson for information about debris-flow mechanics.</t>
  </si>
  <si>
    <t>10.5194/nhess-16-2683-2016</t>
  </si>
  <si>
    <t>WOS:000391283600001</t>
  </si>
  <si>
    <t>Hempattarasuwan, Nuttiga; Christakos, George; Wu, Jiaping</t>
  </si>
  <si>
    <t>Pressure on the Wiang Nong Lom and Nong Luang wetland resources in the Chiang Saen Valley of Chiang Rai Province (Thailand) has increased in recent years with the expansion of farmlands and other major sources of wetland conflict related to public land encroachment. Both of these wetlands have been designated as strategic ecosystems. Yet, there is a limited understanding of the way different wetlands respond to change drivers (agriculture, climate, population, etc.), and currently no scientifically valid protocols exist for local wetland mapping and monitoring. Distinguishing between small wetlands and land use and land cover (LULC) components is a challenging affair due to the highly heterogeneous landscape and spectral similarity of compositionally different types of tropical regions. The goals of this article are both technological and substantive, i.e., it aims to (A) propose a synthesis of quantitative techniques that can improve LULC mapping using remotely sensed data (Landsat TM, ETM, OLI), and (B) assess the wetland changes during the last three decades and better understand the interaction between wetland changes, human population, and the environment. In regards to goal (A), the proposed classification approach employed a synthesis of techniques of decision tree classification (DTC), maximum likelihood classification (MLC), and Mahalanobis distance classification (MDC), with different bands and ancillary data inputs. The results demonstrated that the implementation of the DTC algorithms to address LULC mapping problems exhibited an overall mapping accuracy of 83.9, which is significantly higher than that of MLC and MDC. It was found that the DTC technique performs well when combined with visible, near-infrared (NIR), and shortwave-infrared bands, a digital elevation model and normalized difference vegetation index layers. Subsequently, the postclassification analysis using DTC showed a notable improvement of approximately 88.0 classification accuracy. Regarding goal (B), our results showed that during the last 30 years, wetland areas in the Chiang Saen Valley have experienced a dramatic decrease of 30.5, whereas forest landscape surrounding the wetlands has decreased by an astonishing 50.9. Contrarily, we found that agricultural land size has increased by 24.3. We suggest that ground data can be linked to the etiology of these results, including the gradual conversion of wetlands to rice cultivation fields as a result of the government rice pledging scheme. Large areas in the study region have been cultivated by para-rubber, palm oil, and pineapple agribusiness production since 2003. In addition, short-term subsidizing government policies promote intensive production for commercial agriculture prompting farmers to transition from subsistence to commercial farming, further impacting wetland conversion. As a result, and in further view of the fact that rapidly expanding agricultural areas have contributed significantly to the decrease of wetland areas during the last three decades, the Chiang Saen Valley wetlands have been designated as wetlands of international importance. The overall recommendation of the present work is that special land-use policy and relevant regulation andor legislation are critical components of any effort to achieve wetland sustainability.</t>
  </si>
  <si>
    <t>[Hempattarasuwan, Nuttiga; Christakos, George; Wu, Jiaping] Zhejiang Univ, Inst Coastal &amp; Isl Ecosyst, Zhoushan 316021, Peoples R China; [Christakos, George] San Diego State Univ, Dept Geog, San Diego, CA 92182 USA</t>
  </si>
  <si>
    <t>Zhejiang University; California State University System; San Diego State University</t>
  </si>
  <si>
    <t>APN-Asia-Pacific Network for Global Change Research; National Natural Science Foundation of China(National Natural Science Foundation of China (NSFC)); Department Science and Technology, Zhejiang</t>
  </si>
  <si>
    <t>This work was supported in part by APN-Asia-Pacific Network for Global Change Research under Grant ARCP2015-06CMY-Wu, in part by the National Natural Science Foundation of China under Grant 41671399, and in part by the Department Science and Technology, Zhejiang, under Grant 2016C04004.</t>
  </si>
  <si>
    <t>10.1109/JSTARS.2019.2937949</t>
  </si>
  <si>
    <t>WOS:000508437700006</t>
  </si>
  <si>
    <t>Xiang, Baoqiang; Lin, Shian-Jiann; Zhao, Ming; Zhang, Shaoqing; Vecchi, Gabriel; Li, Tim; Jiang, Xianan; Harris, Lucas; Chen, Jan-Huey</t>
  </si>
  <si>
    <t>While tropical cyclone (TC) prediction, in particular TC genesis, remains very challenging, accurate prediction of TCs is critical for timely preparedness and mitigation. Using a new version of the Geophysical Fluid Dynamics Laboratory (GFDL) coupled model, the authors studied the predictability of two destructive landfall TCs: Hurricane Sandy in 2012 and Super Typhoon Haiyan in 2013. Results demonstrate that the geneses of these two TCs are highly predictable with the maximum prediction lead time reaching 11 days. The beyond weather time scale predictability of tropical cyclogenesis is primarily attributed to the model's skillful prediction of the intraseasonal Madden-Julian oscillation (MJO) and the westward propagation of easterly waves. Meanwhile, the landfall location and time can be predicted one week ahead for Sandy's U. S landfall, and two weeks ahead for Haiyan's landing in the Philippines. The success in predicting Sandy and Haiyan, together with low false alarms, indicates the potential of using the GFDL coupled model for extended-range predictions of TCs.</t>
  </si>
  <si>
    <t>[Xiang, Baoqiang; Lin, Shian-Jiann; Zhao, Ming; Zhang, Shaoqing; Vecchi, Gabriel; Harris, Lucas; Chen, Jan-Huey] NOAA, Geophys Fluid Dynam Lab, Princeton, NJ USA; [Xiang, Baoqiang; Zhao, Ming; Chen, Jan-Huey] Univ Corp Atmospher Res, Boulder, CO USA; [Li, Tim] Univ Hawaii Manoa, Dept Meteorol, Int Pacific Res Ctr, Honolulu, HI 96822 USA; [Jiang, Xianan] Univ Calif Los Angeles, Joint Inst Reg Earth Syst Sci &amp; Engn, Los Angeles, CA USA</t>
  </si>
  <si>
    <t>National Oceanic Atmospheric Admin (NOAA) - USA; National Center Atmospheric Research (NCAR) - USA; University of Hawaii System; University of Hawaii Manoa; University of California System; University of California Los Angeles</t>
  </si>
  <si>
    <t>NOAA(National Oceanic Atmospheric Admin (NOAA) - USA); NOAA MAPP Program(National Oceanic Atmospheric Admin (NOAA) - USA); ONR(United States Department of DefenseUnited States NavyOffice of Naval Research)</t>
  </si>
  <si>
    <t>The authors appreciate helpful comments from Howard Diamond and they benefitted from the discussions with Frederic Vitart, Zhuo Wang, Xiaosong Yang, and Hiroyuki Murakami. The authors acknowledge support from NOAA under Grant NA14OAR4830101 (BX, SJL, GV, and JHC) and NOAA MAPP Program under Awards NA12OAR4310075 (BX, MZ, XJ). TL was supported by ONR Grant N00014-12-10450.</t>
  </si>
  <si>
    <t>10.1175/MWR-D-14-00227.1</t>
  </si>
  <si>
    <t>WOS:000349422400008</t>
  </si>
  <si>
    <t>Zhao, Jiuwei; Zhan, Ruifen; Murakami, Hiroyuki; Wang, Yuqing; Xie, Shang-Ping; Zhang, Leying; Guo, Yipeng</t>
  </si>
  <si>
    <t>The El Nino-Southern Oscillation (ENSO) is crucial to the interannual variability of tropical cyclone (TC) genesis over the western North Pacific (WNP). However, most state-of-the-art climate models exhibit a consistent pattern of uncertainty in the simulated TC genesis frequency (TCGF) over the WNP in ENSO phases. Here, we analyze large ensemble simulations of TC-resolved climate models to identify the source of this uncertainty. Results show that large uncertainty appears in the South China Sea and east of the Philippines, primarily arising from two distinct atmospheric modes: the Matsuno-Gill-mode (MG-mode) and the Pacific-Japan-like pattern (PJ-mode). These two modes are closely associated with anomalous diabatic heating linked to tropical precipitation bias in model simulations. By conditionally constraining either of the modes, we can significantly reduce model uncertainty in simulating the dipole structure of the TCGF anomalies, confirming that it is the atmospheric circulation bias in response to tropical precipitation bias that causes uncertainty in the simulated WNP TCGF.</t>
  </si>
  <si>
    <t>[Zhao, Jiuwei] Nanjing Univ Informat Sci &amp; Technol NUIST, Inst Climate &amp; Applicat Res ICAR, Collaborat Innovat Ctr Forecast &amp; Evaluat Meteorol, Nanjing, Peoples R China; [Zhan, Ruifen] Fudan Univ, Inst Atmospher Sci, Dept Atmospher &amp; Ocean Sci, Shanghai, Peoples R China; [Murakami, Hiroyuki] Princeton Univ, Geophys Fluid Dynam Lab, Princeton, NJ USA; [Wang, Yuqing] Univ Hawaii Manoa, Dept Atmospher Sci, Honolulu, HI 96822 USA; [Wang, Yuqing] Univ Hawaii Manoa, Int Pacific Res Ctr IPRC, Honolulu, HI 96822 USA; [Xie, Shang-Ping] Univ Calif San Diego, Scripps Inst Oceanog, La Jolla, CA USA; [Zhang, Leying] Nanjing Forestry Univ, Coll Biol &amp; Environm, Joint Innovat Ctr Modern Forestry Studies, Nanjing, Peoples R China; [Guo, Yipeng] Nanjing Univ, Sch Atmospher Sci, Nanjing, Peoples R China</t>
  </si>
  <si>
    <t>Nanjing University of Information Science &amp; Technology; Fudan University; Princeton University; National Oceanic Atmospheric Admin (NOAA) - USA; University of Hawaii System; University of Hawaii Manoa; University of Hawaii System; University of Hawaii Manoa; University of California System; University of California San Diego; Scripps Institution of Oceanography; Nanjing Forestry University; Nanjing University</t>
  </si>
  <si>
    <t>National Natural Science Foundation of China (National Science Foundation of China)(National Natural Science Foundation of China (NSFC)); National Nature Science Foundation of China(National Natural Science Foundation of China (NSFC)); Natural Science Foundation of Jiangsu Higher Education Institutions in China; LASG (Institute of Atmospheric Physics, Chinese Academy of Sciences) Open Research Program</t>
  </si>
  <si>
    <t>This work is supported by the National Nature Science Foundation of China under Grant Nos 42288101, 42105022 and 42075015; it is also jointly supported by the Natural Science Foundation of Jiangsu Higher Education Institutions in China (23KJB170019); LASG (Institute of Atmospheric Physics, Chinese Academy of Sciences) Open Research Program (2023h336). We thank Dr. Shuai Wang and Dr. Jaeyeon Lee from GFDL, Dr. Hanqing Chen, Dr. Xin Geng and Dr. Leishan Jiang from NUIST and Dr. Xin Huang from Shanghai Typhoon Institute for constructive comments and suggestions.</t>
  </si>
  <si>
    <t>DEC 19</t>
  </si>
  <si>
    <t>10.1038/s41612-023-00537-6</t>
  </si>
  <si>
    <t>WOS:001129421200001</t>
  </si>
  <si>
    <t>Gunathilake, Miyuru B.; Amaratunga, Yasasna, V; Perera, Anushka; Chathuranika, Imiya M.; Gunathilake, Anura S.; Rathnayake, Upaka</t>
  </si>
  <si>
    <t>Water resources in Northern Thailand have been less explored with regard to the impact on hydrology that the future climate would have. For this study, three regional climate models (RCMs) from the Coordinated Regional Downscaling Experiment (CORDEX) of Coupled Model Intercomparison Project 5 (CMIP5) were used to project future climate of the upper Nan River basin. Future climate data of ACCESS_CCAM, MPI_ESM_CCAM, and CNRM_CCAM under Representation Concentration Pathways RCP4.5 and RCP8.5 were bias-corrected by the linear scaling method and subsequently drove the Hydrological Engineering Center-Hydrological Modeling System (HEC-HMS) to simulate future streamflow. This study compared baseline (1988-2005) climate and streamflow values with future time scales during 2020-2039 (2030s), 2040-2069 (2050s), and 2070-2099 (2080s). The upper Nan River basin will become warmer in future with highest increases in the maximum temperature of 3.8 degrees C/year for MPI_ESM and minimum temperature of 3.6 degrees C/year for ACCESS_CCAM under RCP8.5 during 2080s. The magnitude of changes and directions in mean monthly precipitation varies, with the highest increase of 109 mm for ACESSS_CCAM under RCP 4.5 in September and highest decrease of 77 mm in July for CNRM, during 2080s. Average of RCM combinations shows that decreases will be in ranges of -5.5 to -48.9% for annual flows, -31 to -47% for rainy season flows, and -47 to -67% for winter season flows. Increases in summer seasonal flows will be between 14 and 58%. Projection of future temperature levels indicates that higher increases will be during the latter part of the 20(th) century, and in general, the increases in the minimum temperature will be higher than those in the maximum temperature. The results of this study will be useful for river basin planners and government agencies to develop sustainable water management strategies and adaptation options to offset negative impacts of future changes in climate. In addition, the results will also be valuable for agriculturists and hydropower planners.</t>
  </si>
  <si>
    <t>[Gunathilake, Miyuru B.; Amaratunga, Yasasna, V; Perera, Anushka; Chathuranika, Imiya M.; Rathnayake, Upaka] Sri Lanka Inst Informat Technol, Fac Engn, Dept Civil Engn, New Kandy Rd, Malabe, Sri Lanka; [Gunathilake, Miyuru B.] Cent Engn Serv Pvt Ltd, Bauddhaloka Mawatha 7, Colombo, Sri Lanka; [Gunathilake, Anura S.] Cent Engn Consultancy Bur, Bauddhaloka Mawatha 7, Colombo, Sri Lanka</t>
  </si>
  <si>
    <t>Sri Lanka Institute of Information Technology (SLIIT)</t>
  </si>
  <si>
    <t>10.1155/2020/8881118</t>
  </si>
  <si>
    <t>WOS:000591665400001</t>
  </si>
  <si>
    <t>Yi, Tan Jia; Mahmud, Mohd Rizaludin; Reba, Mohd Nadzri Md; Hashim, Mazlan; Norman, Masayu; Jaafar, Wan Shafrina Wan Mohd</t>
  </si>
  <si>
    <t>This paper utilized the Auto Regressive Integrated Moving Average (ARIMA) technique to forecast the near future rainfall using the long-term satellite rainfall data. At present, many of the future rainfall and climate forecast was conducted for a long-term period (&gt;10 years) at the macroscale (similar to 1000 km and above) level. Those forecasts are inappropriate to meet the demand for the short-term action (1-3 years). In addition, the macroscale information is unsuitable and too general for the local administrative council and water resources stakeholders to make the adaptation plan, mitigation action, and preventive measures at smaller scale (10-50 km). Many developing countries were facing hydrological data conflict (scarcity, sparse, etc.) and utilizing the publicly accessed satellite data could be useful alternatives. Therefore, sound evidence is required to validate the hypothesis where the use of ARIMA and the long-term satellite rainfall data could provide near future rainfall forecast. Prior to that, the southern part of Johor in Malaysia is selected as the experimental site for this study. To perform the task, 204 of monthly gridded of satellite rainfall from 1998 to 2014 is utilized. In implementing the ARIMA, the standard seasonal lag based on local monsoon period is chosen. The auto-regression co-efficient is computed for each individual grid based on the time series of monthly rainfall, as well as the forecasted rainfall. To determine the ideal duration of historical rainfall for the best near-future forecasted rainfall, the rainfall datasets are divided into decadal and semi-decadal (epoch is every 5 years). The results showed that the satellite based forecasted rainfall based on ARIMA (SAFORA) using half-decadal datasets able to forecast the 2015 rainfall at average temporal correlation of 0.703. Measurement biases range from 5 to 70%, depending on monsoon season. The SAFORA tends to overestimate low rainfall months. The output of this experiment proved that SAFORA able to forecast the monthly-scale rainfall at reliable accuracy and could be useful for hydrological data conflict situation catchment or location in the humid tropics.</t>
  </si>
  <si>
    <t>[Yi, Tan Jia; Mahmud, Mohd Rizaludin; Reba, Mohd Nadzri Md; Hashim, Mazlan] Univ Teknol Malaysia, Fac Built Environm &amp; Surveying, Dept Geoinformat, Johor Baharu 81310, Johor, Malaysia; [Mahmud, Mohd Rizaludin; Reba, Mohd Nadzri Md; Hashim, Mazlan] Univ Teknol Malaysia, Fac Built Environm &amp; Surveying, Geosci &amp; Digital Earth Ctr, Res Inst Sustainable Environm, Johor Baharu 81310, Johor, Malaysia; [Norman, Masayu] Univ Teknol MARA Perlis, Fac Architecture Planning &amp; Surveying, Dept Surveying Sci &amp; Geomat, Arau 02600, Perlis, Malaysia; [Jaafar, Wan Shafrina Wan Mohd] Univ Kebangsaan Malaysia, Inst Climate Change, Earth Observat Ctr, Bangi 43600, Selangor, Malaysia</t>
  </si>
  <si>
    <t>Universiti Teknologi Malaysia; Universiti Teknologi Malaysia; Universiti Kebangsaan Malaysia</t>
  </si>
  <si>
    <t>Universiti Teknologi Malaysia; Ministry of Higher Education(Science and Technology Development Fund (STDF)Ministry of Higher Education &amp; Scientific Research (MHESR))</t>
  </si>
  <si>
    <t>The authors would like to congratulate all the data contributors, lab members and colleague in materializing this experiment. This experiment is financially supported by Universiti Teknologi Malaysia &amp; Ministry of Higher Education research initiative grants (Q. J130000.2652.17J09, R.J130000.7852.5F378 and Q. J130000.4352.09G76).</t>
  </si>
  <si>
    <t>1474-7065</t>
  </si>
  <si>
    <t>1873-5193</t>
  </si>
  <si>
    <t>PHYS CHEM EARTH</t>
  </si>
  <si>
    <t>Phys. Chem. Earth</t>
  </si>
  <si>
    <t>10.1016/j.pce.2021.103069</t>
  </si>
  <si>
    <t>WOS:000724422400001</t>
  </si>
  <si>
    <t>Abdulkareem, Jabir Haruna; Sulaiman, Wan Nor Azmin; Pradhan, Biswajeet; Jamil, Nor Rohaizah</t>
  </si>
  <si>
    <t>Rainfall characteristics are directly related to the climate of a basin, but this can only be noticed after a long period. Human activities, such as deforestation, tend to play a major role in transforming the land use land cover (LULC). Knowledge of the relationship between design floods and LULC is important in modeling and designing watershed management strategies. A study was conducted in the Kelantan River basin, Malaysia, to determine the impact of past and present LULC changes on peak discharge and runoff volumes. To achieve this, the basin was delineated into four catchments (Galas, Pergau, Nenggiri, and Lebir) due to its size and increased precision. Hydrologic Engineering Center-Hydrologic Modeling System (HEC-HMS) model was calibrated based on December 20-30th, 2014, flood in Kelantan. Flood hydrographs corresponding to 1984, 2002, and 2013 LULC conditions were simulated, and relative changes in peak discharge and runoff volume were determined for different return periods (2, 5, 10, 20, 50, 100 years). Results of LULC analysis showed that Galas recorded highest deforestation (54.35%). When the four catchments were compared with respect to highest contribution of outlet peak discharge, Lebir under 2013 LULC condition was the highest with 2847.70 m(3)/s. This was followed by Nenggiri (2196.90 m(3)/s), Galas (1252.7 m(3)/s), and Pergau (328.7 m(3)/s), all under the 2013 LULC condition. Results of unit response approach applied based on 50-year return period to the catchments for ranking their sub-basins revealed that the novel fa index developed in this study provides a better way of ranking sub-basins with respect to their contribution to the outlet and therefore is recommended for use. Methodologies developed in this study may be useful to land use planners from around the world which when applied can provide alternatives that will minimize the adverse effects of floods.</t>
  </si>
  <si>
    <t>[Abdulkareem, Jabir Haruna; Sulaiman, Wan Nor Azmin; Jamil, Nor Rohaizah] Univ Putra Malaysia, Fac Environm Studies, Dept Environm Sci, Serdang 43400, Selangor, Malaysia; [Abdulkareem, Jabir Haruna] Ahmadu Bello Univ, Dept Soil Sci, Inst Agr Res, Fac Agr, PMB 1044, Zaria, Nigeria; [Pradhan, Biswajeet] Univ Technol Sydney, Fac Engn &amp; Informat Technol, CAMGIS, Sydney, NSW, Australia</t>
  </si>
  <si>
    <t>Universiti Putra Malaysia; Institute for Agricultural Research, Samaru, Zaria; Ahmadu Bello University; University of Technology Sydney</t>
  </si>
  <si>
    <t>Fundamental Research Grant Scheme (FRGS) from the Ministry of Higher Education (MOHE), Malaysia</t>
  </si>
  <si>
    <t>This research was funded by the Fundamental Research Grant Scheme (FRGS) 2015-1 from the Ministry of Higher Education (MOHE), Malaysia.</t>
  </si>
  <si>
    <t>10.1007/s12517-018-3702-4</t>
  </si>
  <si>
    <t>WOS:000438762300002</t>
  </si>
  <si>
    <t>Zhao, Wenpeng; Kinouchi, Tsuyoshi; Hong Quan Nguyen</t>
  </si>
  <si>
    <t>To date, no previous studies based on the Coordinated Regional Climate Downscaling Experiment Southeast Asia (CORDEX-SEA), which represents the most comprehensive set of regional climate model simulations in Southeast Asia, have reported the climate change impacts on Intensity-duration-frequency (IDF) curves for designing urban drainage systems. In this study, a framework to project future IDF curves based on a temporal disaggregation of bias-corrected CORDEX-SEA simulations was developed and applied to two cities in Southern Vietnam, i.e. Ho Chi Minh City (HCMC) and Can Tho City (CTC). First, a new bias correction (BC) method, which we call normalized quantile mapping (NQM), was proposed and compared with two other BC methods, quantile mapping (QM) and quantile delta mapping (QDM), to select a suitable BC method for downscaling each dataset of CORDEX-SEA multi-model simulations. A temporal disaggregation model in an artificial neural network (ANN) framework was introduced to obtain future sub-daily rainfall extremes, and the results were compared with the widely used stochastic model, Hyetosminute. Selecting a suitable BC method for each dataset performs better than using one BC method for all datasets in decreasing the ensemble spread by 47.1% in HCMC and 61.4% in CTC. The temporal disaggregation by ANN performs much better than Hyetosminute in durations shorter than or equal to six hours. IDF curves (based on ensemble mean of seven climate models) projected for the far future period (2066-2085) reveal that the rainfall intensity for 25-yr return period is expected to increase by 27.4-32.6% in HCMC and 55.4-72.8% in CTC (depending on the rainfall duration) from those observed for the historical period (1986-2005), while expected to change by 1.1-11.3% for 2-yr return period. Generally, more increase of rainfall intensity for rarer rainfall events (especially for longer durations) urges us to update the existing drainage systems for higher return periods. The framework developed in this study can serve as an important reference for studying climate impacts on the urban drainage systems in other cities located in the same region.</t>
  </si>
  <si>
    <t>[Zhao, Wenpeng; Kinouchi, Tsuyoshi] Tokyo Inst Technol, Dept Transdisciplinary Sci &amp; Engn, Tokyo, Japan; [Hong Quan Nguyen] Vietnam Natl Univ, Inst Circular Econ Dev, Ho Chi Minh City, Vietnam; [Hong Quan Nguyen] Vietnam Natl Univ, Ctr Water Management &amp; Climate Change, Inst Environm &amp; Resources, Ho Chi Minh City, Vietnam</t>
  </si>
  <si>
    <t>Tokyo Institute of Technology; Vietnam National University Hochiminh City; Vietnam National University Hochiminh City</t>
  </si>
  <si>
    <t>Japan Society for the Promotion of Science (JSPS) Bilateral Joint Research Program(Ministry of Education, Culture, Sports, Science and Technology, Japan (MEXT)Japan Society for the Promotion of Science); China Scholarship Council (CSC)(China Scholarship Council); ICTP</t>
  </si>
  <si>
    <t>This research is funded by the Japan Society for the Promotion of Science (JSPS) Bilateral Joint Research Program. The first author acknowledges the financial support from the China Scholarship Council (CSC). Authors acknowledge the World Climate Research Programme's Working Group on Regional Climate, and the Working Group on Coupled Modelling, former coordinating body of CORDEX and responsible panel for CMIP5. Authors thank ICTP, GERICS, SMHI for producing and making their model simulations available.</t>
  </si>
  <si>
    <t>10.1016/j.jhydrol.2021.126461</t>
  </si>
  <si>
    <t>WOS:000661813200184</t>
  </si>
  <si>
    <t>Jiang, Ze; Raghavan, Srivatsan V.; Hur, Jina; Sun, Yabin; Liong, Shie-Yui; Van Qui Nguyen; Tri Van Pham Dang</t>
  </si>
  <si>
    <t>The crop simulation model Decision Support System for Agrotechnology Transfer (DSSAT) was applied over the Mekong River Delta (MRD), Southern Vietnam, to assess future (2020-2050) impacts of climate change on rice production. The DSSAT model was driven using observed station data and projected climate data derived through the dynamical downscaling of three global climate models (GCMs) using the Weather Research and Forecasting (WRF) model. The WRF model was simulated at a spatial resolution of 30km over the study region, and the large-scale driving fields for future climates were taken from the Coupled Model Inter-Comparison Project Phase 3 (CMIP3) global models ECHAM5, CCSM3, and MIROC5 under the A2 emission scenario. Rice growth during two main seasons, namely, the winter-spring (winter) and summer-autumn (summer), were selected to quantify impacts under both irrigated and rain-fed rice cultivation. The results from this climate-crop study suggest that under rain-fed conditions, winter rice yield was likely to experience nearly 24% reduction while summer rice yield was projected to decrease by about 49%. Without irrigation, the annual rice yield was projected to decrease by about 36.5%, and under irrigated conditions, climate change is likely to reduce annual irrigated rice yields by about 1.78%. Winter rice yield was likely to decrease by 4.7% while summer rice yield was projected to marginally increase by about 0.68%. Increasing temperatures and seasonal variations of precipitation are likely to significantly reduce rice yields under rain-fed condition. In addition, (1) a decrease (increase) in the number of rainy days during the dry (wet) season and (2) positive effects of elevated CO2 for rain-fed rice growth under each of the three WRF model realizations would markedly influence rice yields. With Vietnam being one of the largest exporters of rice, these findings have serious implications for the local agricultural sector. This also serves an early warning for the policymakers and stakeholders for effective planning of not only crop production but also water resource management. The findings call for prudent diversification strategy planning by those countries which import rice.</t>
  </si>
  <si>
    <t>[Jiang, Ze; Raghavan, Srivatsan V.; Hur, Jina; Sun, Yabin; Liong, Shie-Yui] Natl Univ Singapore, Trop Marine Sci Inst, 18 Kent Ridge Rd, Singapore 119227, Singapore; [Liong, Shie-Yui] Willis Towers Watson, 51 Lime St, London, England; [Van Qui Nguyen] Can Tho Univ, Coll Agr &amp; Appl Biol, 3 Thang 2 St, Ninh Kieu Dist, Can Tho, Vietnam; [Tri Van Pham Dang] Can Tho Univ, Coll Environm &amp; Nat Resources, 3 Thang 2 St, Ninh Kieu Dist, Can Tho, Vietnam</t>
  </si>
  <si>
    <t>National University of Singapore; Can Tho University; Can Tho University</t>
  </si>
  <si>
    <t>National Research Foundation Singapore under its Campus for Research Excellence and Technological Enterprise program(National Research Foundation, Singapore)</t>
  </si>
  <si>
    <t>This research was supported by the National Research Foundation Singapore under its Campus for Research Excellence and Technological Enterprise program. The Center for Environmental Sensing and Modeling is an interdisciplinary research group of the Singapore MIT Alliance for Research and Technology.</t>
  </si>
  <si>
    <t>10.1007/s00704-018-2617-z</t>
  </si>
  <si>
    <t>WOS:000475737500040</t>
  </si>
  <si>
    <t>Singh, Y. Raghumani; Singh, B. P.; Singh, A. K.; Devi, S. Ranjeeta</t>
  </si>
  <si>
    <t>This paper describes palynology and mineral composition of the Upper Disang Formation from the southern part of Manipur, Northeast India to reconstruct age, paleoenvironment and provenance of this flyschoid sedimentary formation. The palynofossils suggest late Eocene age for the Upper Disang Formation. This formation has dinoflagellate cysts, viz., Homonyblium, Cordosphaeridium, Fibrocysta cf. axialis, Hystrichokolpoma cf. riguadiae and Operculodinium centrocarpum which indicate a shallow marine depositional environment. The lower part of the sequence (G-1 to G-22) characterised by Homonybliumfloripes, Operculodinium centrocarpum and Fibrocysta cf. axialis suggests deposition in nearshore (inner neritic) shallow marine environment, whereas, Cordosphaeridium and Hystrichokolpoma cf. rigaudiae present in the upper part of the formation (GT-1 to GT-22) suggests deposition in the nearshore, probably, outer neritic environment. Occurrence of Homotryblium floripes shows the drier period, where reduced runoff and strong evaporation led to increase salinity in nearshore restricted environment. This study suggests derivation of the sediments from a chlorite and mica- schist or gneiss or phyllite-bearing provenance. The field data along with the mineral compositions and available palynomorphs suggest that the Upper Disang shales and sandstones were deposited in a shallow marine basin during late Eocene and tropical warm humid climate condition, probably, with short time aridity, prevailed during their deposition.</t>
  </si>
  <si>
    <t>[Singh, Y. Raghumani; Devi, S. Ranjeeta] Manipur Univ, Dept Earth Sci, Imphal 795003, Manipur, India; [Singh, B. P.] Banaras Hindu Univ, CAS Geol, Varanasi 221005, Uttar Pradesh, India; [Singh, A. K.] Wadia Inst Himalayan Geol, Dehra Dun 248001, Uttar Pradesh, India</t>
  </si>
  <si>
    <t>Manipur University; Banaras Hindu University (BHU); Department of Science &amp; Technology (India); Wadia Institute of Himalayan Geology (WIHG)</t>
  </si>
  <si>
    <t>Department of Science and Technology, Government of India(Department of Science &amp; Technology (India))</t>
  </si>
  <si>
    <t>The authors express thanks to the Head, Department of Earth Sciences, Manipur University, Imphal and the Director, WIHG, Dehradun for providing the necessary facilities. Two of the authors YRS and BPS gratefully acknowledge the Department of Science and Technology, Government of India for the financial support in from of a Research Project (No. SR/S4/ES-576/2011). We are thankful to Prof. Jianguo Li (Nanjing Institute of Geology and Paleontology, China), Shri Venus Guruaribam, Shri Krishna Mondal and Shri A. Patra (India) for their technical support during preparation of this manuscript.</t>
  </si>
  <si>
    <t>WOS:000397479700001</t>
  </si>
  <si>
    <t>Daly, Patrick; Mahdi, Saiful; Mundir, Ibnu; McCaughey, Jamie; Amalia, Cut Sherly; Jannah, Raudhatul; Horton, Benjamin</t>
  </si>
  <si>
    <t>The permanent relocation of persons from areas threatened by environmental stress is widely seen within the international humanitarian sector as problematic due to negative social and economic impacts. However, relocation is increasingly seen as a likely, if unfortunate, response to climate change as rising sea-levels, changing ecological conditions, and increasingly intense disasters create powerful push factors. The more dramatic examples of environmental migration focus on long-distance movements, including crossing national borders, which raise issues about the importance of social capital for migrants trying to build community cohesion and integrate into different cultural contexts. However, it is likely that most relocation because of environment stress will occur at sub-national to very local geographic scales, similar to what happens after large-scale disasters, meaning that persons might be resettled within familiar cultural, linguistic, and religious contexts. In this paper we use qualitative data collected in 12 resettlement complexes built in Aceh, Indonesia for persons displaced by the 2004 Indian Ocean Tsunami to analyze the importance of social capital for building cohesion within resettlement complexes and between resettlement complexes and host communities. We find that even though tsunami-affected persons were generally relocated less than 20 km from their pre-tsunami homes, there were clear social distinctions between resettled persons and host communities, which had practical impacts on integration, access to resources, and participation within local governance structures. We found shared cultural and religious traditions and social practices served as important sources of bonding capital within resettlement complexes. However, the same attributes were less effective as bridging capital between resettlement complexes and their host communities. These findings show that governments and NGOs need to be cautious about underestimating the negative social disruptions caused by short-distance relocation and the importance of bonding social capital for fostering stable and sustainable resettlement communities.</t>
  </si>
  <si>
    <t>[Daly, Patrick; Horton, Benjamin] Nanyang Technol Univ, Earth Observ Singapore, 50 Nanyang Ave, Block N2-01a-15, Singapore 639798, Singapore; [Mahdi, Saiful] Univ Syiah Kuala, Dept Stat, Kota Banda Aceh, Indonesia; [Mundir, Ibnu; Jannah, Raudhatul] Int Ctr Aceh, Indian Ocean Studies, Kota Banda Aceh, Indonesia; [McCaughey, Jamie] Swiss Fed Inst Technol, Inst Environm Decis, Zurich, Switzerland; [Amalia, Cut Sherly] Stat Indonesia BPS, Kota Banda Aceh, Indonesia</t>
  </si>
  <si>
    <t>Nanyang Technological University; Universitas Syiah Kuala; Swiss Federal Institutes of Technology Domain; ETH Zurich</t>
  </si>
  <si>
    <t>10.1016/j.ijdrr.2023.103861</t>
  </si>
  <si>
    <t>WOS:001050092800001</t>
  </si>
  <si>
    <t>Nath, Debashis; Chen, Wen; Guharay, Amitava</t>
  </si>
  <si>
    <t>The present manuscript deals with the spatial distribution of gravity wave activity over the tropics using ten years (2001-2010) of CHAllenging Mini Payloads (CHAMP) and Constellation Observing System for Meteorology, Ionosphere and Climate (COSMIC) Global Positioning System (GPS) Radio Occultation (RO) data and ground-based radiosonde measurements over an equatorial station Singapore (1.36A degrees N, 103.98A degrees E) and four tropical stations, Guam (13.48A degrees N, 144.80A degrees E), Palau (7.33A degrees N, 134.48A degrees E) in the northern hemisphere, Darwin (12.41A degrees S, 130.88A degrees E) and Pago-Pago (14.33A degrees S, 170.71A degrees W) in the southern hemisphere from January 2001-December 2010. It also aims to quantify the difference in wave activity in the two phases of QBO, climatologically. Space-time spectra have been constructed over a latitude band of +/- 10A degrees and decomposing the CHAMP/COSMIC temperature perturbations into symmetric and antisymmetric modes about the equator. Clear signature of equatorial waves with higher wavelength and a constant background of gravity waves (GW) with inertial frequency are prominent in the spectra. Strong GW and mean flow interaction can be seen in the lower stratosphere potential energy density (E (P)) and momentum flux with enhanced wave activity during the westerly (eastward wind) phase of quasi-biennial oscillation (QBO) (WQBO) over the equatorial and tropical stations like Singapore and Palau/Darwin, respectively. From the latitudinal distribution of energy density, the occurrence of two-peak structure in energy density can be seen in the middle and lower latitudes with an enhancement during the WQBO phase. The E (P) associated with GWs are calculated at lower stratospheric (19-26 km) heights and are compared with outgoing longwave radiation (OLR) to correlate the wave events with tropical deep convection during the easterly, i.e. westward wind (EQBO) and WQBO phases of QBO. Clear coherence of convection due to Asian summer monsoon with localized enhancement of wave activity over Western Pacific, South America and African region during the WQBO phase is observed at the lower stratospheric heights. Significant enhancement is observed during Northern Hemisphere winter months and minimum during summer. The longitudinally elongated portion of E (P) over the equator is partially affected by Kelvin wave (KW) like disturbances with short vertical scales and also by inertia GW.</t>
  </si>
  <si>
    <t>[Nath, Debashis; Chen, Wen] Chinese Acad Sci, Inst Atmospher Phys, Ctr Monsoon Syst Res, Beijing 100029, Peoples R China; [Guharay, Amitava] INPE, Natl Inst Space Res, Sao Jose Dos Campos, SP, Brazil</t>
  </si>
  <si>
    <t>Chinese Academy of Sciences; Institute of Atmospheric Physics, CAS; Instituto Nacional de Pesquisas Espaciais (INPE)</t>
  </si>
  <si>
    <t>National Natural Science Foundation of China(National Natural Science Foundation of China (NSFC)); Chinese Academy of Sciences(Chinese Academy of Sciences); China postdoctoral science foundation(China Postdoctoral Science Foundation)</t>
  </si>
  <si>
    <t>We are thankful to the UCAR &amp; RISH, Kyoto University, NCEP-NCAR, ECMWF and Wyoming University upper air sounding data archival for providing the CHAMP/COSMIC data, OLR data, zonal wind data and Singapore, Palau, Guam, Darwin and Pago-Pago radiosonde data, respectively. This work is supported jointly by the National Natural Science Foundation of China (Grant No. 41250110073, 41350110331), the Chinese Academy of Sciences fellowships for young international scientists (2011Y2ZZB05) and China postdoctoral science foundation grant (2013 M541010). We sincerely thank Dr. Yoshio Kawatani of JAMSTEC, Japan and Dr. S.P. Alexander from Australian Antarctic Division for their suggestions to derive the space-time spectra.</t>
  </si>
  <si>
    <t>10.1007/s00704-014-1146-7</t>
  </si>
  <si>
    <t>WOS:000349020900025</t>
  </si>
  <si>
    <t>Li, Yuanpu; Huang, Sihua; Wen, Zhiping</t>
  </si>
  <si>
    <t>This study investigated the influence of the stratospheric quasi-biennial oscillation (QBO) on the tropical easterly jet (TEJ), using the ERA5 and QBO series of Singapore and Freie Universitat Berlin. Since the 1980s, the easterlies of the TEJ over the Maritime Continent are weaker during easterly QBO (EQBO) than westerly QBO. QBO influences TEJ by affecting convection on the east and west sides of the Maritime Continent. The climatological rising movement on the west side of the Maritime Continent can reach a higher altitude than that on the east side, which implies the convections on the west side are likely to be more effectively promoted by the reduced stability near the tropopause during EQBO. The zonal asymmetry in the stability near the tropopause is also a possible cause for QBO modulating convection. QBO has a significant influence on the Asian summer monsoon and tropical/subtropical precipitation through modulating the TEJ.</t>
  </si>
  <si>
    <t>[Li, Yuanpu; Huang, Sihua; Wen, Zhiping] Fudan Univ, Inst Atmospher Sci, Shanghai, Peoples R China</t>
  </si>
  <si>
    <t>Fudan University</t>
  </si>
  <si>
    <t>National Natural Science Foundation of China(National Natural Science Foundation of China (NSFC)); China Postdoctoral Science Foundation(China Postdoctoral Science Foundation)</t>
  </si>
  <si>
    <t>This work was supported jointly by the National Natural Science Foundation of China (42030601, 41805029, and 41875087), and the China Postdoctoral Science Foundation (2018M641913 and 2022M710715). Thank the anonymous reviewers for the valuable suggestions. They helped us think about the relationship between QBO and TEJ from a broader perspective, and in the process, we found more phenomena worth investigating.</t>
  </si>
  <si>
    <t>10.1029/2022GL098940</t>
  </si>
  <si>
    <t>WOS:000842463000001</t>
  </si>
  <si>
    <t>Authemayou, Christine; Brocard, Gilles; Delcaillau, Bernard; Molliex, Stephane; Pedoja, Kevin; Husson, Laurent; Aribowo, Sonny; Cahyarini, Sri Yudawati</t>
  </si>
  <si>
    <t>Landscape adjustment to tectonic, lithologic and climatic forcing leads to drainage reorganization and migration of divides. The respective contribution of these forcings, especially on carbonate landscapes is not well defined. Here, we have addressed this issue by combining field observations, satellite image interpretation and digital elevation model (DEM) quantitative analysis to assess drainage response to spatially heterogeneous rainfall, asymmetric uplift, and normal faulting on an emerging carbonated platform (Sumba Island, Indonesia). We map geomorphic markers of fluvial dynamics and drainage rearrangement and compute a parameter that incorporates the contributions of unevenly distributed precipitation and asymmetric uplift to estimate erosional disequilibrium across drainage divides. We find that asymmetric emergence of Sumba Island created an initial parallel drainage, asymmetric across a divide that propagates landwards. Soon after establishing itself on the emerging slopes this drainage was disturbed by normal faulting, which has become the main force driving drainage rearrangement. Vertical offsets across normal fault scarps first triggered aggradation within valleys over the hanging walls, and then disconnected upstream reaches from downstream reaches, leading to the formation of wind gaps atop the fault scarps and upstream perched sedimentary basins. The defeat of rivers by growing fault scarps was catalysed by the possibility for surface water to be rerouted near the fault scarps into underground water networks inside the underlying carbonates. At the end of the process, the opposite drainage across the main water divide captured the struggling drainage. Capture mechanisms include initial groundwater capture of the perched alluvial aquifers, followed by ground sapping at the head of the opposite drainage and surface stream diversion by avulsion. Finally, normal faulting is the main driving force of drainage rearrangement allowing avulsion and karstic rerouting whereas asymmetric uplift and climate forcings have shown a low efficiency. The role of karstification is more ambiguous, catalysing or inhibiting drainage rearrangement. Copyright (c) 2018 John Wiley &amp; Sons, Ltd.</t>
  </si>
  <si>
    <t>[Authemayou, Christine; Molliex, Stephane] Univ Brest, CNRS, UMR 6538, LGO,UBL,IUEM, F-29280 Plouzane, France; [Brocard, Gilles] Univ Sydney, Sch Geosci, Sydney, NSW, Australia; [Delcaillau, Bernard; Pedoja, Kevin] Univ Caen, UMR 6143 M2C, Caen, France; [Husson, Laurent] Univ Grenoble Alpes, CNRS, UMR 5275, ISTerre, Grenoble, France; [Aribowo, Sonny; Cahyarini, Sri Yudawati] Indonesian Inst Sci, Resarch Ctr Geotechnol, LIPI, Bandung, Indonesia</t>
  </si>
  <si>
    <t>Universite de Bretagne Occidentale; Institut Universitaire Europeen de la Mer (IUEM); Centre National de la Recherche Scientifique (CNRS); CNRS - National Institute for Earth Sciences &amp; Astronomy (INSU); University of Sydney; Universite de Caen Normandie; Centre National de la Recherche Scientifique (CNRS); CNRS - National Institute for Earth Sciences &amp; Astronomy (INSU); Communaute Universite Grenoble Alpes; Universite Grenoble Alpes (UGA); Centre National de la Recherche Scientifique (CNRS); Institut de Recherche pour le Developpement (IRD); Universite Gustave-Eiffel; Universite Savoie Mont Blanc; CNRS - National Institute for Earth Sciences &amp; Astronomy (INSU); National Research &amp; Innovation Agency of Indonesia (BRIN); Indonesian Institute of Sciences (LIPI)</t>
  </si>
  <si>
    <t>French Agence Nationale de la Recherche (ANR) in the Program Investissements d'avenir, Labex Mer(Agence Nationale de la Recherche (ANR)); Australian Research Council(Australian Research Council)</t>
  </si>
  <si>
    <t>This work benefited from a National Grant from the French Agence Nationale de la Recherche (ANR) in the Program Investissements d'avenir (ANR-10-LABX-19-01, Labex Mer) and from the Australian Research Council grant #ARC-IH130200012 awarded to the Basin Genesis Hub. We thank the State Ministry of Research and Technology of Indonesia RISTEK that allowed us to conduct the field trip to Sumba. We thank Liran Goren and Ron Harris for useful reviews that improved the first draft of the article and the associated editor for comments and handling our manuscript. Sean F Gallen is further thanked for its help using Topotoolbox Matlab-based software.</t>
  </si>
  <si>
    <t>10.1002/esp.4363</t>
  </si>
  <si>
    <t>WOS:000437831300012</t>
  </si>
  <si>
    <t>Iqbal, Zafar; Shahid, Shamsuddin; Ahmed, Kamal; Ismail, Tarmizi; Ziarh, Ghaith Falah; Chung, Eun-Sung; Wang, Xiaojun</t>
  </si>
  <si>
    <t>Global climate models (GCMs) of Coupled Model Intercomparison Project 6 (CMIP6) has designed with new socioeconomic pathway scenarios to incorporate the socioeconomic changes along with greenhouse gas emissions to project future climate. Performance of 35 GCMs of CMIP6 was evaluated in this study in replicating APHRODITE rainfall in the Mainland South-East Asia (MSEA) for the period 1975?2014. Compromised programming (CP) based on four spatial statistical metrics were used for the ranking of the GCMs and Jenk?s natural break classification was employed to find the most suitable subset of GCMs for MSEA. The results showed that majority of CMIP6 GCMs can capture the rainfall climatological of MSEA. The performance of the GCMs was different in terms of different metrics. Integration of all metrics using CP showed MRI-ESM2-0, EC-Earth3 and EC-Earth3-Veg as the most suitable subset of GCMs for rainfall projections in MSEA. The performance assessment of the selected GCMs revealed their ability to simulate the annual mean rainfall climatology in the central and southern region of MSEA with a bias less than 25%. Relatively higher biases (-25 to -75%) were noticed in the western coastal region of Myanmar where observed rainfall is the highest. The identified CMIP6 GCMs can be employed for climate change projections and impact assessments in MSEA after correcting the associated biases.</t>
  </si>
  <si>
    <t>[Iqbal, Zafar; Shahid, Shamsuddin; Ahmed, Kamal; Ismail, Tarmizi; Ziarh, Ghaith Falah] Univ Teknol Malaysia UTM, Sch Civil Engn, Fac Engn, Johor Baharu 81310, Malaysia; [Ahmed, Kamal] Lasbela Univ Agr Water &amp; Marine Sci LUAWMS, Fac Water Resource Management, Uthal 90150, Balochistan, Pakistan; [Chung, Eun-Sung] Seoul Univ Sci &amp; Technol, Dept Civil Engn, Seoul 01811, South Korea; [Wang, Xiaojun] Nanjing Hydraul Res Inst, State Key Lab Hydrol Water Resources &amp; Hydraul En, Nanjing 210029, Peoples R China; [Wang, Xiaojun] Minist Water Resources, Res Ctr Climate Change, Nanjing 210029, Peoples R China</t>
  </si>
  <si>
    <t>Universiti Teknologi Malaysia; Nanjing Hydraulic Research Institute</t>
  </si>
  <si>
    <t>Higher Education Commission (HEC) of Pakistan(Higher Education Commission of Pakistan); Ministry of Higher Education Malaysia(Ministry of Education, Malaysia)</t>
  </si>
  <si>
    <t>Acknowledgement The authors are grateful to the Higher Education Commission (HEC) of Pakistan and the Ministry of Higher Education Malaysia for providing financial support to conduct this research through grant No R. J130000.78515F092 (FRGS/1/2018/TK01/UTM/02/18) . We also acknowledge the World Climate Research Programme's Working Group on Coupled Modelling for providing access to CMIP6 GCM simulation data.</t>
  </si>
  <si>
    <t>10.1016/j.atmosres.2021.105525</t>
  </si>
  <si>
    <t>WOS:000636299900002</t>
  </si>
  <si>
    <t>Liu, Haolang; Feng, Xiangbo; Tao, Aifeng; Zhang, Wei</t>
  </si>
  <si>
    <t>Sea levels in the Western North Pacific (WNP) are presented with anomalous intraseasonal variations. This study examines the response of sea level in the WNP to the atmospheric Intraseasonal Oscillation modes, namely the Madden-Julian Oscillation (MJO) and the Boreal Summer Intraseasonal Oscillation (BSISO), using the 25 years (1993-2017) of satellite altimetry and barotropic model output. In winter, the MJO has significant effects on the component of sea level due to the instant wind and atmospheric pressure effects (high-frequency), showing an eastward propagation pattern in most regions, with the strongest effects in the western marginal seas. The MJO-associated pattern of dynamical (low-frequency) component of sea level propagates southward, with the significant effects mostly in the tropics. In summer, the BSISO-associated pattern of the high-frequency component of sea level moves from southwest to northeast, with the largest anomalies in the middle of WNP (20 degrees N-30 degrees N), while the strongest BSISO effects on the low-frequency component are detectable mostly in the coasts of China and east of the Philippines. The MJO and BSISO can also modulate the probability of extreme sea level events. In winter, during phases 2-5, MJO increases the chance of extreme high events in the high-frequency component of sea level by 100%-200% in the western coasts and the tropics. In summer, in BSISO phases 6-7, the chance of extreme high events in the high-frequency component of sea level is enhanced by &gt;300% in the South China Sea and east of the Philippines. Plain Language Summary The coastal regions of the Western North Pacific (WNP) are densely populated areas, which are exposed to tremendous oceanic hazards. The intraseasonal variability of sea level may alter the occurrence of extreme sea level events when superimposing on other factors under extreme conditions. Thus, understanding the variations of sea level in the WNP on intraseasonal timescales is helpful for marine disaster prevention and mitigation. The atmospheric Intraseasonal Oscillation (ISO) is one of the dominant modes of climate variability on intraseasonal timescales, including the Madden-Julian Oscillation (MJO) and the Boreal Summer Intraseasonal Oscillation (BSISO). In this study, we investigate the relationship between the atmospheric ISO and WNP sea level over the satellite era (1993-2017) using observational data. Our analysis suggests that the atmospheric ISO significantly modulates the intraseasonal variations of WNP sea level both in winter and summer seasons, including the probability of extreme sea level events, through altering the convection and surface wind circulations associated with, or originated from, the atmospheric ISO. These findings imply the potential for developing a statistical approach to predict the intraseasonal variability of sea level extremes.</t>
  </si>
  <si>
    <t>[Liu, Haolang; Feng, Xiangbo; Zhang, Wei] Hohai Univ, State Key Lab Hydrol Water Resources &amp; Hydraul En, Nanjing, Peoples R China; [Liu, Haolang; Tao, Aifeng; Zhang, Wei] Hohai Univ, Coll Harbor Coastal &amp; Offshore Engn, Nanjing, Peoples R China; [Feng, Xiangbo] Univ Reading, Natl Ctr Atmospher Sci, Reading, Berks, England; [Feng, Xiangbo] Univ Reading, Dept Meteorol, Reading, Berks, England</t>
  </si>
  <si>
    <t>Hohai University; Hohai University; University of Reading; UK Research &amp; Innovation (UKRI); Natural Environment Research Council (NERC); NERC National Centre for Atmospheric Science; University of Reading</t>
  </si>
  <si>
    <t>foundation of the process and mechanism of interaction between shoal-channel evolution and river-tide dynamics in the Yangtze River estuary; National Key Research and Development Program of China; Belt and Road Special Foundation of the State Key Laboratory of Hydrology-Water Resources and Hydraulic Engineering, China; Met Office Climate Science for Service Partnership for China; Weather and Climate Science for Service Partnership for Southeast Asia as part of the Newton Fund</t>
  </si>
  <si>
    <t>This work was supported by the foundation of the process and mechanism of interaction between shoal-channel evolution and river-tide dynamics in the Yangtze River estuary (Project No: U2040203), the National Key Research and Development Program of China (Project No: 2020YFD0900701), and the Belt and Road Special Foundation of the State Key Laboratory of Hydrology-Water Resources and Hydraulic Engineering, China (Project No: 2018490111). Xiangbo Feng was also supported by the Met Office Climate Science for Service Partnership for China and the Weather and Climate Science for Service Partnership for Southeast Asia, as part of the Newton Fund.</t>
  </si>
  <si>
    <t>10.1029/2021JC017237</t>
  </si>
  <si>
    <t>WOS:000665203500028</t>
  </si>
  <si>
    <t>Myo, Hnin Thiri; Zin, Win Win; Shwe, Kyi Pyar; San, Zin Mar Lar Tin; Kawasaki, Akiyuki; Acierto, Ralph Allen</t>
  </si>
  <si>
    <t>Climate change affects both the temperature and precipitation, leading to changes in river runoff. The Bago River basin is one of the most important agricultural regions in the Ayeyarwady Delta of Myanmar, and this paper aims to evaluate the impact of climate change on it. Linear scaling was used as the bias-correction method for ten general circulation models (GCMs) participating in the fifth phase of the Coupled Model Intercomparison Project. Future climate scenarios are predicted for three 27-year periods: the near future (2020-2046), middle future (2047-2073), and far future (2074-2100) with a baseline period of (1981-2005) under two Representative Concentration Pathway (RCP) scenarios: RCP4.5 and RCP8.5 of the IPCC Assessment Report 5 (AR5). The Hydrologic Engineering Center-Hydrologic Modeling System model is used to predict future discharge changes for the Bago River considering future average precipitation for all three future periods. Among the GCMs used to simulate meteorological data in the Ayeyarwady Delta zone, the Model for Interdisciplinary Research on Climate-Earth System is the most suitable. It predicts that average monthly precipitation will fluctuate and that average annual precipitation will increase. Both average monthly and annual temperatures are expected to increase at the end of the 21st century under RCP4.5 and RCP8.5 scenarios. The simulation shows that the Bago River discharge will increase for all three future periods under both scenarios.</t>
  </si>
  <si>
    <t>[Myo, Hnin Thiri; Zin, Win Win; Shwe, Kyi Pyar; San, Zin Mar Lar Tin] Yangon Technol Univ, Dept Civil Engn, Insein Rd, Yangon 11011, Myanmar; [Kawasaki, Akiyuki] Univ Tokyo, Dept Civil Engn, Tokyo, Japan; [Acierto, Ralph Allen] Univ Tokyo, Inst Ind Sci, Tokyo, Japan</t>
  </si>
  <si>
    <t>University of Tokyo; University of Tokyo</t>
  </si>
  <si>
    <t>Japan Science and Technology Agency (JST)/Japan International Cooperation Agency (JICA)(Japan Science &amp; Technology Agency (JST)); Science and Technology Research Partnership for Sustainable Development Program (SATREPS)</t>
  </si>
  <si>
    <t>The research was supported by the Japan Science and Technology Agency (JST, JPMJSA1407)/Japan International Cooperation Agency (JICA), and the Science and Technology Research Partnership for Sustainable Development Program (SATREPS). We are grateful to the following institutions for necessary data support: the Department ofMeteorology and Hydrology (DMH), Irrigation andWater UtilizationManagement Department (IWUMD), and the Department of Hydropower and Implementation (DHPI).</t>
  </si>
  <si>
    <t>10.20965/jdr.2020.p0324</t>
  </si>
  <si>
    <t>WOS:000522815300009</t>
  </si>
  <si>
    <t>Sakashita, Wataru; Miyahara, Hiroko; Yokoyama, Yusuke; Aze, Takahiro; Nakatsuka, Takeshi; Hoshino, Yasuharu; Ohyama, Motonari; Yonenobu, Hitoshi; Takemura, Keiji</t>
  </si>
  <si>
    <t>The East Asian summer monsoon is an important part of the Earth's climate system that is characterized by variations in the strength and expansion of the summer rain band. Rainfall reconstructions in China have revealed changing patterns of rainfall during the Little Ice Age (LIA), but limited hydroclimate reconstruction around Japan have hindered detailed understanding of physical processes associated with the atmospheric system in the western North Pacific. Here, we report relative humidity variations in the Meiyu/Baiu season from 1600-1959 CE by using tree-ring cellulose oxygen isotopes from central Japan; this is the first record of the LIA from the easternmost regions of the East Asian monsoon domain. Our data suggest that the wettest period occurred around 1780-1880 CE corresponding to the final stage of the LIA. This shift was concurrent with sea surface temperature negative (positive) anomalies around the Philippines (off eastern Japan). We suggest that meridional atmospheric circulation was weak during the last stage of the LIA. (C) 2017 Elsevier Ltd and INQUA. All rights reserved.</t>
  </si>
  <si>
    <t>[Sakashita, Wataru; Miyahara, Hiroko] Musashino Art Univ, Humanities &amp; Sci, 1-736 Ogawa Cho, Tokyo 1878505, Japan; [Sakashita, Wataru; Yokoyama, Yusuke] Univ Tokyo, Atmosphere &amp; Ocean Res Inst, Analyt Ctr Environm Study, 5-1-5 Kashiwanoha, Kashiwa, Chiba 2778564, Japan; [Sakashita, Wataru; Yokoyama, Yusuke] Univ Tokyo, Grad Sch Sci, Dept Earth &amp; Planetary Sci, 7-3-1 Hongo, Tokyo 1130033, Japan; [Yokoyama, Yusuke] Japan Agcy Marine Earth Sci &amp; Technol JAMSTEC, Dept Biogeochem, 2-15 Natsushima Cho, Yokosuka, Kanagawa 2370061, Japan; [Aze, Takahiro] Univ Tokyo, Atmosphere &amp; Ocean Res Inst, Ctr Cooperat Res Promot, 5-1-5 Kashiwanoha, Kashiwa, Chiba 2778564, Japan; [Nakatsuka, Takeshi] Res Inst Humanity &amp; Nat, Kita Ku, 457-4 Motoyama, Kyoto 6038047, Japan; [Hoshino, Yasuharu] Natl Res Inst Cultural Properties, 247-1 Saki Cho, Nara 6308577, Japan; [Ohyama, Motonari] Tohoku Univ, Bot Gardens, Aoba Ku, 12-2 Kawauchi, Sendai, Miyagi 9800862, Japan; [Yonenobu, Hitoshi] Naruto Univ Educ, Coll Educ, 748 Nakashima, Naruto 7728502, Japan; [Takemura, Keiji] Kyoto Univ, Grad Sch Sci, Inst Geothermal Sci, Beppu, Oita 8740903, Japan</t>
  </si>
  <si>
    <t>University of Tokyo; University of Tokyo; Japan Agency for Marine-Earth Science &amp; Technology (JAMSTEC); University of Tokyo; Research Institute for Humanity &amp; Nature (RIHN); Tohoku University; Naruto University of Education; Kyoto University</t>
  </si>
  <si>
    <t>Japan Society for the Promotion of Science (JSPS) KAKENHI(Ministry of Education, Culture, Sports, Science and Technology, Japan (MEXT)Japan Society for the Promotion of ScienceGrants-in-Aid for Scientific Research (KAKENHI)); 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</si>
  <si>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We would like to express our gratitude to M. Konda of Kyoto University for providing sample information used for this study. We also wish to express our gratitude to Y. Ueno of Tokyo Institute of Technology for providing us with laboratory space for the tree-ring cellulose delta18O measurements. We thank two anonymous reviewers comments and suggestions. This research was funded by the Japan Society for the Promotion of Science (JSPS) KAKENHI program (grant numbers 15H05816, 25287051, 25247082, 26247085 and 15KK0151). This work was also supported by the program for Research Fellows of the JSPS.</t>
  </si>
  <si>
    <t>OCT 7</t>
  </si>
  <si>
    <t>10.1016/j.quaint.2017.06.020</t>
  </si>
  <si>
    <t>WOS:000411478800001</t>
  </si>
  <si>
    <t>Duan, Jing; Chen, Zhaohui; Wu, Lixin</t>
  </si>
  <si>
    <t>Based on the outputs of 25 models participating in the Coupled Model Intercomparison Project Phase 5, the projected changes of the wind-driven circulation in the low-latitude north-western Pacific are evaluated. Results demonstrate that there will be a decrease in the mean transport of the North Equatorial Current (NEC), Mindanao Current, and Kuroshio Current in the east of the Philippines, accompanied by a northward shift of the NEC bifurcation Latitude (NBL) off the Philippine coast with over 30% increase in its seasonal south-north migration amplitude. Numerical simulations using a 1.5-layer nonlinear reduced-gravity ocean model show that the projected changes of the upper ocean circulation are predominantly determined by the robust weakening of the north-easterly trade winds and the associated wind stress curl under the El Nino-like warming pattern. The changes in the wind forcing and intensified upper ocean stratification are found equally important in amplifying the seasonal migration of the NBL.</t>
  </si>
  <si>
    <t>[Duan, Jing; Chen, Zhaohui; Wu, Lixin] Ocean Univ China, CIMST, Phys Oceanog Lab, Qingdao, Peoples R China; [Duan, Jing; Chen, Zhaohui; Wu, Lixin] Qingdao Natl Lab Marine Sci &amp; Technol, Qingdao, Peoples R China</t>
  </si>
  <si>
    <t>Ocean University of China; Laoshan Laboratory</t>
  </si>
  <si>
    <t>National Natural Science Foundation of China(National Natural Science Foundation of China (NSFC)); National Basic Research Program of China(National Basic Research Program of China); Chinese Academy of Sciences(Chinese Academy of Sciences); Global Change Project</t>
  </si>
  <si>
    <t>This research is supported by the National Natural Science Foundation of China (41622602, 41521091, U1606402, and 41306001), the National Basic Research Program of China (2013CB956200), the Strategic Priority Research Program of the Chinese Academy of Sciences (XDA11010101), and the Global Change Project (GASI-03-01-01-05). The authors are grateful to the discussions with Bo Qiu and Zhao Jing. CMIP5 model outputs can be downloaded at http://cmip-pcmdi. llnl.gov/cmip5/.</t>
  </si>
  <si>
    <t>10.1002/2017GL073355</t>
  </si>
  <si>
    <t>WOS:000404131900071</t>
  </si>
  <si>
    <t>Yang, Jie; Yang, Y. C. Ethan; Chang, Jianxia; Zhang, Jiaorui; Yao, Jun</t>
  </si>
  <si>
    <t>The Mekong River Basin, one of the largest river basins in Asia, is facing a great challenge to meet escalating water, food, and energy demands due to rapid development. Meanwhile, climate change and dam development intensify the security issues of these water-related resources. These changes have resulted in flow regime variations that may affect local hydroecological conditions (HEC) further influencing the ecosystem and have resulted in potential economic losses (especially agricultural losses caused by natural hazards). This study explores the impacts of dam development and climate change on baseline local HEC and natural hazard risk (NHR) using a coupled agent-based model that simulates interactions between autonomous agents in the whole basin. A cross-system analysis between the impact on baseline HEC and NHR is conducted to inform future policy in this transboundary basin. The impact on baseline HEC is evaluated from the flow regime variation perspective based on the Range of Variability Approach and the Indicators of Hydrologic Alteration. The impact on NHR depends on variations in the risk of lowest flow and peak flow. The results primarily show that HEC and NHR in the upstream region are more sensitive to precipitation change. The negative impact on baseline HEC by joint dam development and climate change is more significant in the upstream region as well. Under the hot and dry climate condition, dam development can potentially mitigate both ecological and economic loss in the middle and downstream regions: Central and Southern Laos, the Kratie area, and Mekong Delta, if additional storage can be used in a flexible manner.</t>
  </si>
  <si>
    <t>[Yang, Jie; Chang, Jianxia] Xian Univ Technol, State Key Lab Ecohydraul Northwest Arid Reg, Xian 710048, Shaanxi, Peoples R China; [Yang, Jie; Yang, Y. C. Ethan; Zhang, Jiaorui] Lehigh Univ, Dept Civil &amp; Environm Engn, Bethlehem, PA 18015 USA; [Yao, Jun] Hanjiang To Weihe River Valley Water Divers Proje, Xian 710010, Shaanxi, Peoples R China</t>
  </si>
  <si>
    <t>Xi'an University of Technology; Lehigh University</t>
  </si>
  <si>
    <t>U.S. National Science Foundation(National Science Foundation (NSF)); National Natural Science Foundation of China(National Natural Science Foundation of China (NSFC)); China Scholarship Council(China Scholarship Council); Directorate For Geosciences; Division Of Earth Sciences(National Science Foundation (NSF)NSF - Directorate for Geosciences (GEO))</t>
  </si>
  <si>
    <t>This paper is supported by the U.S. National Science Foundation (EAR #1804560), the National Natural Science Foundation of China (91647112), and the China Scholarship Council. We would like to thank the editor, the associate editor and four anonymous reviewers for their comments and suggestions to improve the quality of the manuscript. The modeling data of this paper can be downloaded at https://github.com/ethanyang28/JoHMekong.</t>
  </si>
  <si>
    <t>10.1016/j.jhydrol.2019.124177</t>
  </si>
  <si>
    <t>WOS:000500371200034</t>
  </si>
  <si>
    <t>Liu, Fengshan; Tao, Fulu; Li, Shenggong; Zhang, Shuai; Xiao, Dengpan; Wang, Meng</t>
  </si>
  <si>
    <t>Environmental influences upon energy balance in areas of different vegetation types (i.e., forest at Kog-Ma in Thailand and at Yakutsk in Russia, grassland at Amdo in Chinese Tibet and at Arvaikheer in Mongolia, and mixed farmland at Tak in Thailand) in the GEWEX Asian Monsoon Experiment were investigated. The sites we investigated are geographically and climatologically different; and consequently had quite large variations in temperature (T), water vapor pressure deficit (VPD), soil moisture (SM), and precipitation (PPT). During May-October, the net radiation flux (R (n)) (in W center dot m(-2)) was 406.21 at Tak, 365.57 at Kog-Ma, 390.97 at Amdo, 316.65 at Arvaikheer, and 287.10 at Yakutsk. During the growing period, the R (n) partitioned into latent heat flux (lambda E/R (n)) was greater than that partitioned into sensible heat flux (H/R (n)) at Tak and at Kog-Ma. In contrast, lambda E/R (n) was lower than H/R (n) at Arvaikheer, H/R (n) was less than lambda E/R (n) between DOY 149 and DOY 270 at Amdo, and between DOY 165 and DOY 235 at Yakutsk. The R (n) partitioned into ground heat flux was generally less than 0.15. The short-wave albedo was 0.12, 0.18, and 0.20 at the forest, mixed land, and grass sites, respectively. At an hourly scale, energy partitions had no correlation with environmental factors, based on average summer halfhourly values. At a seasonal scale energy partitions were linearly correlated (usually p &lt; 0.05) with T, VPD, and SM. The lambda E/R (n) increased with increases in SM, T, and VPD at forest areas. At mixed farmlands, lambda E/R (n) generally had positive correlations with SM, T, and VPD, but was restrained at extremely high values of VPD and T. At grasslands, lambda E/R (n) was enhanced with increases of SM and T, but was decreased with VPD.</t>
  </si>
  <si>
    <t>[Liu, Fengshan; Tao, Fulu; Li, Shenggong; Zhang, Shuai; Xiao, Dengpan; Wang, Meng] Chinese Acad Sci, Inst Geog Sci &amp; Nat Resources Res, Beijing 100101, Peoples R China; [Liu, Fengshan; Wang, Meng] Chinese Acad Sci, Grad Univ, Beijing 100049, Peoples R China; [Xiao, Dengpan] Hebei Acad Sci, Inst Geog Sci, Shijiazhuang 050011, Peoples R China</t>
  </si>
  <si>
    <t>Chinese Academy of Sciences; Institute of Geographic Sciences &amp; Natural Resources Research, CAS; Chinese Academy of Sciences; University of Chinese Academy of Sciences, CAS; Hebei Academy of Sciences</t>
  </si>
  <si>
    <t>National Basic Research Program of China(National Basic Research Program of China)</t>
  </si>
  <si>
    <t>This study was supported by the National Basic Research Program of China (No. 2010CB950902). We greatly appreciate the careful reviews by anonymous reviewers and editors.</t>
  </si>
  <si>
    <t>2095-0195</t>
  </si>
  <si>
    <t>2095-0209</t>
  </si>
  <si>
    <t>FRONT EARTH SCI-PRC</t>
  </si>
  <si>
    <t>10.1007/s11707-014-0429-8</t>
  </si>
  <si>
    <t>WOS:000345389600012</t>
  </si>
  <si>
    <t>Yatim, Ahmad Norazhar Mohd; Latif, Mohd Talib; Ahamad, Fatimah; Khan, Md Firoz; Nadzir, Mohd Shahrul Mohd; Juneng, Liew</t>
  </si>
  <si>
    <t>This study investigates the recent extreme temperature trends across 19 stations in the Klang Valley, Malaysia, over the period 2006-16. Fourteen extreme index trends were analyzed using the Mann-Kendall non-parametric test, with Sen's slope as a magnitude estimator. Generally, the annual daily mean temperature, daily mean maximum temperature, and daily mean minimum temperature in the Klang Valley increased significantly, by 0.07 degrees C yr(-1), 0.07 degrees C yr(-1) and 0.08 degrees C yr(-1), respectively. For the warm temperature indices, the results indicated a significant upward trend for the annual maximum of maximum temperature, by 0.09 degrees C yr(-1), and the annual maximum of minimum temperature, by 0.11 degrees C yr(-1). The results for the total number of warm days and warm nights showed significant increasing trends of 5.02 d yr(-1) and 6.92 d yr(-1), respectively. For the cold temperature indices, there were upward trends for the annual minimum of maximum temperature, by 0.09 degrees C yr(-1), and the annual minimum of minimum temperature, by 0.03 degrees C yr(-1), concurrent with the decreases in the total number cold days (TX10P), with -3.80 d yr(-1), and cold nights (TN10P), with -4.33 d yr(-1). The 34 degrees C and 37 degrees C summer days results showed significant upward trends of 4.10 d yr(-1) and 0.25 d yr(-1), respectively. Overall, these findings showed upward warming trends in the Klang Valley, with the minimum temperature rate increasing more than that of the maximum temperature, especially in urban areas. ? ????????????? 19 ?????, ?????? 2006-2016 ??????????. ????????????? Mann-Kendall ?????, ? Sen ???????????, ????? 14 ????????????. ????, ???????????? ??????????????????, ?????? 0.07 degrees C yr(-1)? 0.07 degrees C yr(-1) ? 0.08 degrees C yr(-1). ???????, ?????????????????????, ??????? 0.09 degrees C yr(-1) ? 0.11 degrees C yr(-1); ????????????????????, ??????? 5.02 d yr(-1) ? 6.92 d yr(-1). ???????, ?????????????????????, ????????? 0.09 degrees C yr(-1) ? 0.03 degrees C yr(-1), ????????????????????? (????????? -3.88 d yr(-1) ? -4.33 d yr(-1)). ?????? 34 degrees C ? 37 degrees C ?????? 4.10 d yr(-1) ? 0.25 d yr(-1) ?????. ????, ????????????????????????, ???????????????.</t>
  </si>
  <si>
    <t>[Yatim, Ahmad Norazhar Mohd] Univ Kebangsaan Malaysia, Inst Climate Change, Ctr Space Sci, Bangi 43600, Selangor, Malaysia; [Yatim, Ahmad Norazhar Mohd] Univ Malaysia Sabah, Fac Sci &amp; Nat Resources, Kota Kinabalu 88400, Sabah, Malaysia; [Latif, Mohd Talib; Nadzir, Mohd Shahrul Mohd; Juneng, Liew] Univ Kebangsaan Malaysia, Sch Environm &amp; Nat Resource Sci, Fac Sci &amp; Technol, Bangi 43600, Selangor, Malaysia; [Ahamad, Fatimah; Nadzir, Mohd Shahrul Mohd] Univ Kebangsaan Malaysia, Inst Climate Change, Ctr Trop Climate Change Syst, Bangi 43600, Selangor, Malaysia; [Khan, Md Firoz] Univ Malaya, Dept Chem, Fac Sci, Kuala Lumpur 50603, Malaysia</t>
  </si>
  <si>
    <t>Universiti Kebangsaan Malaysia; Universiti Malaysia Sabah; Universiti Kebangsaan Malaysia; Universiti Kebangsaan Malaysia; Universiti Kebangsaan Malaysia; Universiti Malaya</t>
  </si>
  <si>
    <t>We thank Malaysian Meteorological Department and Department of Environment for supplying the temperature data. Special thanks to the Climate Research Branch of the Meteorological Service of Canada for developing and maintaining the RClimDex software for extreme climate index computations. Special thanks to Dr. Rose NORMAN for proofreading this manuscript. This research was partially supported by Newton-Ungku Omar Grant (XX-2017-002).</t>
  </si>
  <si>
    <t>10.1007/s00376-019-9075-0</t>
  </si>
  <si>
    <t>WOS:000495292800005</t>
  </si>
  <si>
    <t>Wu, Chi-Hua; Hsu, Huang-Hsiung; Chou, Ming-Dah</t>
  </si>
  <si>
    <t>By simulations using a global climate model with and without the Arakan Mountains in the northwest of Myanmar, we demonstrated that this mesoscale meridionally elongated mountain range has a substantial effect on anchoring and enhancing precipitation in the region during the Bay of Bengal (BoB) monsoon onset in late May. In this period, the presence of the Arakan Mountains in the model significantly improves the simulation of the thermal and dynamical atmospheric structure of the monsoon, by substantially enhancing precipitation, deepening the midtropospheric trough and the southwesterly flow over the BoB and strengthening the upper tropospheric anticyclone atop the trough. These mountain-induced changes essentially improve the simulation of the late May Asian summer monsoon transition. Prior to the BoB monsoon onset, the blocking and deflecting effects of the Arakan Mountains on the low-level flow are marked, which enhance the moisture convergence and also probably influence the oceanic forcing over the BoB. As well as the mountain effect on the moisture convergence, inclusion of the Arakan Mountains apparently initiates an upstream troughing effect, which in turn enhances the synoptic and large-scale circulation during the monsoon transition. Furthermore, the presence of the Arakan Mountains induces a large-scale wavelike perturbation, which likely leads to an improvement of Meiyu/Baiu simulation. This study reveals that a narrow mountain like the Arakan Mountains likely contributes markedly to the characteristics of the Asian summer monsoon during its early seasonal march. Such effects need to be reasonably resolved in the models.</t>
  </si>
  <si>
    <t>[Wu, Chi-Hua; Hsu, Huang-Hsiung] Acad Sinica, Res Ctr Environm Changes, Taipei 115, Taiwan; [Chou, Ming-Dah] Natl Cent Univ, Dept Atmospher Sci, Chungli 32054, Taiwan</t>
  </si>
  <si>
    <t>Academia Sinica - Taiwan; National Central University</t>
  </si>
  <si>
    <t>Ministry of Science and Technology, Taiwan(Ministry of Science and Technology, Taiwan); MOST</t>
  </si>
  <si>
    <t>This work was supported by the Ministry of Science and Technology, Taiwan, under grant MOST 100-2119M-001-029-MY5 (CHW, HHH) and MOST 100-2811-M-008-078 (MDC). The authors are grateful for the models CESM (http://www.cesm.ucar.edu) of the National Center for Atmospheric Research (NCAR) and SPEEDY from the International Centre for Theoretical Physics (ICTP, http://www.ictp.it/research/esp/models/speedy.aspx), and the data sets available from the Tropical Rainfall Measuring Mission (TRMM, http://trmm.gsfc.nasa.gov/), National Centers for Environmental Prediction (NCEP) Climate Forecast System Reanalysis (CFSR, http://cfs.ncep.noaa.gov/cfsr/), and the U.S. Geological Survey (USGS, http://www.usgs.gov). We also thank the anonymous reviewers and the Editor L. Ruby Leung for their constructive comments and suggestions, Ms. Hai-Wei Lin for preparing schematic diagram, and the National Center for High-performance Computing for computer time and facilities.</t>
  </si>
  <si>
    <t>10.1002/2014JD022024</t>
  </si>
  <si>
    <t>WOS:000344052800010</t>
  </si>
  <si>
    <t>Scheiber, Leon; David, Christoph Gabriel; Jalloul, Mazen Hoballah; Visscher, Jan; Nguyen, Hong Quan; Leitold, Roxana; Diez, Javier Revilla; Schlurmann, Torsten</t>
  </si>
  <si>
    <t>Urban flooding is a major challenge for many megacities in low-elevation coastal zones (LECZs), especially in Southeast Asia. In these regions, the effects of environmental stressors overlap with rapid urbanization, which significantly aggravates the hazard potential. Ho Chi Minh City (HCMC) in southern Vietnam is a prime example of this set of problems and therefore a suitable case study to apply the concept of low-regret disaster risk adaptation as defined by the Intergovernmental Panel on Climate Change (IPCC). In order to explore and evaluate potential options of hazard mitigation, a hydro-numerical model was employed to scrutinize the effectiveness of two adaptation strategies: (1) a classic flood protection scheme including a large-scale ring dike as currently constructed in HCMC and (2) the widespread installation of small-scale rainwater detention as envisioned in the framework of the Chinese Sponge City Program (SCP). A third adaptation scenario (3) assesses the combination of both approaches (1) and (2). From a hydrological point of view, the reduction in various flood intensity proxies that were computed within this study suggests that large-scale flood protection is comparable but slightly more effective than small-scale rainwater storage: for instance, the two adaptation options could reduce the normalized flood severity index (INFS), which is a measure combining flood depth and duration, by 17.9% and 17.7 %, respectively. The number of flood-prone manufacturing firms that would be protected after adaptation, in turn, is nearly 2 times higher for the ring dike than for the Sponge City approach. However, the numerical results also reveal that both response options can be implemented in parallel, not only without reducing their individual effectiveness but also complementarily with considerable added value. Additionally, from a governance perspective, decentralized rainwater storage conforms ideally to the low-regret paradigm: while the existing large-scale ring dike depends on a binary commitment (to build or not to build), decentralized small- and micro-scale solutions can be implemented gradually (for example through targeted subsidies) and add technical redundancy to the overall system. In the end, both strategies are highly complementary in their spatial and temporal reduction in flood intensity. Local decision-makers may hence specifically seek combined strategies, adding to singular approaches, and design multi-faceted adaptation pathways in order to successfully prepare for a deeply uncertain future.</t>
  </si>
  <si>
    <t>[Scheiber, Leon; Jalloul, Mazen Hoballah; Visscher, Jan; Schlurmann, Torsten] Leibniz Univ Hannover, Ludwig Franzius Inst Hydraul Estuarine &amp; Coastal E, D-30167 Hannover, Germany; [David, Christoph Gabriel] Tech Univ Carolo Wilhelmina Braunschweig, Leichtweiss Inst Hydraul Engn &amp; Water, Div Hydromech Coastal &amp; Ocean Engn, D-38106 Braunschweig, Germany; [David, Christoph Gabriel] Tech Univ Carolo Wilhelmina Braunschweig, Leichtweiss Inst Hydraul Engn &amp; Water Resources, Jr Res Grp Future Urban Coastlines, D-38106 Braunschweig, Germany; [Nguyen, Hong Quan] Vietnam Natl Univ Ho Chi Minh City, Inst Circular Econ Dev, Ho Chi Minh City 700000, Vietnam; [Nguyen, Hong Quan] Vietnam Natl Univ Ho Chi Minh City, Inst Environm &amp; Resources, Ho Chi Minh City 700000, Vietnam; [Leitold, Roxana; Diez, Javier Revilla] Univ Cologne, Inst Geog, D-50923 Cologne, Germany; [Leitold, Roxana; Diez, Javier Revilla] Univ Cologne, Global South Studies Ctr, D-50923 Cologne, Germany</t>
  </si>
  <si>
    <t>Leibniz University Hannover; Braunschweig University of Technology; Braunschweig University of Technology; Vietnam National University Hochiminh City; Vietnam National University Hochiminh City; University of Cologne; University of Cologne</t>
  </si>
  <si>
    <t>DECIDER project by the German Federal Ministry of Education and Research (BMBF)(Federal Ministry of Education &amp; Research (BMBF)); Deutsche Forschungsgemein-schaft (DFG, German Research Foundation)(German Research Foundation (DFG))</t>
  </si>
  <si>
    <t>This research has received funding from the DECIDER project sponsored by the German Federal Ministry of Education and Research (BMBF; grant no. 01LZ1703H). C. Gabriel David is funded by the Deutsche Forschungsgemein-schaft (DFG, German Research Foundation) under Germany's Excellence Strategy (grant no. UP 8/1).</t>
  </si>
  <si>
    <t>JUN 26</t>
  </si>
  <si>
    <t>10.5194/nhess-23-2333-2023</t>
  </si>
  <si>
    <t>WOS:001019821100001</t>
  </si>
  <si>
    <t>Nevat, Ido; Mughal, M. O.; Li, Xian-Xiang; Philipp, Conrad H.; Aydt, Heiko</t>
  </si>
  <si>
    <t>In this paper we combine statistical modelling and climate models in order to develop a unified statistical framework for quantifying the Urban Heat Footprint (UHF) effect, thus quantifying the urban warming phenomenon. The UHF quantifies the urban warming at any location in the spatio-temporal domain due to different effects, such as anthropogenic effects and climatic effects. These effects can be controlled and configured by our modelling approach, thus allowing the evaluation of different scenarios of interest. We first provide a definition of UHF followed by definitions of the Anthropogenic Effects (AE) components. Then, based on those definitions, we define the fundamental quantity of UHF spatial-temporal stochastic (random) processes. Next, we propose several metrics for quantifying and summarising the UHF, which are statistical estimators. These provide insightful summaries of the population parameters of the UHF stochastic process, and can be easily calculated in practice. To illustrate how our framework can be used, we utilise a Weather Research and Forecasting (WRF) model, and provide detailed examples of various UHF metrics, based on real data of Singapore.</t>
  </si>
  <si>
    <t>[Nevat, Ido] TUMCREATE, Cooling Singapore, Singapore, Singapore; [Mughal, M. O.; Li, Xian-Xiang] SMART Ctr, Singapore MIT Alliance Res &amp; Technol, Cooling Singapore, Singapore, Singapore; [Philipp, Conrad H.; Aydt, Heiko] Singapore ETH Ctr SEC, Cooling Singapore, Singapore, Singapore</t>
  </si>
  <si>
    <t>Singapore-MIT Alliance for Research &amp; Technology Centre (SMART)</t>
  </si>
  <si>
    <t>Singapore's National Research Foundation (NRF) under its Virtual Singapore programme</t>
  </si>
  <si>
    <t>The research was conducted under the Cooling Singapore project, funded by Singapore's National Research Foundation (NRF) under its Virtual Singapore programme. Cooling Singapore is a collaborative project led by the Singapore-ETH Centre (SEC), with the Singapore-MIT Alliance for Research and Technology (SMART), TUMCREATE (established by the Technical University of Munich), the National University of Singapore (NUS), and the Agency for Science, Technology and Research (A*STAR).</t>
  </si>
  <si>
    <t>10.1007/s00704-019-03044-y</t>
  </si>
  <si>
    <t>WOS:000516124200001</t>
  </si>
  <si>
    <t>Castillo, Jane Salvador; Nozaleda, Bryan M.</t>
  </si>
  <si>
    <t>Several studies argued that the inclination of individuals to participate in activities aiming at environmental conservation emanates from their degree of awareness of the existing problem. Hence, this study examined the level of awareness of students of Batanes State College, Philippines, towards climate change and compare their knowledge to the individual backgrounds. The researchers used a survey questionnaire as the primary tool for gathering data. Mean and percentage were used to describe the profile of the respondents and their awareness of climate change while Chi-Square Test was used to determine the significant difference in the awareness of the respondents in terms of their profile. The results showed that the students demonstrated a moderate level of awareness of the occurrences, causes and consequences of climate change. When compared against their personal backgrounds, the result revealed that there is no significant difference in their level of climate change awareness. This moderate level of awareness towards climate change, despite the harsh weather conditions frequently experienced in Batanes, calls for intensifying the school's efforts in raising awareness of the occurrence, consequences, and causes of climate change. Consequently, these actions will eventually improve the attitude and behaviour of the students to take active participation in the protection of the environment.</t>
  </si>
  <si>
    <t>[Castillo, Jane Salvador] Batanes State Coll, Basco, Batanes, Philippines; [Nozaleda, Bryan M.] Cagayan State Univ, Tuguegarao City, Philippines</t>
  </si>
  <si>
    <t>Cagayan State University</t>
  </si>
  <si>
    <t>10.3233/JCC220020</t>
  </si>
  <si>
    <t>WOS:000849737700006</t>
  </si>
  <si>
    <t>Zglinicki, Karol; Malek, Rafal; Szamalek, Krzysztof; Wolkowicz, Stanislaw</t>
  </si>
  <si>
    <t>The European Commission has adopted the European Green Deal strategy, which aims to achieve climate neutrality in the EU by 2050. To achieve this goal, it is necessary to shift the economy toward the use of green and renewable energy. Critical raw materials (CRMs), Li, Co, REE, Te, Sc and others, are used in renewable energy sources (RES) production. The EU lacks its own CRM deposits, and additionally, the access to already identified deposits is limited, which is making the EU countries search for alternative CRM sources. One such source of CRMs may be mining waste generated on the Indonesian island of Bangka as a result of processing cassiterite-bearing sands. Studies of the mineral composition of the waste using the XRD method reveal rich contents of xenotime (0.79-17.55 wt%), monazite (1.55-21.23 wt%), zircon (1.87-64.35 wt%) and other minerals, carriers of valuable metals, such as Sn, Ti, Nb, Ta. The point mineral chemistry analyses were performed using EPMA. Xenotime is the main carrier of heavy rare earth elements (HREE), especially the most critical HREEs: Gd2O3 (1.42-7.16 wt%), Dy2O3 (2.28-11.21 wt%), Er2O3 (2.44-7.85 wt%), and Yb2O3 (1.71-7.10 wt%). Xenotime is characterized by a complex internal structure resulting from metasomatic processes occurring during their formation. In SEM-BSE imaging, they show zonation of internal structure, which is the effect of an HREE, Y, Si and U substitution in the crystal structure. On the other hand, thorite ThSiO4 and uranothorite (Th,U)SiO4 inclusions are present in xenotimes. The ICP-MS/ES studies of tailings reveal very high contents of HREE + Y (up to 7.58 wt%), U (up to 0.11), Th (up to 0.75 wt%) and Sc (132 ppm). A CRM source diversification is part of the strategy to ensure the security of raw materials for countries of the European Union and the green transformation of the continent. Bilateral EU-Indonesia cooperation in the geological exploration and development of primary and secondary sources may contribute to an increase in the supply of HREEs to the global market.</t>
  </si>
  <si>
    <t>[Zglinicki, Karol; Malek, Rafal; Szamalek, Krzysztof; Wolkowicz, Stanislaw] Polish Geol Inst, Natl Res Inst, PL-00975 Warsaw, Poland; [Szamalek, Krzysztof] Univ Warsaw, Fac Geol, Zwirki i Wigury 93, PL-02089 Warsaw, Poland</t>
  </si>
  <si>
    <t>Polish Geological Institute - National Research Institute; University of Warsaw</t>
  </si>
  <si>
    <t>10.3390/min12010044</t>
  </si>
  <si>
    <t>WOS:000757308300001</t>
  </si>
  <si>
    <t>Takemura, Kazuto; Shimpo, Akihiko</t>
  </si>
  <si>
    <t>Herein, (i) the remote influence of positive Indian Ocean Dipole (P-IOD) events in enhancing Tibetan High and (ii) its impact on the East Asian climate, from July to September, is analyzed based on composite analysis and linear baroclinic model experiment. In the equatorial Indian Ocean, convective activity enhances over the western part and suppresses over the eastern, which is associated with the zonal contrast of the sea surface temperature anomaly during P-IOD events. A lower-tropospheric clockwise circulation anomaly is evident from the eastern equatorial Indian Ocean where the suppressed convection is seen to the Indochina Peninsula. The streamlines arrive at the seas east of the Philippines, contributing to the enhancement of the monsoon trough. In the upper troposphere, crucial divergence anomaly over a wide area in the western North Pacific and the associated stronger-than-normal northward divergent winds toward East Asia cause strong northward negative-vorticity advection over the northern part of East Asia, contributing to the northeastward extension of the Tibetan High. This circulation anomaly contributes to both the significantly hot conditions in boreal summer and the late-summer heat over East Asia.</t>
  </si>
  <si>
    <t>[Takemura, Kazuto; Shimpo, Akihiko] Japan Meteorol Agcy, Climate Predict Div, Tokyo, Japan; [Takemura, Kazuto] Meteoml Res Inst, Tsukuba, Ibaraki, Japan</t>
  </si>
  <si>
    <t>Japan Meteorological Agency</t>
  </si>
  <si>
    <t>APR 6</t>
  </si>
  <si>
    <t>10.2151/sola.2019-015</t>
  </si>
  <si>
    <t>WOS:000464128100001</t>
  </si>
  <si>
    <t>Tan Hong-jian; Cai Rong-shuo</t>
  </si>
  <si>
    <t>El Nino Modoki, similar to but different from canonical El Nino, has been observed since the late 1970s. In this paper, using HadISST and NCEP/NCAR wind data, we analyze the relationship between El Nino Modoki and Sea Surface Temperature (SST) in the offshore area of China and its adjacent waters for different seasons. Our results show a significant negative correlation between El Nino Modoki in summer and SST in autumn in the offshore area of China and its adjacent waters, particularly for regions located in the east of the Kuroshio. It is also found that during El Nino Modoki period, anomalous northerlies prevail over the regions from the northern part of the Philippines to the offshore area of China, indicating that the northerlies are unfavorable for the transport of warm water from the western tropical Pacific to the mid-latitude area. Consequently, El Nino Modoki in summer may play a substantial role in cold SST anomalies in the offshore area of China and its adjacent waters in autumn through the influence of the Kuroshio, with a lagged response of the ocean to the atmospheric wind field.</t>
  </si>
  <si>
    <t>[Tan Hong-jian; Cai Rong-shuo] State Ocean Adm, Inst Oceanog 3, Key Lab Global Change &amp; Marine Atmospher Chem, Xiamen 361005, Peoples R China; [Tan Hong-jian; Cai Rong-shuo] Chinese Acad Sci, Inst Atmospher Phys, Ctr Monsoon Syst Res, Beijing 100190, Peoples R China</t>
  </si>
  <si>
    <t>Third Institute of Oceanography, Ministry of Natural Resources; Chinese Academy of Sciences; Institute of Atmospheric Physics, CAS</t>
  </si>
  <si>
    <t>Special Scientific Research Project for Public Welfare; National Special Project: Chinese Offshore Investigation and Assessment</t>
  </si>
  <si>
    <t>Special Scientific Research Project for Public Welfare (201006021, 201005019); Youth Foundation of Chinese State Oceanic Administration (2013257); Scientific Research Foundation of Third Institute of Oceanography, SOA (TIO2013002; TIO2013003); National Special Project: Chinese Offshore Investigation and Assessment (908-02-01-02)</t>
  </si>
  <si>
    <t>WOS:000332591400001</t>
  </si>
  <si>
    <t>Prasetya, Tofan Agung Eka; Munawar; Chesoh, Sarawuth; Lim, Apiradee; McNeil, Don</t>
  </si>
  <si>
    <t>Land surface temperature (LST) is one of the important factors in the physics of land surface processes to ensure the temperature change in the environment. Sumatra is one of the biggest islands in Indonesia that is suffering from deforestation. The objective of this study was to determine LST changes in Sumatra Island from 2000-2019. LST-day data for each region of Sumatra island were analyzed with cubic spline to see the seasonal pattern and get the LST changing value. The highest LST-day change was in the central region of Sumatra Island which was 0.3842 degrees C/decade (Z: 8.51, 95% CI: 0.296, 0.473). The lowest LST-day change was in the central north region of Sumatra Island which was -0.1574 degrees C/decade (Z: -3.022, 95% CI: -0.2596, -0.055). The overall LST-day change was 0.1621 degrees C/decade (Z: -3.022, 95% CI: -0.2596, -0.055).</t>
  </si>
  <si>
    <t>[Prasetya, Tofan Agung Eka; Munawar; Chesoh, Sarawuth; Lim, Apiradee; McNeil, Don] Prince Songkla Univ, Fac Sci &amp; Technol, Dept Math &amp; Comp Sci, Res Methodol, Pattani Campus, Muang Pattani 94000, Thailand; [Prasetya, Tofan Agung Eka] Univ Airlangga, Fac Vocat Studies, Hlth Dept, Jl Dharmawangsa Dalam Selatan 68, Surabaya, East Java, Indonesia; [Munawar] Syiah Kuala Univ, Fac Math &amp; Sci, Stat Dept, Jl Syech Abd Rauf, Banda Aceh 23111, Aceh, Indonesia</t>
  </si>
  <si>
    <t>Prince of Songkla University; Airlangga University; Universitas Syiah Kuala</t>
  </si>
  <si>
    <t>Prince of Songkla University</t>
  </si>
  <si>
    <t>The authors appreciations for The Thailand's Education Hub for the Southern Region of ASEAN Countries (TEH-AC), Universitas Airlangga and Prince of Songkla University Graduate School Research Grant.</t>
  </si>
  <si>
    <t>10.3233/JCC200001</t>
  </si>
  <si>
    <t>WOS:000516763300002</t>
  </si>
  <si>
    <t>Cruz, Faye T.; Sasaki, Hidetaka</t>
  </si>
  <si>
    <t>This study evaluates the performance of the Non-hydrostatic Regional Climate Model (NHRCM) in simulating the present climate over Southeast Asia to determine its applicability in down-scaling climate projections in the region. Simulations from 1989 to 2008 are conducted over the region at 25-km resolution using boundary conditions from the ECMWF ERA-Interim dataset. The topographic effect on rainfall is well represented in NHRCM but can result in wet (dry) biases in the windward (leeward) side of mountains. NHRCM is able to reduce the overestimated rainfall in ERA-Interim, particularly over eastern Philippines and in the Maritime Continent, with improvements in spatial patterns. Both seasonality and daily distribution of rainfall are represented in most regions. On the other hand, there is a tendency to underestimate the number of wet days, especially during the respective wet season of the subregion, and to overestimate daily rainfall intensity. NHRCM also has an overall cold model bias, which reduces the warm bias in ERA-Interim, except for some parts of Indochina during boreal winter and spring. These results indicate the improved representation of present climate in Southeast Asia using NHRCM, and its potential applicability in down-scaling climate projections to increase projected climate scenarios for the region.</t>
  </si>
  <si>
    <t>[Cruz, Faye T.] Manila Observ, Reg Climate Syst Program, Quezon City, Philippines; [Sasaki, Hidetaka] Meteorol Res Inst, Atmospher Environm &amp; Appl Meteorol Res Dept, Tsukuba, Ibaraki, Japan</t>
  </si>
  <si>
    <t>Meteorological Research Institute - Japan</t>
  </si>
  <si>
    <t>JSPS KAKENHI Grant(Ministry of Education, Culture, Sports, Science and Technology, Japan (MEXT)Japan Society for the Promotion of ScienceGrants-in-Aid for Scientific Research (KAKENHI)); SOUSEI program of the Ministry of Education, Culture, Sports, Science and Technology of Japan; Grants-in-Aid for Scientific Research(Ministry of Education, Culture, Sports, Science and Technology, Japan (MEXT)Japan Society for the Promotion of ScienceGrants-in-Aid for Scientific Research (KAKENHI))</t>
  </si>
  <si>
    <t>F. Cruz is an International Research Fellow of the Japan Society for the Promotion of Science. This work was supported by JSPS KAKENHI Grant Number 15F15028. This work was also partially supported by the SOUSEI program of the Ministry of Education, Culture, Sports, Science and Technology of Japan. The authors thank J. X. Chung, N. Ishizaki, H. Kawase, and M. Villafuerte for their help with scripts used in this study. The authors are also grateful to our editor and reviewers, and for the helpful discussions with I. Takayabu, A. Murata and M. Oh'izumi. The Global 30 Arc-Second Elevation Data Set (GTOPO30) is accessed using the Spatial Data Access Tool of the Distributed Active Archive Center for Biogeochemical Dynamics of the Oak Ridge National Laboratory (ORNL DAAC).</t>
  </si>
  <si>
    <t>10.2151/sola.2017-003</t>
  </si>
  <si>
    <t>WOS:000397155600005</t>
  </si>
  <si>
    <t>Ng, Benjamin; Cai, Wenju</t>
  </si>
  <si>
    <t>A prominent feature of the Indian Ocean Dipole (IOD) is its positive skewness, where positive phases tend to be stronger in amplitude than the negative phase. Positive IOD events are associated with devastating floods over parts of East Africa and India, while Australia and Indonesia experience dry conditions. Under greenhouse warming, climate models project a weakening of the positive IOD skewness, but their simulation of present-day skewness is too weak. Here we show that this bias and the projected skewness change are related to the simulation of the climatological zonal wind in the central equatorial Indian Ocean. In particular, models with overly weak present-day westerlies, which is a common model bias, generate overly weak present-day skewness and a smaller projected reduction in skewness. Improving the ability of models in simulating stronger westerly winds may lead to stronger present-day simulated skewness and a larger skewness reduction in a warmer climate.</t>
  </si>
  <si>
    <t>[Ng, Benjamin; Cai, Wenju] CSIRO Marine &amp; Atmospher Res, Aspendale, Vic, Australia</t>
  </si>
  <si>
    <t>Australian Climate Change Science Program; CSIRO Office of the Chief Executive Science Leader award</t>
  </si>
  <si>
    <t>W.C. and B.N. are supported by the Australian Climate Change Science Program and a CSIRO Office of the Chief Executive Science Leader award. We acknowledge the World Climate Research Programme's Working Group on Coupled Modelling, which is responsible for CMIP, and we thank the climate modeling groups for producing and making available their model output. We also thank the European Centre for Medium-Range Weather Forecasts for making their reanalysis output available. The model data used in this work are available online from the CMIP5 data portal, and the observational data are available online from the ECMWF. We thank two anonymous reviewers for their valuable comments in improving this paper.</t>
  </si>
  <si>
    <t>10.1002/2016GL071208</t>
  </si>
  <si>
    <t>WOS:000389305000043</t>
  </si>
  <si>
    <t>Ueda, Hiroaki; Kibe, Ayumi; Saitoh, Mika; Inoue, Tomoshige</t>
  </si>
  <si>
    <t>In this study, the causes of inter-annual variability of wintertime snowfall in the coastal plain facing the Sea of Japan over the past 33 years (1980-2012) are investigated. The observational evidence showed that intensified cold air intrusion from the Eurasian continent towards Japan in combination with anomalous cyclonic circulation favours in situ heavy snowfall. The composite analysis of the tropical convection during the heavy snow winters indicates that enhancement of convection in the vicinity of the Philippines, including the eastern Indian Ocean, is responsible for the emergence of anti-cyclonic circulation over the Asian continent and subsequent anomalous cyclonic circulation around Japan. Idealized experiments by use of the linear baroclinic model (LBM) were conducted to elucidate the origin of the teleconnection. We put idealized diabatic heating in the LBM under the wintertime atmospheric circulation and examined the heat-induced response. The experimental results clearly indicated that the intensified convection over the maritime continents and the neighbouring oceans is primarily responsible for the pair of the anti-cyclonic and cyclonic circulation. Thus, a study of the predictability of the tropical forcing may shed light on the predictable dynamics of snowy winters in Japan.</t>
  </si>
  <si>
    <t>[Ueda, Hiroaki; Kibe, Ayumi; Saitoh, Mika] Univ Tsukuba, Grad Sch Life &amp; Environm Sci, Tsukuba, Ibaraki, Japan; [Inoue, Tomoshige] Japan Agcy Marine Earth Sci &amp; Technol, Res Inst Global Change, Yokosuka, Kanagawa 2370061, Japan</t>
  </si>
  <si>
    <t>University of Tsukuba; Japan Agency for Marine-Earth Science &amp; Technology (JAMSTEC)</t>
  </si>
  <si>
    <t>SOUSEI Program of the Ministry of Education, Culture, Sports, Science, and Technology of Japan; Ministry of the Environment(Ministry of the Environment, Japan)</t>
  </si>
  <si>
    <t>This work was supported by the Global Environment Research Fund (A1201) of the Ministry of the Environment. We also acknowledge Development of Basic Technology for Risk Information on Climate Change supported by the SOUSEI Program of the Ministry of Education, Culture, Sports, Science, and Technology of Japan. We thank to M. Watanabe for providing the LBM. The authors would like to thank A. Kumai and S. Watanabe for their technical assistance about the computation of atmospheric heating.</t>
  </si>
  <si>
    <t>10.1002/joc.4032</t>
  </si>
  <si>
    <t>WOS:000353987800015</t>
  </si>
  <si>
    <t>Jun, Changhyun; Qin, Xiaosheng; Gan, Thian Yew; Tung, Yeou-Koung; De Michele, Carlo</t>
  </si>
  <si>
    <t>This study presents a storm-event based bivariate frequency analysis approach to determine design rainfalls in which, the number, intensity and duration of actual rainstorm events were considered. To derive more realistic design storms, the occurrence probability of an individual rainstorm event was determined from the joint distribution of storm intensity and duration through a copula model. Hourly rainfall data were used at three climate stations respectively located in Singapore, South Korea and Canada. It was found that the proposed approach could give a more realistic description of rainfall characteristics of rainstorm events and design rainfalls. As results, the design rainfall quantities from actual rainstorm events at the three studied sites are consistently lower than those obtained from the conventional rainfall depth-duration-frequency (DDF) method, especially for short-duration storms (such as 1-h). It results from occurrence probabilities of each rainstorm event and a different angle for rainfall frequency analysis, and could offer an alternative way of describing extreme rainfall properties and potentially help improve the hydrologic design of stormwater management facilities in urban areas. (C) 2017 Elsevier B.V. All rights reserved.</t>
  </si>
  <si>
    <t>[Jun, Changhyun; Qin, Xiaosheng] Nanyang Technol Univ, Sch Civil &amp; Environm Engn, Singapore 639798, Singapore; [Qin, Xiaosheng] Nanyang Technol Univ, NEWRI, EPMC, Singapore 637141, Singapore; [Gan, Thian Yew] Univ Alberta, Dept Civil &amp; Environm Engn, Edmonton, AB T6G 2W2, Canada; [Tung, Yeou-Koung] Natl Chiao Tung Univ, Disaster Prevent &amp; Water Environm Res Ctr, Hsinchu 300, Taiwan; [De Michele, Carlo] Politecn Milan, Dept Civil &amp; Environm Engn, I-20133 Milan, Italy</t>
  </si>
  <si>
    <t>Nanyang Technological University; Nanyang Technological University; University of Alberta; National Yang Ming Chiao Tung University; Polytechnic University of Milan</t>
  </si>
  <si>
    <t>Ministry of Education (MOE), Singapore(Ministry of Education, Singapore); Nanyang Technological University (NTU)(Nanyang Technological University)</t>
  </si>
  <si>
    <t>This work was supported by Academic Research Fund Tier 1 (Ref188/14; WBS no.: M4011420.030) from Ministry of Education (MOE), Singapore, and in part by Nanyang Technological University (NTU) Start-Up Grant (WBS: M4081327.030). The authors also deeply appreciate the data support from the City of Edmonton.</t>
  </si>
  <si>
    <t>10.1016/j.jhydrol.2017.08.004</t>
  </si>
  <si>
    <t>WOS:000412612700029</t>
  </si>
  <si>
    <t>Alexander, Cici; Korstjens, Amanda H.; Hill, Ross A.</t>
  </si>
  <si>
    <t>Mapping and monitoring tropical rainforests and quantifying their carbon stocks are important, both for devising strategies for their conservation and mitigating the effects of climate change. Airborne Laser Scanning (ALS) has advantages over other remote sensing techniques for describing the three-dimensional structure of forests. This study identifies forest patches using ALS-based structural attributes in a tropical rainforest in Sumatra, Indonesia. A method to group trees with similar attributes into forest patches based on Thiessen polygons and k-medoids clustering is developed, combining the advantages of both raster and individual tree-based methods. The structural composition of the patches could be an indicator of habitat type and quality. The patches could also be a basis for developing allometric models for more accurate estimation of carbon stock than is currently possible with generalised models. (C) 2016 Elsevier B.V. All rights reserved.</t>
  </si>
  <si>
    <t>[Alexander, Cici; Korstjens, Amanda H.; Hill, Ross A.] Bournemouth Univ, Dept Life &amp; Environm Sci, Talbot Campus, Poole BH12 5BB, Dorset, England</t>
  </si>
  <si>
    <t>Bournemouth University</t>
  </si>
  <si>
    <t>EU(European Union (EU)); LEAP (Landscape Ecology and Primatology) project; Marie Curie Actions (MSCA)(Marie Curie Actions)</t>
  </si>
  <si>
    <t>This research has received funding through EU Marie Sklodowska-Curie Actions (H2020-MSCA-IF-2014) under grant agreement no [657607], and is part of the LEAP (Landscape Ecology and Primatology) project. We are grateful to Graham Usher and Gabriella Fredriksson (Sumatran Orangutan Conservation Program) and Johannes Sagala (Sarulla Operations Ltd.) for the Airborne Laser Scanner data, to PT McElhanney for airborne data collection, and initial processing, and to Robert J. McGaughey (USDA) for help with FUSION.</t>
  </si>
  <si>
    <t>0303-2434</t>
  </si>
  <si>
    <t>10.1016/j.jag.2016.11.004</t>
  </si>
  <si>
    <t>WOS:000389165800007</t>
  </si>
  <si>
    <t>Turco, M.; Palazzi, E.; von Hardenberg, J.; Provenzale, A.</t>
  </si>
  <si>
    <t>We quantify climate change hotspots from observations, taking into account the differences in precipitation and temperature statistics (mean, variability, and extremes) between 1981-2010 and 1951-1980. Areas in the Amazon, the Sahel, tropical West Africa, Indonesia, and central eastern Asia emerge as primary observed hotspots. The main contributing factors are the global increase in mean temperatures, the intensification of extreme hot-season occurrence in low-latitude regions and the decrease of precipitation over central Africa. Temperature and precipitation variability have been substantially stable over the past decades, with only a few areas showing significant changes against the background climate variability. The regions identified from the observations are remarkably similar to those defined from projections of global climate models under a business-as-usual scenario, indicating that climate change hotspots are robust and persistent over time. These results provide a useful background to develop global policy decisions on adaptation and mitigation priorities over near-time horizons.</t>
  </si>
  <si>
    <t>[Turco, M.; Palazzi, E.; von Hardenberg, J.] CNR, Inst Atmospher Sci &amp; Climate, Turin, Italy; [Provenzale, A.] CNR, Inst Geosci &amp; Earth Resources, Pisa, Italy</t>
  </si>
  <si>
    <t>Consiglio Nazionale delle Ricerche (CNR); Istituto di Scienze dell'Atmosfera e del Clima (ISAC-CNR); Consiglio Nazionale delle Ricerche (CNR); Istituto di Geoscienze e Georisorse (IGG-CNR)</t>
  </si>
  <si>
    <t>Italian project of Interest NextData of the Italian Ministry for Education, University and Research</t>
  </si>
  <si>
    <t>This work is supported by the Italian project of Interest NextData of the Italian Ministry for Education, University and Research. We acknowledge the NOAA/OAR/ESRL PSD, Boulder, Colorado, USA, for making the data available on their Web site http://www.esrl.noaa.gov/psd/. All the data sets are provided by the NOAA/OAR/ESRL PSD, except the data set Berkeley provided by KNMI Climate Explorer from their website at http://climexp.knmi.nl/.</t>
  </si>
  <si>
    <t>10.1002/2015GL063891</t>
  </si>
  <si>
    <t>WOS:000355878300057</t>
  </si>
  <si>
    <t>Carn, S. A.; Yang, K.; Prata, A. J.; Krotkov, N. A.</t>
  </si>
  <si>
    <t>Uninterrupted, global space-based monitoring of volcanic sulfur dioxide (SO2) emissions is critical for climate modeling and aviation hazard mitigation. We report the first volcanic SO2 measurements using ultraviolet (UV) Ozone Mapping and Profiler Suite (OMPS) nadir mapper data. OMPS was launched on the Suomi National Polar-orbiting Partnership satellite in October 2011. We demonstrate the sensitivity of OMPS SO2 measurements by quantifying SO2 emissions from the modest eruption of Paluweh volcano (Indonesia) in February 2013 and tracking the dispersion of the volcanic SO2 cloud. The OMPS SO2 retrievals are validated using Ozone Monitoring Instrument and Atmospheric Infrared Sounder measurements. The results confirm the ability of OMPS to extend the long-term record of volcanic SO2 emissions based on UV satellite observations. We also show that the Paluweh volcanic SO2 reached the lower stratosphere, further demonstrating the impact of small tropical volcanic eruptions on stratospheric aerosol optical depth and climate.</t>
  </si>
  <si>
    <t>[Carn, S. A.] Michigan Technol Univ, Dept Geol &amp; Mining Engn &amp; Sci, Houghton, MI 49931 USA; [Carn, S. A.] Smithsonian Inst, Dept Mineral Sci, Natl Museum Nat Hist, Washington, DC 20560 USA; [Yang, K.] Univ Maryland, Dept Atmospher &amp; Ocean Sci, College Pk, MD 20742 USA; [Prata, A. J.] Norwegian Inst Air Res, Atmosphere &amp; Climate Dept, Kjeller, Norway; [Krotkov, N. A.] NASA, Goddard Space Flight Ctr, Armospher Chem &amp; Dynam Lab, Greenbelt, MD 20771 USA</t>
  </si>
  <si>
    <t>Michigan Technological University; Smithsonian Institution; Smithsonian National Museum of Natural History; University System of Maryland; University of Maryland College Park; NILU; National Aeronautics &amp; Space Administration (NASA); NASA Goddard Space Flight Center</t>
  </si>
  <si>
    <t>NASA(National Aeronautics &amp; Space Administration (NASA)); NASA(National Aeronautics &amp; Space Administration (NASA))</t>
  </si>
  <si>
    <t>We acknowledge NASA's support for this work through grants NNX11AK95G (Continuation of Long-Term Sulfur Dioxide EDR with the SNPP/OMPS NM) and NNX13AF50G (Multidecadal Sulfur Dioxide Climatology from Satellite Instruments). We thank the NASA-funded SNPP Ozone Product Evaluation and Algorithm Test Element for providing OMPS Level 1B data and gratefully acknowledge the NOAA Air Resources Laboratory for the provision of the HYSPLIT transport and dispersion model and/or READY website (http://www.ready.noaa.gov) used in this publication. Two anonymous reviewers provided thorough reviews that greatly improved the final paper. All satellite data used in this paper can either be accessed for free at the NASA data centers listed herein (AIRS, OMI, CALIOP, and MLS) or can be obtained from the corresponding author (OMPS-NM).</t>
  </si>
  <si>
    <t>FEB 16</t>
  </si>
  <si>
    <t>10.1002/2014GL062437</t>
  </si>
  <si>
    <t>WOS:000351355600032</t>
  </si>
  <si>
    <t>Li, Xiaoqiang; Han, Guilin; Liu, Man; Liu, Jinke; Zhang, Qian; Qu, Rui</t>
  </si>
  <si>
    <t>This work presents the systematic investigation of K contents and stable K isotopic compositions of surface waters, groundwater, wastewaters, suspended particles, bed sediments, and fertilizers in the Upper Mun Rive catchment, northeast Thailand. This area is of particular interest because its abundant potash deposits and intensive agricultural activities and urbanization, therefore this will improve our understanding whether the K isotope is robust enough to resist evaporite dissolution and anthropogenic disturbances on tracing silicate weathering in the highly weathered tropical region. The dissolved loads in surface waters and shallow groundwater display the large variation in 641Kdiss values from -0.54 parts per thousand to +0.09 parts per thousand relative to suspended particles (-0.60 parts per thousand to-0.41 parts per thousand), river bed sediments (-0.54 parts per thousand to-0.47 parts per thousand the upper continental crust (UCC,-0.44 +/- 0.05%), which agrees with the fact that 39K is preferentially retained in weathering products during silicate weathering. The wet and dry seasons difference ranging from-0.05% to +0.10% 641K, which is slightly greater than our long-term analytical uncertainty of +/- 0.06%. There is likely a limited K input from evaporites dissolution due to weak correlation between delta K-41(diss) values and Cl concentrations or Cl/K ratios in the UMR and world rivers, while a major tributary Takhong River is clearly influenced by the contribution of domestic sewage with lower delta K-41 and higher delta N-15 values. Based on a mass balance of K budge, the dissolved K in the UMR is mostly (&gt;90%) derived from silicate weathering in the unpolluted area, this is consistent with previous studies of large river basins, and the evaporite dissolution and other non-silicate sources may not strongly influence dissolved K and delta K-41(diss) values in rivers, even in evaporite-rich catchment. Therefore, K isotopes cannot be used as lithological tracers in catchments, rather the K isotopic fractionation mainly occurs during silicate weathering, such as the formation of secondary minerals which favor light isotope. Hence, the mechanism of K isotopic fractionation linked to secondary minerals K uptake needs further consideration. Overall, these results clearly show that K isotopes could be an ideal indicator to constrain silicate weathering processes and anthropogenic inputs at catchment scale. (C) 2021 Elsevier Ltd. All rights reserved.</t>
  </si>
  <si>
    <t>[Li, Xiaoqiang; Han, Guilin; Liu, Man; Liu, Jinke; Qu, Rui] China Univ Geosci Beijing, Inst Earth Sci, Beijing 100083, Peoples R China; [Zhang, Qian] Chinese Acad Sci, Inst Geog Sci &amp; Nat Resources Res, Beijing 100101, Peoples R China</t>
  </si>
  <si>
    <t>China University of Geosciences; Chinese Academy of Sciences; Institute of Geographic Sciences &amp; Natural Resources Research, CAS</t>
  </si>
  <si>
    <t>This study was financially supported by National Natural Science Foundation of China (No. 41661144029; 41325010). The authors gratefully acknowledge Fairda Malem from the Ministry of Natural Resources and Environment of Thailand for their assistance with field sampling. The authors appreciate Dr. Ye Zhao for providing help with the valuable discussions and four anonymous reviewers for insightful and critical comments. We also appreciate the constructive comments and efficient handling by AE Prof. Jiubin Chen and EE Prof. Jeff Catalano.</t>
  </si>
  <si>
    <t>0016-7037</t>
  </si>
  <si>
    <t>1872-9533</t>
  </si>
  <si>
    <t>GEOCHIM COSMOCHIM AC</t>
  </si>
  <si>
    <t>Geochim. Cosmochim. Acta</t>
  </si>
  <si>
    <t>10.1016/j.gca.2021.10.009</t>
  </si>
  <si>
    <t>WOS:000718563300007</t>
  </si>
  <si>
    <t>Samat, Fazdliana; Singh, Mandeep Jit</t>
  </si>
  <si>
    <t>Site diversity gain prediction models were created to estimate mathematically the acquired benefits from the implementation of site diversity at place of choice. This work contributes to the comparison of existing gain prediction model to the gain of measured attenuation at Cyberjaya and Rawang, Malaysia. The experiment has been conducted for 4 years from 2014 to 2017, in Ka band using a large 7.3-m diameter antenna and a high elevation angle of 68.8 degrees, together with the rain analysis at both places for the same duration. The average monthly rainfall and attenuation for 4 years were presented. The results revealed that prediction model Hodge performs better than other models, while X. Yeo and Panagopoulos models appear to exhibit very similar graph shape to the measured gain data. More research on gain development in tropical region should be conducted, as the existing prediction model appears to be less consistent with the current data.</t>
  </si>
  <si>
    <t>[Samat, Fazdliana; Singh, Mandeep Jit] Univ Kebangsaan Malaysia, Fac Engn &amp; Built Environm, Dept Elect Elect &amp; Syst Engn, Bangi 43600, Malaysia; [Singh, Mandeep Jit] Univ Kebangsaan Malaysia, Space Sci Ctr ANGKASA, Inst Climate Change, Bangi 43600, Malaysia</t>
  </si>
  <si>
    <t>10.1007/s11600-020-00451-y</t>
  </si>
  <si>
    <t>WOS:000539193800001</t>
  </si>
  <si>
    <t>Zhang, Chao; Jia, XiaoJing</t>
  </si>
  <si>
    <t>The current work investigated the seasonal evolution of the Tibetan Plateau (TP) snow cover (TPSC) induced atmospheric moisture anomalies from May to August, by analyzing TP snow-diabatic and TP snow-hydrological processes during the 1979-2020 period using both observational data and a baroclinic atmospheric model. The results show that the TPSC and its related atmospheric moisture are featured by a westward retreat from the eastern TP in May to the western TP in August. The TPSC variation related atmospheric apparent heat source shows that excessive TPSC can cause local diabatic cooling to the above atmosphere and can be attributed to a local cyclonic pattern in the upper troposphere. This cyclonic pattern also moves westward along with the seasonal evolution of the TP snow during this period. Anomalous TP snow can impact atmospheric moisture through snow melt and snow evaporating process. Associated with the changes in TP snow, its related anomalous atmospheric moisture and circulations, significant moisture divergence appears over the mid-eastern Himalaya during May and June (MJ) and the water vapor is mainly transported from the Himalaya to southeastern TP regions including Bhutan, Myanmar, Bengal and eastern India. Differently, during July and August (JA), significant atmospheric moisture divergence is located over the mid-western Himalaya, and the water vapor is mostly transported from the Himalaya to southwestern TP areas including Nepal and western India. Further analysis shows that the TPSC anomaly induced anomalous atmospheric moisture accounts for 22%-45% of the climatological moisture for the mid-eastern Himalaya during MJ, whereas it accounts for 65%-78% of the climatological moisture for the mid-western Himalaya during JA.</t>
  </si>
  <si>
    <t>[Zhang, Chao; Jia, XiaoJing] Zhejiang Univ, Sch Earth Sci, Key Lab Geosci Big Data &amp; Deep Resource Zhejiang, Hangzhou, Peoples R China; [Zhang, Chao] Fudan Univ, Dept Atmospher &amp; Ocean Sci, Shanghai, Peoples R China; [Zhang, Chao] Fudan Univ, Inst Atmospher Sci, Shanghai, Peoples R China</t>
  </si>
  <si>
    <t>Zhejiang University; Fudan University; Fudan University</t>
  </si>
  <si>
    <t>This research is funded by the National Natural Science Foundation of China (Grant No. 42075050).</t>
  </si>
  <si>
    <t>JUN 16</t>
  </si>
  <si>
    <t>10.1029/2022JD036560</t>
  </si>
  <si>
    <t>WOS:000811134500001</t>
  </si>
  <si>
    <t>Liu, Yong; Chen, Huopo; Wang, Huijun; Qiu, Yubao</t>
  </si>
  <si>
    <t>The changing characteristics of lake ice phenology over the Tibetan Plateau (TP) are investigated using historical satellite retrieved datasets during 2002-15 in this study. The results indicate that the freezing process mainly starts in December, and the ice melting process generally occurs in April for most lakes. However, the changes in lake ice phenology have varied depending on the location in recent years, with delayed break-up dates and prolonged ice durations in the southern TP, but no consistent changes have occurred in the lakes in the northern TP. Further analysis presents a close connection between the variation in the lake ice break-up date/ice duration over the southern TP and the winter North Atlantic Oscillation (NAO). The positive NAO generally excites an anomalous wave activity that propagates southward from the North Atlantic to North Africa and, in turn, strengthens the African-Asian jet stream at its entrance. Because of the blocking effect of the TP, the enhanced westerly jet can be divided into two branches and the south branch flow can deepen the India-Myanmar trough, which further strengthens the anomalous cyclonic circulation and water vapor transport. Therefore, the increased water vapor transport from the northern Indian Ocean to the southern region of the TP can increase the snowfall over this region. The increased snow cover over the lake acts as an insulating layer and lowers the lake surface temperature in the following spring by means of snow-ice feedback activity, resulting in a delayed ice break-up date and the increased ice duration of the lakes over the southern TP in recent years.</t>
  </si>
  <si>
    <t>[Liu, Yong; Chen, Huopo; Wang, Huijun] Chinese Acad Sci, Inst Atmospher Phys, Nansen Zhu Int Res Ctr, Beijing, Peoples R China; [Liu, Yong] Univ Chinese Acad Sci, Beijing, Peoples R China; [Chen, Huopo; Wang, Huijun] Nanjing Univ Informat Sci &amp; Technol, Collaborat Innovat Ctr Forecast &amp; Evaluat Meteoro, Nanjing, Jiangsu, Peoples R China; [Qiu, Yubao] Chinese Acad Sci, Inst Remote Sensing &amp; Digital Earth, Digital Earth Lab, Beijing, Peoples R China</t>
  </si>
  <si>
    <t>Chinese Academy of Sciences; Institute of Atmospheric Physics, CAS; Chinese Academy of Sciences; University of Chinese Academy of Sciences, CAS; Nanjing University of Information Science &amp; Technology; Chinese Academy of Sciences; The Institute of Remote Sensing &amp; Digital Earth, CAS</t>
  </si>
  <si>
    <t>Strategic Priority Research Program of the Chinese Academy of Sciences(Chinese Academy of Sciences); National Natural Science Foundation of China(National Natural Science Foundation of China (NSFC)); CAS-PKU Joint Research Program</t>
  </si>
  <si>
    <t>This research was jointly supported by the Strategic Priority Research Program of the Chinese Academy of Sciences (Grant XDA19070201), the National Natural Science Foundation of China (Grant 41421004), and the CAS-PKU Joint Research Program.</t>
  </si>
  <si>
    <t>10.1175/JCLI-D-18-0197.1</t>
  </si>
  <si>
    <t>WOS:000447362300001</t>
  </si>
  <si>
    <t>Thanh Noi Phan; Kappas, Martin; Khac Thoi Nguyen; Trong Phuong Tran; Quoc Vinh Tran; Emam, Ammar Rafiei</t>
  </si>
  <si>
    <t>Recently, the MODerate resolution Imaging Spectroradiometer (MODIS) land surface temperature (LST) is considered one of the most suitable ways to retrieve air surface temperature (T-a) - one of the most important and widely used climate variables for a wide range of applications. In fact, many successful studies have been reported in many regions of the world. Each day, four MODIS LST data are available; from two sensors (Terra and Aqua) at two local overpass times (daytime and night-time). However, due to their different overpass times, most studies have used LST daytime and night-time for daily maximum (T-max) and minimum (T-min) air surface temperature estimation, respectively. Therefore, the performance of each individual LST data, the effect of the dynamic combination of these four LST data, the effect of land surface characteristics, and the effect of LST quality on the same estimation in the same region on the accuracy of estimated T-a remains unclear. In this study, we evaluated and tested all individual LST data as well as all possible combinations of the four MODIS LST data from two separate stations with distinct land surface characteristics in northwest Vietnam for 10 years (from 2004 to 2013) under two sky conditions (all clear sky conditions and only good data - i.e. Quality Control (QC) value of 0) for daily T-a (T-max, T-min, and T-mean) estimations. In addition, the mixed data of the two stations were also evaluated. Our results showed that Terra LST data have a higher correlation with T-a than Aqua LST; which is consistent for both stations and both quality conditions (all clear sky and only good data). A closer overpass time with T-max or T-min occurrence time did not guarantee a higher accuracy of T-a estimation. Using only good LST data produced a higher accuracy of T-a estimation than using all clear sky data. However, if the percentage of good data is low (i.e. less than 30%), then the all clear sky data will provide better results for T-max estimation. Comparing the performance of the different combinations when using the single station and mixed station data, combinations including at least one night-time LST produced stable and high accuracy T-min and T-mean estimates, while the combinations with only daytime LST produced very low accuracy results. For T-max estimation, the results were less impacted by LST quality; however, they were strongly impacted by different combinations and land surface characteristics.</t>
  </si>
  <si>
    <t>[Thanh Noi Phan; Kappas, Martin; Emam, Ammar Rafiei] Univ Gottingen, Inst Geog, Dept Cartog GIS &amp; Remote Sensing, Goldschmidt St 5, D-37077 Gottingen, Germany; [Thanh Noi Phan; Khac Thoi Nguyen; Trong Phuong Tran] Vietnam Natl Univ Agr, Fac Land Management, Dept Cartog &amp; Geodesy, Hanoi, Vietnam; [Quoc Vinh Tran] Vietnam Natl Univ Agr, Fac Land Management, Dept Land Informat, Hanoi, Vietnam</t>
  </si>
  <si>
    <t>University of Gottingen; Vietnam National University of Agriculture (VNUA); Vietnam National University of Agriculture (VNUA)</t>
  </si>
  <si>
    <t>Vietnamese government</t>
  </si>
  <si>
    <t>We would like to acknowledge the Vietnamese government for its financial support and the Vietnam Institute of Meteorology, Hydrology, and the Environment (IMHEN) for supplying the meteorological data for this research.</t>
  </si>
  <si>
    <t>JUL 18</t>
  </si>
  <si>
    <t>10.1080/01431161.2019.1580789</t>
  </si>
  <si>
    <t>WOS:000465406100013</t>
  </si>
  <si>
    <t>David, C. P.; Custado, M. J.; Sekhon, N.; Ibarra, D. E.</t>
  </si>
  <si>
    <t>The interannual variability of rainfall caused by the El Nino-Southern Oscillation (ENSO) results in significant changes in hydrologic conditions. Forecasting ENSO and its impacts are mainly based on Central Pacific Sea surface temperature (SST) anomalies which satisfactorily correlate with timing and, to a lesser extent, the intensity of drought conditions in the Philippines and the Western Pacific during the El Nino phase. Changes in sea surface height (SSH) are also brought upon by ENSO through seawater density changes with temperature and oceanographic processes. Here, we report that the associative nature of SSH and drought, as measured by surface runoff, has a better correlation (r &gt; 0.693, p &lt; 0.05) in terms of the expected timing (1 to 3 month lag) and intensity compared to using SST indices. Furthermore, since SSH is co-located with its corresponding forecasted decrease in runoff, a localised prediction can be made which further increases the accuracy of this predictive tool and can be used in tandem with SST-based ENSO indices. In the wake of a changing climate, the ability to forecast the timing and volume of rainfall and surface water availability is of utmost importance, especially within the context of food and water security.</t>
  </si>
  <si>
    <t>[David, C. P.; Custado, M. J.] Univ Philippines Diliman, Natl Inst Geol Sci, Quezon City, Philippines; [Sekhon, N.; Ibarra, D. E.] Brown Univ, Dept Earth Environm &amp; Planetary Sci, Providence, RI 02912 USA; [Sekhon, N.; Ibarra, D. E.] Brown Univ, Inst Brown Environm &amp; Soc, Providence, RI 02912 USA</t>
  </si>
  <si>
    <t>University of the Philippines System; University of the Philippines Diliman; Brown University; Brown University</t>
  </si>
  <si>
    <t>University of the Philippines Diliman and Brown University</t>
  </si>
  <si>
    <t>This work was supported by the University of the Philippines Diliman and Brown University.</t>
  </si>
  <si>
    <t>2766-9645</t>
  </si>
  <si>
    <t>All Earth</t>
  </si>
  <si>
    <t>10.1080/27669645.2022.2089484</t>
  </si>
  <si>
    <t>WOS:000814467300001</t>
  </si>
  <si>
    <t>Chen, Bo; Chen, Jitao; Qie, Wenkun; Huang, Pu; He, Tianchen; Joachimski, Michael M.; Regelous, Marcel; von Strandmann, Philip A. E. Pogge; Liu, Jiangsi; Wang, Xiangdong; Montanez, Isabel P.; Algeo, Thomas J.</t>
  </si>
  <si>
    <t>The expansion of land plants is considered to have played a key role in triggering the Late Paleozoic Ice Age (LPIA), but evidence linking climatic events to terrestrial floral changes is limited. Here, we generated bulk carbonate delta C-13, conodont delta O-18 and Sr-87/Sr-86 profiles from the lowermost Carboniferous of South China and Vietnam in order to investigate their relationship to contemporaneous land plant evolution. Climatic cooling in the mid-Tournaisian coincided with large perturbations to the global carbon cycle and continental weathering regimes as well as with a major diversification episode among seed plants. These relationships are consistent with terrestrial floral changes triggering intensified weathering of basalts (i.e., lower Sr-87/Sr-86) enhanced marine productivity (i.e., higher delta C-13(carb)), and reduced atmospheric pCO(2) and attendant global cooling (i.e., higher conodont delta O-13). The results of our study suggest that expansion of terrestrial floras was a key driver of Early Carboniferous climate change. (C) 2021 Elsevier B.V. All rights reserved.</t>
  </si>
  <si>
    <t>[Chen, Bo; Chen, Jitao; Qie, Wenkun; Huang, Pu] Chinese Acad Sci, State Key Lab Palaeobiol &amp; Stratig, Nanjing Inst Geol &amp; Palaeontol, Nanjing 210008, Peoples R China; [Chen, Bo; Chen, Jitao; Qie, Wenkun; Huang, Pu] Chinese Acad Sci, Ctr Excellence Life &amp; Paleoenvironm, Nanjing Inst Geol &amp; Palaeontol, Nanjing 210008, Peoples R China; [He, Tianchen] Univ Leeds, Sch Earth &amp; Environm, Leeds LS2 9JT, W Yorkshire, England; [Joachimski, Michael M.; Regelous, Marcel] Friedrich Alexander Univ Erlangen Nurnberg, GeoZentrum Nordbayern, D-91054 Erlangen, Germany; [von Strandmann, Philip A. E. Pogge] UCL, Inst Earth &amp; Planetary Sci, London Geochem &amp; Isotope Ctr, Gower St, London WC1E 6BT, England; [von Strandmann, Philip A. E. Pogge] Birkbeck Univ London, Gower St, London WC1E 6BT, England; [von Strandmann, Philip A. E. Pogge] Johannes Gutenberg Univ Mainz, Inst Geosci, D-55128 Mainz, Germany; [Liu, Jiangsi] Xiamen Univ, State Key Lab Marine Environm Sci, Xiamen 361102, Peoples R China; [Wang, Xiangdong] Nanjing Univ, State Key Lab Mineral Deposits Res, Nanjing 210093, Peoples R China; [Wang, Xiangdong] Nanjing Univ, Sch Earth Sci &amp; Engn, Nanjing 210093, Peoples R China; [Montanez, Isabel P.] Univ Calif Davis, Dept Earth &amp; Planetary Sci, Davis, CA 95616 USA; [Algeo, Thomas J.] China Univ Geosci, State Key Labs Biogeol &amp; Environm Geol &amp; Geol Pro, Wuhan 430074, Peoples R China; [Algeo, Thomas J.] Univ Cincinnati, Dept Geol, Cincinnati, OH 45221 USA</t>
  </si>
  <si>
    <t>Chinese Academy of Sciences; Chinese Academy of Sciences; University of Leeds; University of Erlangen Nuremberg; University of London; University College London; University of London; Birkbeck University London; Johannes Gutenberg University of Mainz; Xiamen University; Nanjing University; Nanjing University; University of California System; University of California Davis; China University of Geosciences; University System of Ohio; University of Cincinnati</t>
  </si>
  <si>
    <t>Strategic Priority Research Program of Chinese Academy of Sciences(Chinese Academy of Sciences); Natural Science Foundation of China(National Natural Science Foundation of China (NSFC)); ERC Consolidator grant(European Research Council (ERC)); Natural Environment Research Council(UK Research &amp; Innovation (UKRI)Natural Environment Research Council (NERC)); National Science Foundation(National Science Foundation (NSF)); NERC(UK Research &amp; Innovation (UKRI)Natural Environment Research Council (NERC))</t>
  </si>
  <si>
    <t>This study was funded by the Strategic Priority Research Program of Chinese Academy of Sciences (XDB26000000, XDB18000000) and by the Natural Science Foundation of China (41302019, 91955201, 42072035, 41772004, 41830323), PPvS was funded by ERC Consolidator grant 682760-CONTROLPASTCO2. TH acknowledges funding from the Natural Environment Research Council (NE/N018559/1). IPM acknowledges funding from the National Science Foundation (EAR 1338281). We thank Chao Tan for assistance with figure preparation and Jing Liu with carbon isotope analysis.</t>
  </si>
  <si>
    <t>10.1016/j.epsl.2021.116953</t>
  </si>
  <si>
    <t>WOS:000649176900019</t>
  </si>
  <si>
    <t>Ueda, Hiroaki; Amagai, Yuusuke; Hayasaki, Masamitsu</t>
  </si>
  <si>
    <t>La Nia conditions during boreal winter sometimes brings excessive snowfall in Japan, especially on the East Sea/Sea of Japan coastal and mountain areas through intensified northwesterly cold winds caused by La-Nia related atmospheric teleconnection. Meanwhile, snowfall events also increase in the Pacific coast area of Japan during the El Nio state due to extratropical cyclones passing along the south coast of Japan (hereafter referred to as South-coast cyclone). In the present study, we investigated year-to-year snowfall/rainfall variations based on meteorological station data and cyclone tracks identified by using the Japanese 55-year Reanalysis. The result clearly indicates increase of the South-coast cyclone during El Nio-developing winters, which is consistent with excessive snow-fall in the northern part of the Pacific coast. Strong subtropical jet hampers cyclogenesis due to less vertical interaction through the trapping of upper-level eddies. During El Nio-developing winters, the subtropical jet is weakened over East Asia, indicating dynamic linkage to increased cyclone frequency. In addition to this, both the deepening of the upper-tropospheric trough over East Asia and anomalous low-tropospheric northwest anticyclones extending from the Philippines toward Japan are also consistent with the enhancement of cyclogenesis over the East China Sea as well as warm winter in Japan.</t>
  </si>
  <si>
    <t>[Ueda, Hiroaki; Amagai, Yuusuke] Univ Tsukuba, Tsukuba, Ibaraki, Japan; [Hayasaki, Masamitsu] Natl Inst Environm Studies, Ibaraki, Japan</t>
  </si>
  <si>
    <t>University of Tsukuba; National Institute for Environmental Studies - Japan</t>
  </si>
  <si>
    <t>Environment Research and Technology Development Fund of the Ministry of the Environment, Japan(Ministry of the Environment, Japan); Program for Risk Information on Climate Change (SOUSEI program) from the Ministry of Education, Culture, Sports, Science and Technology (MEXT) of Japan; Grants-in-Aid for Scientific Research(Ministry of Education, Culture, Sports, Science and Technology, Japan (MEXT)Japan Society for the Promotion of ScienceGrants-in-Aid for Scientific Research (KAKENHI))</t>
  </si>
  <si>
    <t>The authors are grateful for the editors and anonymous reviewers giving us the opportunity to submit this manuscript. This work was supported by the Environment Research and Technology Development Fund (A-1201) of the Ministry of the Environment, Japan, and by the Program for Risk Information on Climate Change (SOUSEI program) from the Ministry of Education, Culture, Sports, Science and Technology (MEXT) of Japan.</t>
  </si>
  <si>
    <t>10.1007/s13143-017-0025-4</t>
  </si>
  <si>
    <t>WOS:000402453400010</t>
  </si>
  <si>
    <t>Choi, Ki-Seon; Kim, Baek-Jo; Cha, Yu-Mi; Kim, Hae-Dong</t>
  </si>
  <si>
    <t>This study analyzed the effects of thermal differences between land and the sea on tropical cyclone (TC) activity. To this end, northern China in which thermal ridges appear in summer in the continent east of Asia was defined as Land and an area of the sea where temperatures are low in the tropical and subtropical western North Pacific was defined as Sea to analyze the time series of thermal differences between the land and the sea over the last 62 years. Change-point analysis was applied to these time series. According to the results, a significant climate regime shift existed in 1978. That is, positive values were distributed from 1951 to 1978 (5178) and negative values were distributed from 1979 to 2012 (7912). Thereafter, average differences between the 5178 period during which positive values were apparent and the 7912 period during which negative values were apparent was analyzed. With regard to TC genesis, TCs during the 7912 period showed a tendency of being mainly formed in the northwestern quadrant of the tropical and subtropical western North Pacific, and those during the 5178 period showed a tendency of being mainly formed in the southeastern quadrant. With regard to TC movements, whereas TCs during the 7912 period showed a pattern of moving west from the Philippines toward the Indochina peninsular and southern China, those during the 5178 period showed a pattern of moving north from the far southeastern sea of the Philippines to pass the East China Sea and go toward Korea and Japan. Therefore, the TCs during the 7912 period showed a tendency of being formed and moving in regions further west than those of the TCs during the 5178 period. With regard to TC intensities during the two periods, TCs during the 5178 period were more intense. Large-scale environments that affected these changes in TC activity between the two periods were analyzed. During the 7912 period, since temperature in the continent were lower than those in the sea, anomalous anticyclones were reinforced in the continent East of Asia and anomalous cyclones were reinforced in the sea. Consequently, anomalous northerlies were reinforced in a region ranging from the middle-latitude region in East Asia to the Indochina peninsular so that TCs could not move to the middle-latitude region in East Asia but moved west toward the Indochina peninsular and southern China during this period. Eventually, during the 7912 period, temperatures in the land were higher than those in the sea to show the west high east low anomalous pressure system patterns so that western North Pacific subtropical highs could not develop and thus the steering flows of anomalous southerlies that would move TCs to the middle-latitude region in East Asia were weak. These results were identified from 600 hPa relative humidity, 200-850 hPa vertical wind shears, and differences in sea surface temperatures between the two periods.</t>
  </si>
  <si>
    <t>[Choi, Ki-Seon; Kim, Baek-Jo] Natl Inst Meteorol Res, Policy Res Lab, Jeju, South Korea; [Cha, Yu-Mi] Korea Meteorol Adm, Natl Typhoon Center, Jeju, South Korea; [Kim, Hae-Dong] Keimyung Univ, Dept Global Environm, Daegu, South Korea</t>
  </si>
  <si>
    <t>10.1007/s00704-014-1233-9</t>
  </si>
  <si>
    <t>WOS:000359055800006</t>
  </si>
  <si>
    <t>Dong, Zizhen; Wang, Lin</t>
  </si>
  <si>
    <t>This study investigates the characteristics and climate impacts of the quasi-biweekly oscillation (QBWO) over the western North Pacific (WNP) in boreal winter based on observational and reanalysis data and numerical experiments with a simplified model. The wintertime convection over the WNP is dominated by significant biweekly variability with a 10-20-day period, which explains about 66% of the intraseasonal variability. Its leading mode on the biweekly time scale is a northwestward-propagating convection dipole over the WNP, which oscillates over a period of about 12 days. When the convection-active center of this QBWO is located to the east of the Philippines, it can generate an anticyclonic vorticity source to the south of Japan via inducing upper-tropospheric divergence and excite a Rossby wave train propagating toward North America along the Pacific rim. The resultant lower-tropospheric circulation facilitates cold advection and leads to cold anomalies over central North America in the following week. This result highlights a cause-effect relationship between the WNP convection and the North American climate on the quasi-biweekly time scale and may provide some prediction potential for the North American climate.</t>
  </si>
  <si>
    <t>[Dong, Zizhen; Wang, Lin] Chinese Acad Sci, Ctr Monsoon Syst Res, Inst Atmospher Phys, Beijing, Peoples R China; [Dong, Zizhen; Wang, Lin] Univ Chinese Acad Sci, Coll Earth &amp; Planetary Sci, Beijing, Peoples R China; [Dong, Zizhen] Yunnan Univ, Dept Atmospher Sci, Kunming, Yunnan, Peoples R China</t>
  </si>
  <si>
    <t>Chinese Academy of Sciences; Institute of Atmospheric Physics, CAS; Chinese Academy of Sciences; University of Chinese Academy of Sciences, CAS; Yunnan University</t>
  </si>
  <si>
    <t>We thank the three anonymous reviewers for their constructive comments and suggestions and Drs. Michiya Hayashi, Chen Shen, and Hainan Gong for helpful discussions. This work was supported by the National Natural Science Foundation of China (41925020 and 41721004).</t>
  </si>
  <si>
    <t>10.1175/JCLI-D-21-0531.1</t>
  </si>
  <si>
    <t>WOS:000799200700013</t>
  </si>
  <si>
    <t>Ramos, R. D.; Goodkin, N. F.; Druffel, E. R. M.; Fan, T. Y.; Siringan, F. P.</t>
  </si>
  <si>
    <t>The Luzon Strait (LS) hosts the largest transport of water between the Western Pacific Ocean (WPO) and the South China Sea (SCS). The transport through the strait, dominated by the westward propagation of the Kuroshio Intrusion, influences the climate and circulation of the SCS. While numerical models have investigated the interannual variability of the transport and subsequent water exchange across the LS, a lack of long-term on-site records prevents a general consensus on the transport rates, variability, and drivers. Corals offer high-resolution, continuous histories of radiocarbon (Delta C-14) content of the seawater dissolved inorganic carbon, allowing us to track changes in ocean transport and circulation through time. Seasonal and annual Delta C-14 samples from Houbihu, Taiwan, and Palaui, Philippines, located on either side of the strait, are compared to the Western Pacific Ocean and SCS Delta C-14 records to examine the spatial and temporal Delta C-14 variability in the region. We calculated the mean transport across the strait using a five-box mixing model and identified its potential drivers. The mean amount of water exchanged across the strait from 1970 to 1999 was 2.2Sv, ranging from -13.4 to 16Sv, where a positive (negative) value indicates net flow into (out of) the SCS. A weaker East Asian Winter Monsoon increases the contribution of the SCS outflow on the Kuroshio Intrusion-dominated LS, while the El Nino-Southern Oscillation primarily drives the intrusion into the SCS. These results provide support to the dominant control of El Nino-Southern Oscillation on the long-term ocean circulation variability in this region. Plain Language Summary The Luzon Strait is a globally critical ocean pathway that links the Western Pacific Ocean and the South China Sea (SCS). Heat, salt, and nutrients are exchanged across the strait, impacting marine ecology and climate in the region. In situ measurements of the surface water processes across the strait are limited, complicating our understanding of its variability and driving mechanism. Here, we present radiocarbon measurements, which represent a record of surface ocean processes including upwelling, extending beyond the instrumental record using two corals collected from either side of the strait, Houbihu, Taiwan, and Palaui, Philippines. Houbihu is impacted by the strength of the East Asian Winter Monsoon winds, affecting the transport of surface waters into and out of the SCS. Palaui is sensitive to surface transports linked to the shifts of the North Equatorial Current bifurcation latitude, primarily influenced by the El Nino-Southern Oscillation. While different processes impact our sites, the difference in the amount of radiocarbon between Houbihu and Palaui and the surrounding seas allows us to further investigate changes to water exchange across the strait. We find that a weaker East Asian Winter Monsoon impedes water inflow into the SCS whereas El Nino-Southern Oscillation facilitates inflow into the SCS.</t>
  </si>
  <si>
    <t>[Ramos, R. D.; Goodkin, N. F.] Nanyang Technol Univ, Asian Sch Environm, Singapore, Singapore; [Goodkin, N. F.] Nanyang Technol Univ, Earth Observ Singapore, Singapore, Singapore; [Goodkin, N. F.] Amer Museum Nat Hist, New York, NY 10024 USA; [Druffel, E. R. M.] Univ Calif Irvine, Dept Earth Syst Sci, Irvine, CA USA; [Fan, T. Y.] Natl Museum Marine Biol &amp; Aquarium, Pingtung, Taiwan; [Siringan, F. P.] Univ Philippines Diliman, Inst Marine Sci, Quezon City, Philippines</t>
  </si>
  <si>
    <t>Nanyang Technological University; Nanyang Technological University; American Museum of Natural History (AMNH); University of California System; University of California Irvine; National Museum of Marine Biology &amp; Aquarium; University of the Philippines System; University of the Philippines Diliman</t>
  </si>
  <si>
    <t>National Research Foundation Singapore under its Singapore NRF Fellowship scheme(National Research Foundation, Singapore); Ministry of Education, Singapore through its Academic Research Fund Tier 2(Ministry of Education, Singapore); International Atomic Energy Agency (IAEA) Coordinated Research Project</t>
  </si>
  <si>
    <t>The authors would like to thank K. Hughen and J. Ossolinski for fieldwork. Additional help in the field was also provided by J. Aggangan, J. Quevedo, R. Lloren, G. Albano, J. Perez, and A. Bolton in the Philippines and S. Murty, A. Bolton, L. Tsai, R. Tan, S. Doo, I. Suprihanto, and D. Prayudi in Taiwan. We thank S. Griffin for the Delta14C analysis. The detailed comments and suggestions of two anonymous reviewers significantly improved the original manuscript. Coral Delta14C data set and box model calculations are available in the supporting information. This research was funded by the National Research Foundation Singapore under its Singapore NRF Fellowship scheme awarded to N. F. Goodkin (National Research Fellow award NRF-RF2012-03), as administered by the Earth Observatory of Singapore and the Singapore Ministry of Education under the Research Centres of Excellence initiative and by the Ministry of Education, Singapore through its Academic Research Fund Tier 2 (Project MOE2016-T2-1-016). This work is a part of the International Atomic Energy Agency (IAEA) Coordinated Research Project K41015. This work comprises Earth Observatory of Singapore contribution 229.</t>
  </si>
  <si>
    <t>10.1029/2018JC014735</t>
  </si>
  <si>
    <t>WOS:000458718600028</t>
  </si>
  <si>
    <t>Zou, Youjia; Xi, Xiangying</t>
  </si>
  <si>
    <t>The equatorial Pacific Walker Circulation (EPWC), characterized by ascending motion (lower sea-level pressure [SLP]) over Indonesia and descending motion (higher SLP) over the Eastern Pacific, has been widely recognized. Yet, little is known about a zonal circulation over the North Pacific (hereafter referred to as NPZC) with ascent over the west coast of Canada and descent over the east coast of Russia, which plays an important role in maintaining Northern Hemisphere mid-latitude climate. Here we provide evidence for the existence of the NPZC by comparing the eastern and western North Pacific around 50 degrees N with the western and eastern equatorial Pacific, respectively. We find that the EPWC and NPZC bear strong similarity in many essential aspects, such as the zonal gradients of temperature and SLP, precipitation records and prevailing winds, and so on, thus, suggesting a NPZC. The existence of a NPZC is also strongly supported by observations in situ using radiosonde balloon soundings as well as numerical simulations.</t>
  </si>
  <si>
    <t>[Zou, Youjia] Shanghai Maritime Univ, Dept Meteorol &amp; Oceanog, Shanghai, Peoples R China; [Xi, Xiangying] Wuhan Univ Technol, Sch Management, Wuhan, Hubei, Peoples R China</t>
  </si>
  <si>
    <t>Shanghai Maritime University; Wuhan University of Technology</t>
  </si>
  <si>
    <t>10.1002/joc.6448</t>
  </si>
  <si>
    <t>WOS:000504599900001</t>
  </si>
  <si>
    <t>Hakim, Wahyu Luqmanul; Fadhillah, Muhammad Fulki; Lee, Kwang-Jae; Lee, Seung-Jae; Chae, Sung-Ho; Lee, Chang-Wook</t>
  </si>
  <si>
    <t>Floods in Pekalongan, Indonesia, often occur due to river water overflowing during heavy monsoon rain. Simultaneously, the northern coastal area of Pekalongan, located adjacent to the Java Sea, has been affected by coastal floods due to sea level rise. The flood conditions in this area were exacerbated by land subsidence, leading to coastal inundation. Monitoring land subsidence in Pekalongan has become essential in predicting other possible land subsidence occurrence areas and mitigating the possible hazards caused by land subsidence. The analysis of land subsidence has been much easier since the introduction of radar satellites. In this study, 124 synthetic aperture radar (SAR) datasets from the Sentinel-1 radar satellite between 2017 and 2022 in descending tracks were used. The data were processed through a time-series interferometry SAR (InSAR) method based on the improved combined scatterers interferometry with optimized point scatterers (ICOPS) algorithm to provide accurate measurements over large areas by improving the selection of measurement points (MPs) from persistent scatterer (PS) and distributed scatterer (DS) points using a deep learning algorithm based on a convolutional neural network (CNN), and the resulting optimized MPs were then spatially clustered using optimized hot spot analysis (OHSA) to estimate significant points statistically and define them as hot spot points. The results of time-series deformation in Pekalongan were compared with the GPS station measurements. From the comparison, a good correlation in terms of deformation patterns between time-series InSAR and GPS measurements was observed. Our study revealed that land subsidence in Pekalongan has occurred mostly in settlement areas under the young alluvium soil, which cannot support many buildings' maximum compression. Another cause of land subsidence in Pekalongan is excessive groundwater extraction in settlement areas. Thus, compaction in the aquifer areas may occur as a result of the reduced effective stress of the pore pressure. Further analysis of this study would involve monitoring groundwater activity using data from the Gravity Recovery and Climate Experiment (GRACE) satellite and comparing them with weather station data. The analysis of the two datasets aims to understand the relationships between groundwater storage data and the monthly precipitation in Pekalongan. Finally, the potential outcomes of land subsidence in Pekalongan will be assessed using the geographic information system (GIS) method based on susceptibility mapping.</t>
  </si>
  <si>
    <t>[Hakim, Wahyu Luqmanul; Fadhillah, Muhammad Fulki; Lee, Chang-Wook] Kangwon Natl Univ, Dept Sci Educ, Chunchon 24341, South Korea; [Lee, Kwang-Jae; Lee, Seung-Jae; Chae, Sung-Ho] Korea Aerosp Res Inst, Satellite Applicat Div, Daejeon 34133, South Korea</t>
  </si>
  <si>
    <t>Kangwon National University; Korea Aerospace Research Institute (KARI)</t>
  </si>
  <si>
    <t>National Research Foundation of Korea (NRF) - Korea Government (Ministry of Science and ICT)(National Research Foundation of KoreaMinistry of Science, ICT &amp; Future Planning, Republic of Korea); Korea Polar Research Institute - Ministry of Oceans and Fisheries (KOPRI)</t>
  </si>
  <si>
    <t>This work was supported in part by the National Research Foundation of Korea (NRF) grant funded by the Korea Government (Ministry of Science and ICT) under Grant RS-2022-00165154(Development of Application Support System for Satellite Information BigData) and Grant NRF-2023R1A2C1007742, and in part by the Korea Polar Research Institute funded by the Ministry of Oceans and Fisheries (KOPRI)under Grant PE22900</t>
  </si>
  <si>
    <t>0196-2892</t>
  </si>
  <si>
    <t>1558-0644</t>
  </si>
  <si>
    <t>IEEE T GEOSCI REMOTE</t>
  </si>
  <si>
    <t>IEEE Trans. Geosci. Remote Sensing</t>
  </si>
  <si>
    <t>10.1109/TGRS.2023.3324043</t>
  </si>
  <si>
    <t>Geochemistry &amp; Geophysics; Engineering, Electrical &amp; Electronic; Remote Sensing; Imaging Science &amp; Photographic Technology</t>
  </si>
  <si>
    <t>WOS:001090483200016</t>
  </si>
  <si>
    <t>Lu, Y.; Qin, X. S.</t>
  </si>
  <si>
    <t>A coupled K-nearest neighbour (KNN) and Bayesian neural network (BNN) model was developed for downscaling daily rainfall at a single site. The KNN was used for classification of dry/wet day and rainfall typing based on rainfall magnitude. The BNN was applied for prediction of rainfall amount. The proposed method was applied to rainfall downscaling at Singapore Island. The Climate Forecast System Reanalysis (CFSR) data were used for providing large-scale predictors at a high spatial resolution; 31-years daily rainfall record at two typical weather stations on the island was used as predictand. The performance of KNN-BNN was compared with two classical downscaling tools including automated statistical downscaling tool (ASD) and generalized linear model (GLM). The study results indicated that, the proposed model performed equally good or better than both ASD and GLM, in terms of prediction of basic statistical indicators (i.e. mean, SD, probability of wet days, 90th percentile rainfall amount, and maximum rainfall); it notably outperformed others in generating narrower uncertainty intervals for all indicators, especially for monthly mean and maximum rainfall. It was also demonstrated that separation of yearly data into monthly or seasonal could considerably enhance the performance of KNN-BNN.</t>
  </si>
  <si>
    <t>[Lu, Y.; Qin, X. S.] Nanyang Technol Univ, Sch Civil &amp; Environm Engn, Singapore 639798, Singapore; [Qin, X. S.] Nanyang Technol Univ, Earth Observ Singapore EOS, Singapore 639798, Singapore</t>
  </si>
  <si>
    <t>Nanyang Technological University; Nanyang Technological University</t>
  </si>
  <si>
    <t>Earth Observatory of Singapore (EOS); National Environment Agency (NEA) of Singapore</t>
  </si>
  <si>
    <t>This research was supported by Earth Observatory of Singapore (EOS) (M4080707.B50 and M4430004.B50). The authors are thankful for the data support from National Environment Agency (NEA) of Singapore. The authors also much appreciate the reviewers and the editor for his/her insightful and valuable reviews.</t>
  </si>
  <si>
    <t>10.1002/joc.3906</t>
  </si>
  <si>
    <t>WOS:000341182200005</t>
  </si>
  <si>
    <t>Wang, Bin; Lee, Ming-Ying; Xie, Zhiling; Lu, Mengqian; Pan, Mengxin</t>
  </si>
  <si>
    <t>Three consecutive precipitation extremes emerged in November 2021, including India-Sri Lanka flooding, East Asian blizzard, and Canadian floods. Why the catastrophic events occurred successively and whether they will become more frequent as global warming continues are unknown. Here we show they are organized by an intraseasonal Asian/North American (ANA) teleconnection consisting of two cross-Pacific wave trains fortified by dipolar diabatic heating anomalies (wet India-dry Philippines). The dipolar heating anomaly is shaped by multi-scale interaction between a quasi-stationary Madden-Julian Oscillation (MJO) episode and a rapidly developed La Nina over the tropical Asian monsoon region. Numerical experiments suggest that the off-equatorial heating dipole can generate the ANA pattern resembling observations, distinct from the equatorial MJO-induced teleconnection and the La Nina-induced Pacific/North American teleconnection. Philippine cooling stimulates the circum-Pacific wave train, while Indian heating produces the eastward-propagating subtropical wave train. These wave trains persistently steered cross-Pacific atmospheric rivers channeling warm-moisture-laden air to the extratropics. We suggest that the ANA teleconnection could be a new route by which multi-scale interaction between the La Nina and quasi-stationary MJO over the tropical Asian monsoon affects extratropical East Asia and North America. This work provides a unique perspective on understanding the origins of increasing collisions of extremes worldwide within a short time as the global climate warms.</t>
  </si>
  <si>
    <t>[Wang, Bin; Xie, Zhiling] Nanjing Univ Informat Sci &amp; Technol, Coll Atmospher Sci, Nanjing, Peoples R China; [Wang, Bin; Xie, Zhiling] Univ Hawaii, Dept Atmospher Sci, Honolulu, HI USA; [Wang, Bin; Xie, Zhiling] Univ Hawaii, Int Pacific Res Ctr, Honolulu, HI USA; [Lee, Ming-Ying] Cent Weather Bur, Taipei, Taiwan; [Lu, Mengqian; Pan, Mengxin] Hong Kong Univ Sci &amp; Technol, Dept Civil &amp; Environm Engn, Hong Kong, Peoples R China</t>
  </si>
  <si>
    <t>Nanjing University of Information Science &amp; Technology; University of Hawaii System; University of Hawaii System; Central Weather Bureau (CWB); Hong Kong University of Science &amp; Technology</t>
  </si>
  <si>
    <t>NSF/Climate Dynamics Award; Hong Kong Research Grants Council(Hong Kong Research Grants Council)</t>
  </si>
  <si>
    <t>This research contributes to and is financially supported by NSF/Climate Dynamics Award #2025057 (B.W.) and the Hong Kong Research Grants Council's general research fund #16200920 and collaborative research fund #C6032-21G (M.L.). This is the SEOST publication #111589, IPRC publication #1580, and ESMC publication #394.</t>
  </si>
  <si>
    <t>NOV 14</t>
  </si>
  <si>
    <t>10.1038/s41612-022-00318-7</t>
  </si>
  <si>
    <t>WOS:000883436600001</t>
  </si>
  <si>
    <t>Ren, Yongjian; Song, Lianchun; Xiao, Ying; Du, Liangmin</t>
  </si>
  <si>
    <t>This study evaluates the performance of climate models in simulating the climatological mean and interannual variability of East Asian summer rainfall (EASR) using Coupled Model Intercomparison Project Phase 5 (CMIP5). Compared to the observation, the interannual variability of EASR during 1979-2005 is underestimated by the CMIP5 with a range of 0.86 similar to 16.08%. Based on bias correction of CMIP5 simulations with historical data, the reliability of future projections will be enhanced. The corrected EASR under representative concentration pathways (RCPs) 4.5 and 8.5 increases by 5.6 and 7.5% during 2081-2100 relative to the baseline of 1986-2005, respectively. After correction, the areas with both negative and positive anomalies decrease, which are mainly located in the South China Sea and central China, and southern China and west of the Philippines, separately. In comparison to the baseline, the interannual variability of EASR increases by 20.8% under RCP4.5 but 26.2% under RCP8.5 in 2006-2100, which is underestimated by 10.7 and 11.1% under both RCPs in the original CMIP5 simulation. Compared with the mean precipitation, the interannual variability of EASR is notably larger under global warming. Thus, the probabilities of floods and droughts may increase in the future.</t>
  </si>
  <si>
    <t>[Ren, Yongjian] Hubei Meteorol Adm, Hubei Meteorol Serv Ctr, Wuhan 430074, Peoples R China; [Ren, Yongjian; Song, Lianchun] China Meterol Adm, Natl Climate Ctr, Beijing, Peoples R China; [Xiao, Ying; Du, Liangmin] China Meteorol Adm, Inst Heavy Rain, Hubei Key Lab Heavy Rain Monitoring &amp; Warning Res, Wuhan, Hubei, Peoples R China</t>
  </si>
  <si>
    <t>China Meteorological Administration; China Meteorological Administration</t>
  </si>
  <si>
    <t>National Basic Research Program of China(National Basic Research Program of China); National Natural Science Foundation of China(National Natural Science Foundation of China (NSFC))</t>
  </si>
  <si>
    <t>This research was jointly supported by the National Basic Research Program of China (2015CB953904) and the National Natural Science Foundation of China (41275078 and 41405077).</t>
  </si>
  <si>
    <t>10.1007/s00704-018-2398-4</t>
  </si>
  <si>
    <t>WOS:000464905800008</t>
  </si>
  <si>
    <t>Dado, Julie Mae; Narisma, Gemma Teresa</t>
  </si>
  <si>
    <t>Model simulations of historical climate changes often do not take into account the climatic effects of changes in land use. Modifications in land cover such as urbanization, affect the partitioning of the water and energy balances, which in turn influences temperature and rainfall magnitudes and patterns. The local climate impacts of major urban expansion in metropolitan Manila (Metro Manila) in the Philippines is examined, particularly during the peak of the Southwest monsoon (SWM) rainfall season from July to September. MM5 is used to perform an ensemble simulation of experiments consisting of three-month runs for ten different years using two land cover scenarios representative of the urban cover of Metro Manila in 1972 and its expanded urban area in 2001. Results show that the SWM rainfall may be enhanced by up to 20% due to extensive urban growth. Comparison of model results with observation data indicates that without urban expansion, rainfall increases only by about 17%. When expanded urban impacts are included, the modeled increase in rainfall is about 29%, which is much closer to the observed value. This study therefore illustrates the significance of incorporating land use changes together with CO2 changes in climatic change modeling especially at the scale of local impacts.</t>
  </si>
  <si>
    <t>[Dado, Julie Mae; Narisma, Gemma Teresa] Manila Observ, Reg Climate Syst Lab, Ateneo de Manila Univ Campus, Quezon City 1108, Philippines; [Dado, Julie Mae; Narisma, Gemma Teresa] Ateneo Manila Univ, Phys Dept, Quezon City 1108, Philippines</t>
  </si>
  <si>
    <t>Ateneo de Manila University; Ateneo de Manila University</t>
  </si>
  <si>
    <t>Commission on Higher Education (CHED) Philippine Higher Education Research Network (PHERNet)(Commission on Higher Education (CHED), Philippines); Ateneo de Manila University Research Council Grant; Department of Science and Technology-Science Education Institute (DOST-SEI)(Department of Science &amp; Technology (DOST), Philippines)</t>
  </si>
  <si>
    <t>The research was partly supported by the Commission on Higher Education (CHED) Philippine Higher Education Research Network (PHERNet) and the Ateneo de Manila University Research Council Grant. JM Dado was also a recipient of a scholarship from the Department of Science and Technology-Science Education Institute (DOST-SEI). The authors are also grateful for the constructive comments from the editor and reviewers in further improving this manuscript.</t>
  </si>
  <si>
    <t>10.1007/s13143-019-00140-x</t>
  </si>
  <si>
    <t>WOS:000746095100001</t>
  </si>
  <si>
    <t>Rowe, Charlotte A.; Howe, Bruce M.; Fouch, Matthew J.; Angove, Michael; Aucan, Jerome; Barnes, Christopher R.; Bayliff, Nigel; Becker, Nathan C.; Carrilho, Fernando; Fry, Bill; Janiszewski, Helen A.; Jamelot, Anthony; Kong, Laura S. L.; Lenz, Stephen T.; Luther, Douglas S.; Marinaro, Giuditta; Matias, Luis; Salaree, Amir; Sakya, Andi Eka; Thiele, Torsten; Tilmann, Frederik; von Hildebrandt-Andrade, Christa; Wallace, Laura M.; Weinstein, Stuart A.; Wilcock, William S. D.; Barros, Jose</t>
  </si>
  <si>
    <t>The Joint Task Force, Science Monitoring And Reliable Telecommunications (SMART) Subsea Cables is working to integrate environmental sensors (temper-ature, pressure, seismic acceleration) into submarine telecommunications cables. This will support climate and ocean observation, sea-level monitoring, observa-tions of Earth structure, tsunami and earthquake early warning, and disaster risk reduction. Recent advances include regional SMART pilot systems that are the initial steps to trans-ocean and global implementation. Building on the OceanObs'19 conference and community white paper (https://doi.org/10.3389/ fmars.2019.00424), this paper presents an overview of the initiative and a description of ongoing projects including: InSea wet demonstration project off Sicily; Vanuatu and New Caledonia; Indonesia; CAM-2 ring system connecting the Portuguese mainland, Azores, and Madeira; New Zealand; and Antarctica. In addition to the diverse scientific and societal benefits, the telecommunications industry's mission of societal connectivity will also benefit because environmental awareness improves both individual cable system integrity and the resilience of the overall global communications network.</t>
  </si>
  <si>
    <t>[Rowe, Charlotte A.] Los Alamos Natl Lab, Earth &amp; Environm Sci Div, Los Alamos, NM 87545 USA; [Howe, Bruce M.] Univ Hawaii Manoa, Ocean &amp; Resources Engn, Sch Ocean &amp; Earth Sci &amp; Technol, Honolulu, HI 96822 USA; [Fouch, Matthew J.] Subsea Data Syst, Stuart, FL USA; [Angove, Michael] NOAA, Tsunami Program, Washington, DC USA; [Aucan, Jerome] Pacific Community Ctr Ocean Sci, Noumea, New Caledonia; [Barnes, Christopher R.] Univ Victoria, Sch Earth &amp; Ocean Sci, Victoria, BC, Canada; [Bayliff, Nigel] AquaComms Ltd, Dublin, Ireland; [Becker, Nathan C.; Weinstein, Stuart A.] NOAA, NWS, Pacific Tsunami Warning Ctr, Washington, DC USA; [Carrilho, Fernando] Inst Portugues Mar &amp; Atmosfera IP IPMA, Porto, Portugal; [Fry, Bill] Te Pu Ao GNS Sci, Auckland, New Zealand; [Janiszewski, Helen A.] Univ Hawaii Manoa, Dept Earth Sci, Honolulu, HI 96822 USA; [Jamelot, Anthony] Ctr Polynesien Prevent Des Tsunamis, Papeete Tahiti, French Polynesi, France; [Kong, Laura S. L.] Int Tsunami Informat Ctr, Honolulu, HI USA; [Lenz, Stephen T.] Ocean Specialists Inc, Stuart, FL USA; [Luther, Douglas S.] Univ Hawaii Manoa, Dept Oceanog, Cooperat Inst Marine &amp; Atmospher Res, Honolulu, HI 96822 USA; [Marinaro, Giuditta] Ist Nazl Geofis &amp; Vulcanol, Rome, Italy; [Matias, Luis] Univ Lisbon, Fac Ciencias, Inst Dom Luiz, Lisbon, Portugal; [Salaree, Amir] Univ Michigan, Ann Arbor, MI 48109 USA; [Sakya, Andi Eka] Natl Agcy Res &amp; Innovat, Kuala Lumpur, Malaysia; [Thiele, Torsten] Inst Adv Sustainabil Studies IASS, Potsdam, Germany; [Tilmann, Frederik] German Res Ctr Geosci GFZ, Potsdam, Germany; [von Hildebrandt-Andrade, Christa] NOAA, Int Tsunami Informat Ctr, Washington, DC USA; [Wallace, Laura M.] Univ Texas Austin, Austin, TX 78712 USA; [Wallace, Laura M.] Inst Geophys &amp; GNS Sci, Auckland, New Zealand; [Wilcock, William S. D.] Univ Washington, Sch Oceanog, Seattle, WA 98195 USA; [Barros, Jose] ANACOM, Lisbon, Portugal</t>
  </si>
  <si>
    <t>United States Department of Energy (DOE); Los Alamos National Laboratory; University of Hawaii System; University of Hawaii Manoa; National Oceanic Atmospheric Admin (NOAA) - USA; University of Victoria; National Oceanic Atmospheric Admin (NOAA) - USA; University of Hawaii System; University of Hawaii Manoa; University of Hawaii System; University of Hawaii Manoa; Istituto Nazionale Geofisica e Vulcanologia (INGV); Universidade de Lisboa; University of Michigan System; University of Michigan; Helmholtz Association; Helmholtz-Center Potsdam GFZ German Research Center for Geosciences; National Oceanic Atmospheric Admin (NOAA) - USA; University of Texas System; University of Texas Austin; University of Washington; University of Washington Seattle</t>
  </si>
  <si>
    <t>NASA(National Aeronautics &amp; Space Administration (NASA)); Gordon and BettyMoore Foundation(Gordon and Betty Moore Foundation)</t>
  </si>
  <si>
    <t>Author's and contributor's individual contributions and the support of their respective institutions are gratefully acknowledged. B.H. was supported by NASA (via Jet Propulsion Laboratory) NNN13D462T for the writing of this paper. The Gordon and BettyMoore Foundation is providing support for the development of SMARTcables via Grant GBMF10787 to theUniversity of Hawai'i. This is Los Ala-mos National Laboratory PublicationNumber LA-UR-22-23999. This isUniversity of Hawai'iatManoaSOEST Contribution Number 11538</t>
  </si>
  <si>
    <t>MARINE TECHNOLOGY SOC INC</t>
  </si>
  <si>
    <t>COLUMBIA</t>
  </si>
  <si>
    <t>5565 STERRETT PLACE, STE 108, COLUMBIA, MD 21044 USA</t>
  </si>
  <si>
    <t>0025-3324</t>
  </si>
  <si>
    <t>1948-1209</t>
  </si>
  <si>
    <t>MAR TECHNOL SOC J</t>
  </si>
  <si>
    <t>Mar. Technol. Soc. J.</t>
  </si>
  <si>
    <t>SEP-OCT</t>
  </si>
  <si>
    <t>Engineering, Ocean; Oceanography</t>
  </si>
  <si>
    <t>WOS:000880310500004</t>
  </si>
  <si>
    <t>Turetsky, Merritt R.; Benscoter, Brian; Page, Susan; Rein, Guillermo; van der Werf, Guido R.; Watts, Adam</t>
  </si>
  <si>
    <t>Globally, the amount of carbon stored in peats exceeds that stored in vegetation and is similar in size to the current atmospheric carbon pool. Fire is a threat to many peat-rich biomes and has the potential to disturb these carbon stocks. Peat fires are dominated by smouldering combustion, which is ignited more readily than flaming combustion and can persist in wet conditions. In undisturbed peatlands, most of the peat carbon stock typically is protected from smouldering, and resistance to fire has led to a build-up of peat carbon storage in boreal and tropical regions over long timescales. But drying as a result of climate change and human activity lowers the water table in peatlands and increases the frequency and extent of peat fires. The combustion of deep peat affects older soil carbon that has not been part of the active carbon cycle for centuries to millennia, and thus will dictate the importance of peat fire emissions to the carbon cycle and feedbacks to the climate.</t>
  </si>
  <si>
    <t>[Turetsky, Merritt R.] Univ Guelph, Dept Integrat Biol, Guelph, ON N1G 1G2, Canada; [Benscoter, Brian] Florida Atlantic Univ, Dept Biol Sci, Davie, FL 33314 USA; [Page, Susan] Univ Leicester, Dept Geog, Leicester LE1 7RH, Leics, England; [Rein, Guillermo] Univ London Imperial Coll Sci Technol &amp; Med, Dept Mech Engn, London SW7 2AZ, England; [van der Werf, Guido R.] Vrije Univ Amsterdam, Fac Earth &amp; Life Sci, NL-1081 HV Amsterdam, Netherlands; [Watts, Adam] Desert Res Inst, Div Atmospher Sci, Reno, NV 89512 USA</t>
  </si>
  <si>
    <t>University of Guelph; State University System of Florida; Florida Atlantic University; University of Leicester; Imperial College London; Vrije Universiteit Amsterdam; Nevada System of Higher Education (NSHE); Desert Research Institute NSHE</t>
  </si>
  <si>
    <t>NSERC(Natural Sciences and Engineering Research Council of Canada (NSERC)); NASA(National Aeronautics &amp; Space Administration (NASA)); EU(European Union (EU)); NERC(UK Research &amp; Innovation (UKRI)Natural Environment Research Council (NERC)); European Research Council(European Research Council (ERC)); EPSRC(UK Research &amp; Innovation (UKRI)Engineering &amp; Physical Sciences Research Council (EPSRC)); NSF(National Science Foundation (NSF)); Direct For Biological Sciences; Division Of Environmental Biology(National Science Foundation (NSF)NSF - Directorate for Biological Sciences (BIO))</t>
  </si>
  <si>
    <t>We thank A. D. McGuire and M. Flannigan for comments on previous versions of this manuscript. We also thank our numerous colleagues working in boreal, temperate, and tropical regions for their efforts and progress on the subject of peat fires. We acknowledge support from the NSERC and NASA to M. R. T., the EU and NERC to S.P., the European Research Council to G.R.v.d.W., EPSRC to G.R. and the NSF to A.W.</t>
  </si>
  <si>
    <t>10.1038/NGEO2325</t>
  </si>
  <si>
    <t>WOS:000346825000007</t>
  </si>
  <si>
    <t>Liu, Bin; Wang, Bin; Liu, Jian; Chen, Deliang; Ning, Liang; Yan, Mi; Sun, Weiyi; Chen, Kefan</t>
  </si>
  <si>
    <t>In order to understand the pure long-term influence of single mega volcanic eruption (SMVE) of universal significance on global and polar region temperature changes, the AD 1258 Samalas mega volcanic eruption in Indonesia which is the largest eruption over the past millennium is selected as an ideal eruption for simulation study based on Community Earth System Model. Both reconstructions and simulations show that the Northern Hemisphere experienced nearly two decades of strong cooling after the Samalas mega eruption. The significant cooling in the Arctic lasts for 16 years, while the cooling in the Antarctic lasts only 2 years. As the volcanic aerosol gradually disappears, stronger cooling occurs in Arctic winter, and warming occurs in Antarctic winter. This asymmetric temperature changes over Arctic and Antarctic after SMVE (such as Samalas) are caused by the combined effects of albedo feedback and ocean-atmosphere heat exchange related to sea ice.</t>
  </si>
  <si>
    <t>[Liu, Bin; Liu, Jian; Ning, Liang; Yan, Mi; Sun, Weiyi; Chen, Kefan] Nanjing Normal Univ, State Key Lab Cultivat Base Geog Environm Evolut, Jiangsu Ctr Collaborat Innovat Geog Informat Reso, Key Lab Virtual Geog Environm,Minist Educ,Sch Geo, Nanjing, Peoples R China; [Wang, Bin] Univ Hawaii Manoa, Dept Atmospher Sci, Honolulu, HI 96822 USA; [Wang, Bin] Univ Hawaii Manoa, Atmosphere Ocean Res Ctr, Honolulu, HI 96822 USA; [Liu, Jian] Nanjing Normal Univ, Sch Math Sci, Jiangsu Prov Key Lab Numer Simulat Large Scale Co, Nanjing, Peoples R China; [Liu, Jian; Ning, Liang; Yan, Mi] Qingdao Natl Lab Marine Sci &amp; Technol, Open Studio Simulat Ocean Climate Isotope, Qingdao, Peoples R China; [Chen, Deliang] Univ Gothenburg, Reg Climate Grp, Dept Earth Sci, Gothenburg, Sweden; [Ning, Liang] Univ Massachusetts, Climate Syst Res Ctr, Dept Geosci, Amherst, MA 01003 USA; [Ning, Liang] Chinese Acad Sci, Inst Earth Environm, State Key Lab Loess &amp; Quaternary Geol, Xian, Peoples R China</t>
  </si>
  <si>
    <t>Nanjing Normal University; University of Hawaii System; University of Hawaii Manoa; University of Hawaii System; University of Hawaii Manoa; Nanjing Normal University; Laoshan Laboratory; University of Gothenburg; University of Massachusetts System; University of Massachusetts Amherst; Chinese Academy of Sciences; Institute of Earth Environment, CAS</t>
  </si>
  <si>
    <t>National Natural Science Foundation of China(National Natural Science Foundation of China (NSFC)); National Key Research and Development Program of China; Priority Academic Program Development of Jiangsu Higher Education Institutions; Postgraduate Research &amp; Practice Innovation Program of Jiangsu Province; Jiangsu Center for Collaborative Innovation in Geographical Information Resource Development and Application; China Scholarship Council(China Scholarship Council)</t>
  </si>
  <si>
    <t>This research is jointly supported by the National Natural Science Foundation of China (grant no. 41971108), the National Key Research and Development Program of China (grant no. 2016YFA0600401), the Priority Academic Program Development of Jiangsu Higher Education Institutions (grant no. 164320H116), the Postgraduate Research &amp; Practice Innovation Program of Jiangsu Province (grant no. KYZZ16_0456), and the Jiangsu Center for Collaborative Innovation in Geographical Information Resource Development and Application. Bin Liu acknowledges China Scholarship Council (201606860006) for the financial support. This is publication No. 11135 of the School of Ocean and Earth Science and Technology, publication No. 1472 of the International Pacific Research Center and publication No. 324 of the Earth System Modeling Center.</t>
  </si>
  <si>
    <t>SEP 28</t>
  </si>
  <si>
    <t>10.1029/2020GL089416</t>
  </si>
  <si>
    <t>WOS:000576634400049</t>
  </si>
  <si>
    <t>Setiawan, Yudi; Rustiadi, Ernan; Yoshino, Kunihiko; Liyantono; Effendi, Hefni</t>
  </si>
  <si>
    <t>Accurate information of paddy fields over wide areas is essential to support sustainable agricultural and a food security program. Monitoring of these lands continuously, using remote sensing technology, will provide information related to the cropping intensity in the field, as well as its dynamics change. We characterized seasonal vegetation dynamics from long-term multi-temporal MODIS satellite datasets in order to determine cropping intensity and to analyze the dynamics change in paddy field of Java. The results indicate that the methodology employed in this research distinguished many specific uses in paddy fields as means of their cropping intensity. Moreover, the seasons were the most important factor affected the dynamics change in the agricultural system. Extreme climate variability caused many paddy fields, especially in non-irrigated land, to remain barren as well the planting time was postponed. Indeed, characterizing the long-term vegetation dynamics of paddy field provides information about the characteristics and trends in these land use types, either caused by natural factors or human activities.</t>
  </si>
  <si>
    <t>[Setiawan, Yudi; Effendi, Hefni] Bogor Agr Univ, Environm Res Ctr, Bogor 16680, Indonesia; [Rustiadi, Ernan] Bogor Agr Univ, Fac Agr, Bogor 16680, Indonesia; [Yoshino, Kunihiko] Univ Tsukuba, Fac Engn Informat &amp; Syst, Tsukuba, Ibaraki 3058573, Japan; [Liyantono] Bogor Agr Univ, Fac Agr Technol &amp; Engn, Bogor 16680, Indonesia</t>
  </si>
  <si>
    <t>Bogor Agricultural University; Bogor Agricultural University; University of Tsukuba; Bogor Agricultural University</t>
  </si>
  <si>
    <t>Center for Environmental Research, Bogor Agricultural University (PPLH-IPB); Osaka Gas Foundation of International Cultural Exchange (OGFICE) Japan</t>
  </si>
  <si>
    <t>The authors would like to thank the Center for Environmental Research, Bogor Agricultural University (PPLH-IPB) for giving us opportunity to get the research funding. This research was partly funded by Osaka Gas Foundation of International Cultural Exchange (OGFICE) Japan for fiscal year 2012-2013. We would like to thank the Professional Fieldwork (Kuliah Kerja Profesi/KKP) Program, Faculty of Agriculture, Bogor Agricultural University and Wilona Octora for providing us with an intensive field observation data as reference dataset. Thanks to Devena Haggis who caught misprint mistakes in the manuscript.</t>
  </si>
  <si>
    <t>10.3390/ijgi3010110</t>
  </si>
  <si>
    <t>WOS:000358932700007</t>
  </si>
  <si>
    <t>Coxall, Helen K.; Jones, Tom Dunkley; Jones, Amy P.; Lunt, Peter; MacMillan, Ian; Marliyani, Gayatri I.; Nicholas, Christopher J.; O'Halloran, Aoife; Piga, Emanuela; Sanyoto, Prihardjo; Rahardjo, Wartono; Pearson, Paul N.</t>
  </si>
  <si>
    <t>The Nanggulan section in south central Java comprises open marine sediments and volcanic deposits of Eocene-Oligocene age that accumulated in a marginal basin within the young Sunda Arc complex. A new borehole captures the stratigraphy and showcases the exceptional preservation of calcareous microfossils across an apparently complete Eocene-Oligocene Transition (EOT), a time interval significant for the initiation of continental-scale glaciation on Antarctica. Low-resolution benthic and planktonic foraminifera oxygen and carbon stable isotopes (delta O-18 and delta C-13) record increasing delta O-18 and delta C-13 in the basal Oligocene, allowing correlation to global records. Isotopic values imply warm temperatures and relatively high nutrients along the SE Java margin. The Nanggulan EOT is a valuable archive for reconstructing ocean-climate behaviour and plankton evolution and extinction in the Indo-Pacific Warm Pool. The borehole also adds to understanding of the early stages of Sunda Arc volcanism.</t>
  </si>
  <si>
    <t>[Coxall, Helen K.] Stockholm Univ, Dept Geol Sci, SE-10691 Stockholm, Sweden; [Jones, Tom Dunkley; Jones, Amy P.] Univ Birmingham, Sch Geog Earth &amp; Environm Sci, Birmingham B15 2TT, W Midlands, England; [Lunt, Peter] Univ Teknol Petronas, South East Asia Clast &amp; Carbonate Res Lab, Seri Iskandar 32610, Perak, Malaysia; [MacMillan, Ian; Piga, Emanuela; Pearson, Paul N.] Cardiff Univ, Sch Earth &amp; Ocean, Main Bldg,Pk Pl, Cardiff CF10 3AT, Wales; [Marliyani, Gayatri I.; Rahardjo, Wartono] Univ Gadjah Mada, Fac Engn, Dept Geol Engn, Jl Grafika 02, Bulaksumur 55281, Yogyakarta, Indonesia; [Nicholas, Christopher J.; O'Halloran, Aoife] Trinity Coll Dublin, Dept Geol, Dublin 2, Ireland; [Sanyoto, Prihardjo] Geol Res &amp; Dev Ctr, Jl Diponegoro 57, Bandung 40122, Indonesia</t>
  </si>
  <si>
    <t>Stockholm University; University of Birmingham; Universiti Teknologi Petronas; Cardiff University; Gadjah Mada University; Trinity College Dublin</t>
  </si>
  <si>
    <t>UK Natural Environment Research Council (NERC)(UK Research &amp; Innovation (UKRI)Natural Environment Research Council (NERC)); Royal Society University Research Fellowship(Royal Society); NERC CENTA Doctoral Training Programme; NERC GW4+ Ph.D. Research Grant(UK Research &amp; Innovation (UKRI)Natural Environment Research Council (NERC))</t>
  </si>
  <si>
    <t>This study was funded primarily by UK Natural Environment Research Council (NERC) Small Grant NE/C514523 `Eocene-Oligocene climate change in Indonesia' to P.N.P. H.K.C.'s participation and the foraminifera stable isotope and SEM analysis were supported by a Royal Society University Research Fellowship awarded to H.K.C. Calcareous nannofossil research by A.P.J. was funded by the NERC CENTA Doctoral Training Programme. E. Piga was supported by an NERC GW4+ Ph.D. Research Grant (NE/L002434/1).</t>
  </si>
  <si>
    <t>10.1144/jgs2021-006</t>
  </si>
  <si>
    <t>WOS:000670654800001</t>
  </si>
  <si>
    <t>Gugliotta, Marcello; Saito, Yoshiki; Ben, Bunnarin; Sieng, Sotham; Oliver, Thomas S. N.</t>
  </si>
  <si>
    <t>The study of channel margin deposits is crucial to better understand fluvial systems and has significant social and economic implications. This paper describes sedimentological features of Late Holocene levee and point-bar deposits from five excellent outcrop exposures along the Cambodian tract of the Mekong River. Point-bar deposits show a typical fining-upward trend with low-angle inclined bedding and consist of gravelly sand, sand and mud beds. Levee deposits show a typical coarsening-upward or no clear vertical grain-size trend and consist of mud and very fine sand beds. Channel margin deposits formed in the outer river bend show a simple levee element, whereas inner bend deposits show more complex architecture with combinations of point-bar and levee elements. Water-level fluctuations play a fundamental role in the construction of point-bar and levee architecture; the resulting deposits show evidence of strong river currents with rapid sedimentation alternating with evidence of subaerial exposure with no sedimentation. This combination of sedimentary features can also form in other environments, but is distinctive of channel margin deposits forming in climates with a pronounced seasonality, including large and perennial rivers in tropical savannah climate areas.</t>
  </si>
  <si>
    <t>[Gugliotta, Marcello; Saito, Yoshiki] AIST, Geol Survey Japan, Cent 7,Higashi 1-1-1, Tsukuba, Ibaraki 3058567, Japan; [Saito, Yoshiki] Shimane Univ, Estuary Res Ctr, 1060 Nishikawatsu Cho, Matsue, Shimane 6908504, Japan; [Ben, Bunnarin; Sieng, Sotham] MIME, GDMR, Dept Geol, Phnom Penh, Cambodia; [Oliver, Thomas S. N.] Univ Wollongong, Sch Earth &amp; Environm Sci, Wollongong, NSW 2522, Australia</t>
  </si>
  <si>
    <t>National Institute of Advanced Industrial Science &amp; Technology (AIST); Shimane University; University of Wollongong</t>
  </si>
  <si>
    <t>M.G. benefited from a Postdoctoral Fellowship for Overseas Researchers (Short-term) from the Japan Society for the Promotion of Science (JSPS).</t>
  </si>
  <si>
    <t>10.1144/jgs2017-047</t>
  </si>
  <si>
    <t>WOS:000419796900013</t>
  </si>
  <si>
    <t>Choi, Ki-Seon; Cha, Yu-Mi; Kang, Sung-Dae; Kim, Hae-Dong; Kim, Baek-Jo</t>
  </si>
  <si>
    <t>This study discovered that strong positive correlations exist between the frequency of tropical cyclones (TC) during the summer around Taiwan and the Arctic Oscillation (AO) during the preceding March to May period. In positive AO years, during the preceding spring to summer period, anomalous cyclone and anomalous anticyclone were strongly developed at low and middle latitudes, respectively. Because of such a distribution of pressure system, in Taiwan, Korea, and Japan during the positive AO years, anomalous southeasterlies, which play the role of anomalous steering flows in transferring TCs to these regions, were strengthened. On the other hand, in southern China and the Indochina Peninsula during the positive AO years, anomalous northwesterlies, which prevent the transfer of TCs to these regions, were strengthened. Moreover, such a distribution of pressure system strengthening during the positive AO years led TCs to occur, move, and recurve more eastward in the western North Pacific in positive AO years as compared with the negative AO years. Contrarily, during the negative AO years, TCs showed the tendency to pass over the South China Sea from the Philippines and move west toward southern China and the Indochina Peninsula. Eventually, the intensity of TCs in these years was lower than that of TCs in positive AO years due to the topographic effects from a high TC passage frequency in mainland China.</t>
  </si>
  <si>
    <t>[Choi, Ki-Seon; Cha, Yu-Mi; Kang, Sung-Dae] Korea Meteorol Adm, Natl Typhoon Ctr, Seoul, South Korea; [Kim, Hae-Dong] Keimyung Univ, Dept Environm Conservat, Taegu, South Korea; [Kim, Baek-Jo] Natl Inst Meteorol Res, Seoul, South Korea; [Kim, Hae-Dong] Keimyung Univ, Dept Environm Conservat, Taegu, South Korea</t>
  </si>
  <si>
    <t>Korea Meteorological Administration (KMA); Keimyung University; Keimyung University</t>
  </si>
  <si>
    <t>10.1007/s00704-013-0983-0</t>
  </si>
  <si>
    <t>WOS:000335152500024</t>
  </si>
  <si>
    <t>Wang, Xinyue; Randel, William; Pan, Laura; Wu, Yutian; Zhang, Pengfei</t>
  </si>
  <si>
    <t>The Asian monsoon anticyclone (AMA) exhibits a trimodal distribution of sub-vortices and the western Pacific is one of the preferred locations. Amplification of the western Pacific anticyclone (WPA) is often linked with eastward eddy shedding from the AMA, although the processes are not well understood. This study investigates the dynamics driving eastward eddy shedding associated with the emergence of the WPA in the upper troposphere and lower stratosphere on synoptic scales. Using reanalysis data during 1979-2019, our composite analysis reveals that amplified WPA events are tied to the upstream Silk Road (SR) wave-train pattern over midlatitude Eurasia as identified in previous studies. The quasi-stationary eastward propagating eddies result from baroclinic excitation along the westerly jet, as identified by coherent eddy heat fluxes and weakening of the low-level temperature gradient. The upper-level westerly jet is important in determining the longitudinal phase-locking of wave trains, which are anchored and amplify near the jet exit. Occasionally enhanced convection near the Philippines also triggers anticyclonic eddies that propagate upward and northeastward via the Pacific-Japan (PJ) pattern, forming the WPA in the upper troposphere. Correlation analysis suggests that the SR and PJ mechanisms are not physically correlated.</t>
  </si>
  <si>
    <t>[Wang, Xinyue] Natl Ctr Atmospher Res, Adv Study Program, POB 3000, Boulder, CO 80307 USA; [Wang, Xinyue; Randel, William; Pan, Laura] Natl Ctr Atmospher Res, Atmospher Chem Observat &amp; Modeling Lab, POB 3000, Boulder, CO 80307 USA; [Wu, Yutian] Columbia Univ, Lamont Doherty Earth Observ, Palisades, NY USA; [Zhang, Pengfei] Penn State Univ, Dept Meteorol &amp; Atmospher Sci, University Pk, PA 16802 USA</t>
  </si>
  <si>
    <t>National Center Atmospheric Research (NCAR) - USA; National Center Atmospheric Research (NCAR) - USA; Columbia University; Pennsylvania Commonwealth System of Higher Education (PCSHE); Pennsylvania State University; Pennsylvania State University - University Park</t>
  </si>
  <si>
    <t>NSF via the NCAR's Advanced Study Program Postdoctoral Fellowship; National Science Foundation(National Science Foundation (NSF))</t>
  </si>
  <si>
    <t>Discussions with Philip Rupp and Peter Haynes provided valuable insights into this work. Comments by Shawn Honomichl, Warren Smith, Chris Davis, Na Wang, as well as careful reading by three anonymous reviewers led to substantial improvements in presentation. The authors appreciate the constructive discussion with the UTLS Group at the Atmospheric Chemistry Observations and Modeling, NCAR. We also acknowledge high-performance computing support from Brown Community Cluster provided by Purdue University. Xinyue Wang is supported by the NSF via the NCAR's Advanced Study Program Postdoctoral Fellowship. The NCAR is sponsored by the National Science Foundation.</t>
  </si>
  <si>
    <t>MAR 27</t>
  </si>
  <si>
    <t>10.1029/2021JD036090</t>
  </si>
  <si>
    <t>WOS:000776518200001</t>
  </si>
  <si>
    <t>Zou Liwei</t>
  </si>
  <si>
    <t>A new regional coupled ocean-atmosphere model, WRF4-LICOM, was used to investigate the impacts of regional air-sea coupling on the simulation of the western North Pacific summer monsoon (WNPSM), with a focus on the normal WNPSM year 2005. Compared to WRF4, WRF4-LICOM improved the simulation of the summer mean monsoon rainfall, circulations, sea surface net heat fluxes, and propagations of the daily rainband over the WNP. The major differences between the models were found over the northern South China Sea and east of the Philippines. The warmer SST reduced the gross moist stability of the atmosphere and increased the upward latent heat flux, and then drove local ascending anomalies, which led to the increase of rainfall in WRF4-LICOM. The resultant enhanced atmospheric heating drove a low-level anomalous cyclone to its northwest, which reduced the simulated circulation biases in the stand-alone WRF4 model. The local observed daily SST over the WNP was a response to the overlying summer monsoon. In the WRF4 model, the modeled atmosphere exhibited passive response to the underlying daily SST anomalies. With the inclusion of regional air-sea coupling, the simulated daily SST-rainfall relationship was significantly improved. WRF4-LICOM is recommended for future dynamical downscaling of simulations and projections over this region.</t>
  </si>
  <si>
    <t>[Zou Liwei] Chinese Acad Sci, Inst Atmospher Phys, State Key Lab Numer Modeling Atmospher Sci &amp; Geop, Beijing, Peoples R China</t>
  </si>
  <si>
    <t>This work was jointly supported by the National Natural Science Foundation of China [grant number 41875132] and The National Key Research and Development Program of China [grant number 2018YFA0606003].</t>
  </si>
  <si>
    <t>KEAI PUBLISHING LTD</t>
  </si>
  <si>
    <t>16 DONGHUANGCHENGGEN NORTH ST, Building 5, Room 411, BEIJING, DONGCHENG DISTRICT 100009, PEOPLES R CHINA</t>
  </si>
  <si>
    <t>1674-2834</t>
  </si>
  <si>
    <t>2376-6123</t>
  </si>
  <si>
    <t>ATMOS OCEAN SCI LETT</t>
  </si>
  <si>
    <t>Atmos. Ocean. Sci. Lett.</t>
  </si>
  <si>
    <t>10.1080/16742834.2020.1819755</t>
  </si>
  <si>
    <t>WOS:000576457700001</t>
  </si>
  <si>
    <t>Feng, Xiangbo; Hodges, Kevin, I; Hoang, Lam; Pura, Alvin G.; Yang, Gui-Ying; Luu, Huyen; David, Shirley J.; Duran, Ger Anne M. W.; Guo, Yi-Peng</t>
  </si>
  <si>
    <t>Predicting the peak-season (July-September) tropical cyclones (TCs) in Southeast Asia (SEA) several months ahead remains challenging, related to limited understanding and prediction of the dynamics affecting the variability of SEA TC activity. Here, we introduce a new statistical approach to sequentially identify mutually independent predictors for the occurrence frequency of peak-season TCs in the South China Sea (SCS) and east of the Philippines (PHL). These predictors, which are identified from the preseason (April-June) environmental fields, can capture the interannual variability of different clusters of peak-season TCs, through a cross-season effect on large-scale environment that governs TC genesis and track. The physically oriented approach provides a skillful seasonal prediction in the 41-year period (1979-2019), with r = 0.73 and 0.54 for SCS and PHL TC frequency, respectively. The lower performance for PHL TCs is likely related to the nonstationarity of the cross-season TC-environment relationship. We further develop the statistical approach to a hybrid method using the predictors derived from dynamical seasonal forecasts. The hybrid prediction shows a significant skill for both SCS and PHL TCs, for lead times up to four or 5 months ahead, related to the good performance of models for the sea surface temperatures and low-level winds in the tropics. The statistical and hybrid predictions outperform the dynamical predictions, showing the potential for operational use.</t>
  </si>
  <si>
    <t>[Feng, Xiangbo; Hodges, Kevin, I; Yang, Gui-Ying] Univ Reading, Dept Meteorol, Natl Ctr Atmospher Sci, Reading, Berks, England; [Hoang, Lam; Luu, Huyen] Vietnam Meteorol Hydrol Adm VNMHA, Natl Ctr Hydrometeorol Forecasing, Hanoi, Vietnam; [Pura, Alvin G.; David, Shirley J.; Duran, Ger Anne M. W.] Philippine Atmosphere Geophys &amp; Astron Serv Adm P, Res &amp; Dev &amp; Training Div, Quezon City, Philippines; [Guo, Yi-Peng] Nanjing Univ, Sch Atmospher Sci, Minist Educ, Key Lab Mesoscale Severe Weather, Nanjing, Peoples R China</t>
  </si>
  <si>
    <t>UK Research &amp; Innovation (UKRI); Natural Environment Research Council (NERC); NERC National Centre for Atmospheric Science; University of Reading; Nanjing University</t>
  </si>
  <si>
    <t>UK Met Office Weather and Climate Science for Service Partnership for Southeast Asia, as part of the Newton Fund; National Centre for Atmospheric Science ODA national capability programme ACREW - NERC; GCRF(UK Research &amp; Innovation (UKRI))</t>
  </si>
  <si>
    <t>Xiangbo Feng, Kevin Hodges, and Gui-Ying Yang were supported by the UK Met Office Weather and Climate Science for Service Partnership for Southeast Asia, as part of the Newton Fund. Gui-Ying Yang was also supported by the National Centre for Atmospheric Science ODA national capability programme ACREW (NE/R000034/1), which is supported by NERC and the GCRF.</t>
  </si>
  <si>
    <t>JUN 27</t>
  </si>
  <si>
    <t>10.1029/2022JD036439</t>
  </si>
  <si>
    <t>WOS:000813961200001</t>
  </si>
  <si>
    <t>Zhou, Zhen-Qiang; Xie, Shang-Ping; Zhang, Guang J.; Zhou, Wenyu</t>
  </si>
  <si>
    <t>Local correlation between sea surface temperature (SST) and rainfall is weak or even negative in summer over the Indo-western Pacific warm pool, a fact often taken as indicative of weak ocean feedback on the atmosphere. An Atmospheric Model Intercomparison Project (AMIP) simulation forced by monthly varying SSTs derived from a parallel coupled general circulation model (CGCM) run is used to evaluate AMIP skills in simulating interannual variability of rainfall. Local correlation of rainfall variability between AMIP and CGCMsimulations is used as a direct metric of AMIP skill. This perfect model'' approach sidesteps the issue of model biases that complicates the traditional skill metric based on the correlation between AMIP and observations. Despite weak local SST-rainfall correlation, the AMIP-CGCM rainfall correlation exceeds a 95% significance level over most of the Indo-western Pacific warm pool, indicating the importance of remote (e.g., El Nino in the equatorial Pacific) rather than local SST forcing. Indeed, the AMIP successfully reproduces large-scale modes of rainfall variability over the Indo-western Pacific warm pool. Compared to the northwest Pacific east of the Philippines, the AMIP-CGCMrainfall correlation is low from the Bay of Bengal through the South China Sea, limited by internal variability of the atmosphere that is damped in CGCM by negative feedback from the ocean. Implications for evaluating AMIP skill in simulating observations are discussed.</t>
  </si>
  <si>
    <t>[Zhou, Zhen-Qiang; Xie, Shang-Ping] Ocean Univ China, Phys Oceanog Lab, Cooperat &amp; Innovat Ctr Marine Sci &amp; Technol Qingd, Qingdao, Peoples R China; [Zhou, Zhen-Qiang; Xie, Shang-Ping] Qingdao Natl Lab Marine Sci &amp; Technol, Qingdao, Peoples R China; [Zhou, Zhen-Qiang; Xie, Shang-Ping; Zhang, Guang J.; Zhou, Wenyu] Univ Calif San Diego, Scripps Inst Oceanog, La Jolla, CA 92093 USA</t>
  </si>
  <si>
    <t>Ocean University of China; Laoshan Laboratory; University of California System; University of California San Diego; Scripps Institution of Oceanography</t>
  </si>
  <si>
    <t>National Key Research and Development Program of China; U.S. National Science Foundation(National Science Foundation (NSF)); National Basic Research Program of China(National Basic Research Program of China); China Scholarship Council(China Scholarship Council)</t>
  </si>
  <si>
    <t>We wish to thank Isaac Held for useful discussions. This work was supported by the National Key Research and Development Program of China (2016YFA0601804), U.S. National Science Foundation (1637450), National Basic Research Program of China (2012CB955600), and China Scholarship Council (201506330007).</t>
  </si>
  <si>
    <t>10.1175/JCLI-D-17-0123.1</t>
  </si>
  <si>
    <t>WOS:000427447000010</t>
  </si>
  <si>
    <t>Kamae, Youichi; Watanabe, Masahiro; Kimoto, Masahide; Shiogama, Hideo</t>
  </si>
  <si>
    <t>Land-sea surface air temperature (SAT) contrast, an index of tropospheric thermodynamic structure and dynamical circulation, has shown a significant increase in recent decades over East Asia during the boreal summer. In Part I of this two-part paper, observational data and the results of transient warming experiments conducted using coupled atmosphere-ocean general circulation models (GCMs) are analyzed to examine changes in land-sea thermal contrast and the associated atmospheric circulation over East Asia from the past to the future. The interannual variability of the land-sea SAT contrast over the Far East for 1950-2012 was found to be tightly coupled with a characteristic tripolar pattern of tropospheric circulation over East Asia, which manifests as anticyclonic anomalies over the Okhotsk Sea and around the Philippines, and a cyclonic anomaly over Japan during a positive phase, and vice versa. In response to CO2 increase, the cold northeasterly winds off the east coast of northern Japan and the East Asian rainband were strengthened with the circulation pattern well projected on the observed interannual variability. These results are commonly found in GCMs regardless of future forcing scenarios, indicating the robustness of the East Asian climate response to global warming. The physical mechanisms responsible for the increase of the land-sea contrast are examined in Part II.</t>
  </si>
  <si>
    <t>[Kamae, Youichi; Shiogama, Hideo] Natl Inst Environm Studies, Ctr Global Environm Res, 16-2 Onogawa, Tsukuba, Ibaraki 3058506, Japan; [Watanabe, Masahiro; Kimoto, Masahide] Univ Tokyo, Atmosphere &amp; Ocean Res Inst, Kashiwa, Chiba 2778568, Japan; [Shiogama, Hideo] Univ Oxford, Environm Change Inst, Oxford OX1 3QY, England</t>
  </si>
  <si>
    <t>National Institute for Environmental Studies - Japan; University of Tokyo; University of Oxford</t>
  </si>
  <si>
    <t>Ministry of Education, Culture, Sports, Science and Technology (MEXT), Japan(Ministry of Education, Culture, Sports, Science and Technology, Japan (MEXT)); Grants-in-Aid for Scientific Research(Ministry of Education, Culture, Sports, Science and Technology, Japan (MEXT)Japan Society for the Promotion of ScienceGrants-in-Aid for Scientific Research (KAKENHI))</t>
  </si>
  <si>
    <t>We acknowledge the World Climate Research Programme's Working Group on Coupled Modeling, which is responsible for CMIP, and we thank the climate modeling groups (listed in Table 1) for producing and making available their model output. For CMIP5, the US Department of Energy's Program for Climate Model Diagnosis and Intercomparison provided coordinating support, and led the development of the software infrastructure in partnership with the Global Organization for Earth System Science Portals. We would like to acknowledge Tokuta Yokohata, Tomoo Ogura and Seita Emori for providing helpful comments and suggestions. The authors are grateful to two anonymous reviewers for their constructive comments. This work was supported by the Program for Risk Information on Climate Change (SOUSEI program) from the Ministry of Education, Culture, Sports, Science and Technology (MEXT), Japan.</t>
  </si>
  <si>
    <t>10.1007/s00382-014-2073-0</t>
  </si>
  <si>
    <t>WOS:000344480100013</t>
  </si>
  <si>
    <t>Vallam, P.; Qin, X. S.</t>
  </si>
  <si>
    <t>Anthropogenic-driven climate change would affect the global ecosystem and is becoming a world-wide concern. Numerous studies have been undertaken to determine the future trends of meteorological variables at different scales. Despite these studies, there remains significant uncertainty in the prediction of future climates. To examine the uncertainty arising from using different schemes to downscale the meteorological variables for the future horizons, projections from different statistical downscaling schemes were examined. These schemes included statistical downscaling method (SDSM), change factor incorporated with LARS-WG, and bias corrected disaggregation (BCD) method. Global circulation models (GCMs) based on CMIP3 (HadCM3) and CMIP5 (CanESM2) were utilized to perturb the changes in the future climate. Five study sites (i.e., Alice Springs, Edmonton, Frankfurt, Miami, and Singapore) with diverse climatic conditions were chosen for examining the spatial variability of applying various statistical downscaling schemes. The study results indicated that the regions experiencing heavy precipitation intensities were most likely to demonstrate the divergence between the predictions from various statistical downscaling methods. Also, the variance computed in projecting the weather extremes indicated the uncertainty derived from selection of downscaling tools and climate models. This study could help gain an improved understanding about the features of different downscaling approaches and the overall downscaling uncertainty.</t>
  </si>
  <si>
    <t>[Vallam, P.; Qin, X. S.] Nanyang Technol Univ, NEWRI, EPMC, Singapore 639798, Singapore; [Qin, X. S.] Nanyang Technol Univ, Sch Civil &amp; Environm Engn, Singapore 639798, Singapore</t>
  </si>
  <si>
    <t>Academic Research Fund Tier 1 from Ministry of Education (MOE), Singapore(Ministry of Education, Singapore); Academic Research Fund Tier 1 (WBS) from Ministry of Education (MOE), Singapore(Ministry of Education, Singapore); Nanyang Technological University (NTU) Start-Up Grant(Nanyang Technological University); Environmental Process Modeling Centre (EPMC), Nanyang Environment &amp; Water Research Institute (NEWRI), Singapore</t>
  </si>
  <si>
    <t>The study was supported by Academic Research Fund Tier 1 (Ref188/14; WBS no.: M4011420.030) from Ministry of Education (MOE), Singapore, and in part by Nanyang Technological University (NTU) Start-Up Grant (WBS: M4081327.030). The authors also appreciate the support from Environmental Process Modeling Centre (EPMC), Nanyang Environment &amp; Water Research Institute (NEWRI), Singapore.</t>
  </si>
  <si>
    <t>10.1007/s00704-017-2299-y</t>
  </si>
  <si>
    <t>WOS:000446552300044</t>
  </si>
  <si>
    <t>Syed, F. S.; Iqbal, Waheed; Syed, Ahsan Ali Bukhari; Rasul, G.</t>
  </si>
  <si>
    <t>The uncertainties in the regional climate models (RCMs) are evaluated by analyzing the driving global data of ERA40 reanalysis and ECHAM5 general circulation models, and the downscaled data of two RCMs (RegCM4 and PRECIS) over South-Asia for the present day simulation (1971-2000) of South-Asian summer monsoon. The differences between the observational datasets over South-Asia are also analyzed. The spatial and the quantitative analysis over the selected climatic regions of South-Asia for the mean climate and the inter-annual variability of temperature, precipitation and circulation show that the RCMs have systematic biases which are independent from different driving datasets and seems to come from the physics parameterization of the RCMs. The spatial gradients and topographically-induced structure of climate are generally captured and simulated values are within a few degrees of the observed values. The biases in the RCMs are not consistent with the biases in the driving fields and the models show similar spatial patterns after downscaling different global datasets. The annual cycle of temperature and rainfall is well simulated by the RCMs, however the RCMs are not able to capture the inter-annual variability. ECHAM5 is also downscaled for the future (2071-2100) climate under A1B emission scenario. The climate change signal is consistent between ECHAM5 and RCMs. There is warming over all the regions of South-Asia associated with increasing greenhouse gas concentrations and the increase in summer mean surface air temperature by the end of the century ranges from 2.5 to 5 A degrees C, with maximum warming over north western parts of the domain and 30 % increase in rainfall over north eastern India, Bangladesh and Myanmar.</t>
  </si>
  <si>
    <t>[Syed, F. S.] COMSATS Inst Informat Technol, Dept Meteorol, CCRD, Islamabad 44000, Pakistan; [Syed, F. S.; Iqbal, Waheed; Syed, Ahsan Ali Bukhari; Rasul, G.] Pakistan Meteorol Dept, Div Res &amp; Dev, Islamabad 44000, Pakistan</t>
  </si>
  <si>
    <t>COMSATS University Islamabad (CUI)</t>
  </si>
  <si>
    <t>10.1007/s00382-013-1963-x</t>
  </si>
  <si>
    <t>WOS:000334068100023</t>
  </si>
  <si>
    <t>Large volcanic eruptions cause short-term climate change owing to the convective rise of fine ash and aerosols into the stratosphere. Volcanic plumes are, however, also associated with large net electrical charges that can also influence the dynamics of their ash particles. Here I show that electrostatic levitation of ash from plumes with a net charge is capable of injecting volcanic particles &lt;500 nm in diameter into the ionosphere in large eruptions lasting more than a few hours. Measured disturbances in the ionosphere during eruptions, and the first discovery of polar mesospheric clouds after the A.D. 1883 Krakatau (Indonesia) eruption, are both consistent with levitation of ash into the mesosphere. Supervolcano eruptions are likely to inject significant quantities of charged ash into the ionosphere, resulting in disturbance or collapse of the global electrical circuit on time scales of 10(2) s. Because atmospheric electrical potential moderates cloud formation, large eruptions may have abrupt effects on climate through radiative forcing. Average air temperature and precipitation records from the 1883 eruption of Krakatau are consistent with a sudden effect on climate.</t>
  </si>
  <si>
    <t>[Genge, Matthew J.] Imperial Coll London, Dept Earth Sci &amp; Engn, IARC, Exhibit Rd, London SW7 2AZ, England; [Genge, Matthew J.] Nat Hist Museum, Earth Sci Dept, Cromwell Rd, London SW7 2BW, England</t>
  </si>
  <si>
    <t>Imperial College London; Natural History Museum London; Natural History Museum London</t>
  </si>
  <si>
    <t>UK Science and Technology Facilities Council (STFC)(UK Research &amp; Innovation (UKRI)Science &amp; Technology Facilities Council (STFC)); STFC(UK Research &amp; Innovation (UKRI)Science &amp; Technology Facilities Council (STFC))</t>
  </si>
  <si>
    <t>This work was funded by the UK Science and Technology Facilities Council (STFC, grant ST/N000803/1). I am grateful to the two anonymous reviewers for their helpful comments. A student whose hair charged in a thunderstorm is thanked for inspiring this study.</t>
  </si>
  <si>
    <t>10.1130/G45092.1</t>
  </si>
  <si>
    <t>WOS:000445256000001</t>
  </si>
  <si>
    <t>Guo, Yaru; Li, Yuanlong; Cheng, Lijing; Chen, Gengxin; Liu, Qinyan; Tian, Tian; Hu, Shijian; Wang, Jing; Wang, Fan</t>
  </si>
  <si>
    <t>While the pivotal role of the Indonesian Throughflow (ITF) in the global ocean circulation and climate has been widely recognized, accurate estimation of its volume transport based on observational data remains challenging. This work provides an updated estimate of the monthly ITF geostrophic transport (ITFG) in the upper 700 m at the IX1 section between Indonesia and Australia. The ITFG estimate is better constrained by improved data correction and new salinity data products. The mean ITFG of 1993-2018 is 8.2 &amp; PLUSMN; 0.2 Sv, in which contributions of the temperature and salinity components (ITFT and ITFS) are 5.5 &amp; PLUSMN; 0.2 and 2.8 &amp; PLUSMN; 0.1 Sv, respectively. The interannual variability (&amp; SIM;4.4 Sv in standard deviation) is dominated by ITFT, as the result of wind-driven thermocline dynamics, and slightly attenuated in amplitude by ITFS. The strengthening trend of 1.33 Sv decade(-1) during 1993-2018 primarily arises from ITFS and secondarily from ITFT.</t>
  </si>
  <si>
    <t>[Guo, Yaru; Li, Yuanlong; Hu, Shijian; Wang, Jing; Wang, Fan] Chinese Acad Sci, Inst Oceanol, CAS Key Lab Ocean Circulat &amp; Waves, Qingdao, Peoples R China; [Li, Yuanlong; Hu, Shijian; Wang, Jing; Wang, Fan] Laoshan Lab, Qingdao, Peoples R China; [Cheng, Lijing; Tian, Tian] Chinese Acad Sci, Inst Atmospher Phys, Beijing, Peoples R China; [Chen, Gengxin; Liu, Qinyan] Chinese Acad Sci, South China Sea Inst Oceanol, State Key Lab Trop Oceanog, Guangzhou, Peoples R China; [Tian, Tian] Natl Univ Def Technol, Coll Meteorol &amp; Oceanog, Changsha, Peoples R China</t>
  </si>
  <si>
    <t>Chinese Academy of Sciences; Institute of Oceanology, CAS; Laoshan Laboratory; Chinese Academy of Sciences; Institute of Atmospheric Physics, CAS; Chinese Academy of Sciences; South China Sea Institute of Oceanology, CAS; National University of Defense Technology - China</t>
  </si>
  <si>
    <t>National Key Ramp;D Program of China; Strategic Priority Research Program of CAS; Laoshan Laboratory; Interdisciplinary Innovation Team of Chinese Academy of Sciences; China Postdoctoral Science Foundation(China Postdoctoral Science Foundation); IOCAS; Oceanographic Data Center</t>
  </si>
  <si>
    <t>We thank two reviewers for providing comments. This work is supported by the National Key R &amp; amp;D Program of China (2019YFA0606702), the Strategic Priority Research Program of CAS (XDB42000000), the Laoshan Laboratory (LSKJ202202601), the Interdisciplinary Innovation Team of Chinese Academy of Sciences (JCTD-2020-12), the China Postdoctoral Science Foundation (2022M723182), and the Oceanographic Data Center, IOCAS.</t>
  </si>
  <si>
    <t>10.1029/2023GL103748</t>
  </si>
  <si>
    <t>WOS:001022459700001</t>
  </si>
  <si>
    <t>Li, Sanai; Wang, Qingguo; Chun, J. A.</t>
  </si>
  <si>
    <t>In order to assess the impact of climate change on rice yields for the Indochina peninsula region, a regional rice model was forced with climate variables from CORDEX-East Asia climate models. The future climate's impact on rice yield varies between countries, and it is dependent on both current climate conditions and the projected future climate. Climate change alone would lead to a 3.5-23.2% and 5.8-27.2% reduction in rice yield for the 2020s and 2040s, respectively, in the Indochinese peninsula, with the largest decreases in Cambodia. The negative impacts of climate change on rice can be partly offset by the positive effect of CO2 fertilization. For the Indochinese peninsula regions, changes in rice yield are quite sensitive to increases in temperature, and each one-degree increase in temperature can cause about a 10.26% reduction in rice yields. The uncertainty in the predicted temperature from the regional climate models used contributed to approximately 59.7% of the uncertainty in rice yield projections. This result implies that the uncertainty in the projected temperatures from climate models could be one of the major sources of uncertainty in impact assessments. In this study, adaptation strategies, including changes in planting dates and use of irrigation and heat tolerant varieties, were tested. The use of tolerant varieties and shifting planting date are simple management responses that may offset a small part of the negative impact of climate change. For all the countries in the Indochinese peninsula, the CO2 fertilization effect and irrigation can offset most of the negative impacts caused by climate change by 2050, and irrigation is an effective adaptation method.</t>
  </si>
  <si>
    <t>[Li, Sanai; Wang, Qingguo; Chun, J. A.] APEC Climate Ctr, 12 Centum 7 Ro, Busan 48058, South Korea</t>
  </si>
  <si>
    <t>APEC Climate Center</t>
  </si>
  <si>
    <t>This research was supported by the APEC Climate Center. Also, we acknowledge the CORDEX-East Asia Databank, which is responsible for the CORDEX dataset, and we thank the National Institute of Meteorological Research (NIMR), three universities in the Republic of Korea (Seoul National University, Yonsei University, Kongju National University) and other cooperative research institutes in East Asia region for producing and making their model output available.</t>
  </si>
  <si>
    <t>10.1002/joc.5072</t>
  </si>
  <si>
    <t>WOS:000417298600077</t>
  </si>
  <si>
    <t>Re, Viviana; Thin, Myat Mon; Setti, Massimo; Comizzoli, Sergio; Sacchi, Elisa</t>
  </si>
  <si>
    <t>Assessing aquifer dynamics and groundwater interactions with surface waters are prerequisite for the correct management of water resources in the long-term, especially under the increasing pressure of climate change and the growing freshwater demand. This work presents the results of the first integrated assessment in the Inle Lake catchment aimed at understanding the surface and groundwater dynamics and the impact of agriculture and tourism on water quality. Results of an investigation performed in winter 2015, targeting the water chemical and isotopic (delta O-18(H2O) and delta O-18(H2O)) composition, and soil mineralogy, confirmed that Inle is an alkaline lake, where carbonate equilibria dominate its hydrochemistry. The high resilience of the lake to external perturbations is due to calcite precipitation, that represents an effective mechanism of P removal and, combined to the low residence time of water, prevents the accumulation of nutrients in lake waters. The investigation also permitted the first characterization of groundwater in the region, highlighting the dominance of Mg(Ca)-HCO3 facies. Two deep groundwater circulations could be evidenced: one of high temperature, Na-HCO3 type (Khaung Daing Hot Spring) and one in equilibrium with the dolomitic rocks of the basement, upwelling along a fault zone oriented N-S in the Northern part of the basin. The latter groundwater contributes to Inle lake by mixing with local recharge in the aquifer and by feeding the network of artificial channels created for reclamation purposes. Evidencing recharge mechanisms of both surface and groundwater makes it possible to highlight the impact of seasonal fluctuations of the water levels, and the associated flooding of some sectors of the catchment, on the Inle Lake agroecosystems and to evaluate possible scenarios for the future sustainable development of the region.</t>
  </si>
  <si>
    <t>[Re, Viviana; Setti, Massimo; Comizzoli, Sergio; Sacchi, Elisa] Univ Pavia, Dept Earth &amp; Environm Sci, Via Ferrata 1, I-27100 Pavia, Italy; [Thin, Myat Mon] Univ Mandalay, Dept Phys, Mandalay, Myanmar</t>
  </si>
  <si>
    <t>University of Pavia</t>
  </si>
  <si>
    <t>Erasmus + programme(Erasmus+); University of Pavia</t>
  </si>
  <si>
    <t>The mobility towards Myanmar was supported by the Erasmus + programme, KA107 International Credit Mobility, Outgoing Teaching Mobility Grants 2015-2017 managed by the University of Pavia. The University of Pavia also supported the work of Viviana Re through the Fondo Ricerca &amp; Giovani funding scheme. Authors wish to sincerely thank Mrs. Mya, Professor (Rtd.), Yezin Agricultural University, Myanmar for her help through the sampling campaign and Dr. Enrico Allais of ISO4 for the construction of the smart sampling devices used for water collection. We would like to thank the colleagues of the Department of Geology of the University of Mandalay for their critical review of the conceptual model presented in the manuscript. We greatly appreciated the valuable comments and useful suggestions for improving our research in the Inle Lake area provided by an anonymous reviewer.</t>
  </si>
  <si>
    <t>0883-2927</t>
  </si>
  <si>
    <t>1872-9134</t>
  </si>
  <si>
    <t>APPL GEOCHEM</t>
  </si>
  <si>
    <t>Appl. Geochem.</t>
  </si>
  <si>
    <t>10.1016/j.apgeochem.2018.03.005</t>
  </si>
  <si>
    <t>WOS:000432195100008</t>
  </si>
  <si>
    <t>Guo Junru; Liu Yulong; Song Jun; Bao Xianwen; Li Yan; Chen Shaoyang; Yang Jinkun</t>
  </si>
  <si>
    <t>The equatorial Current in the North Pacific (NEC) is an upper layer westward ocean current, which flows to the west boundary of the ocean, east of the Philippines, and bifurcates into the northerly Kuroshio and the main body of the southerly Mindanao current. Thus, NEC is both the south branch of the Subtropical Circulation and the north branch of the Tropical Circulation. The junction of the two branches extends to the west boundary to connect the bifurcation points forming the bifurcation line. The position of the North Pacific Equatorial Current bifurcation line of the surface determines the exchange between and the distribution of subtropical and tropical circulations, thus affecting the local or global climate. A new identification method to track the line and the bifurcation channel was used in this study, focusing on the climatological characteristics of the western boundary of the North Equatorial Current bifurcation line. The long-term average NEC west boundary bifurcation line shifts northwards with depth. In terms of seasonal variation, the average position of the western boundary of the bifurcation line is southernmost in June and northernmost in December, while in terms of interannual variation, from spring to winter in the years when ENSO is developing, the position of the west boundary bifurcation line of NEC is relatively to the north (south) in EI Nio (La Nia) years as compared to normal years.</t>
  </si>
  <si>
    <t>[Guo Junru; Bao Xianwen] Ocean Univ China, Coll Ocean &amp; Atmospher Sci, Qingdao 266100, Peoples R China; [Guo Junru] Natl Marine Hazard Mitigat Serv, Beijing 100194, Peoples R China; [Liu Yulong; Song Jun; Li Yan; Chen Shaoyang; Yang Jinkun] Natl Marine Data &amp; Informat Serv, Tianjin 300171, Peoples R China; [Guo Junru] Univ New S Wales, Sch Phys Environm &amp; Math Sci, Canberra, ACT 2602, Australia; [Song Jun; Bao Xianwen] Ocean Univ China, Phys Oceanog Lab, Qingdao 266100, Peoples R China</t>
  </si>
  <si>
    <t>Ocean University of China; National Marine Data &amp; Information Service; University of New South Wales Sydney; Ocean University of China</t>
  </si>
  <si>
    <t>National Natural Science Foundation of China(National Natural Science Foundation of China (NSFC)); Key Marine Science Foundation of the State Oceanic Administration of China for Young Scholar; POL Visiting Fellowship Program; Public Science and Technology Research Funds Projects of Ocean; China Scholarship Council(China Scholarship Council)</t>
  </si>
  <si>
    <t>This work was supported by the National Natural Science Foundation of China (41206013, 41106004, 4137 6014, 41430963); Key Marine Science Foundation of the State Oceanic Administration of China for Young Scholar (2013203, 2012202, 2012223); POL Visiting Fellowship Program (Jun Song); the Public Science and Technology Research Funds Projects of Ocean (201205018, 201005019); China Scholarship Council ([2008]3019, [2012]3013).</t>
  </si>
  <si>
    <t>OCEAN UNIV CHINA</t>
  </si>
  <si>
    <t>QINGDAO</t>
  </si>
  <si>
    <t>5 YUSHAN RD, QINGDAO, 266003, PEOPLES R CHINA</t>
  </si>
  <si>
    <t>1672-5182</t>
  </si>
  <si>
    <t>1993-5021</t>
  </si>
  <si>
    <t>J OCEAN U CHINA</t>
  </si>
  <si>
    <t>J. OCEAN UNIV.</t>
  </si>
  <si>
    <t>10.1007/s11802-015-2594-0</t>
  </si>
  <si>
    <t>WOS:000364572000004</t>
  </si>
  <si>
    <t>Lam, Jasmine Siu Lee; Liu, Chang; Gou, Xueni</t>
  </si>
  <si>
    <t>Seaport is a critical coastal infrastructure serving important economic purposes but at the same time is exposed to a wide range of natural hazards including tropical cyclones. Mapping of cyclone risk for seaports is a primary step in risk planning and mitigation which remains a gap in the literature. Since East Asia is among the most affected areas of cyclone risk, and also the region where the world's top container ports are located, cyclone risk mapping for major seaports in East Asia is carried out. The objective of this paper is to develop a scientific methodology of cyclone risk mapping for critical coastal infrastructures, taken East Asian seaports as illustration. The risk maps are created by the integration of cyclone hazard maps showing historical cyclone tracks, wind intensity distributions and frequency distributions, with port container throughout data map. Results show that there were a considerable number of cyclone events, especially along the coastal seas extending from Vietnam to Japan. In South East Asia, cyclone risk is generally low in terms of both wind intensity and frequency but not completely zero. The ports of Shanghai, Kaohsiung, and Keelung are more exposed to cyclone risk in North East Asia. (C) 2017 Elsevier Ltd. All rights reserved.</t>
  </si>
  <si>
    <t>[Lam, Jasmine Siu Lee] Nanyang Technol Univ, Sch Civil &amp; Environm Engn, Singapore, Singapore; [Liu, Chang; Gou, Xueni] Nanyang Technol Univ, Maritime Inst, Singapore, Singapore</t>
  </si>
  <si>
    <t>Singapore Maritime Institute under the SMI Simulation and Modelling RD Programme</t>
  </si>
  <si>
    <t>This research is supported by the Singapore Maritime Institute under the SMI Simulation and Modelling R&amp;D Programme (project SMI-2014-MA-03). Authors also wish to acknowledge the Institute of Catastrophe Risk Management at Nanyang Technological University as the collaborating institute.</t>
  </si>
  <si>
    <t>London</t>
  </si>
  <si>
    <t>125 London Wall, London, ENGLAND</t>
  </si>
  <si>
    <t>10.1016/j.ocecoaman.2017.02.015</t>
  </si>
  <si>
    <t>WOS:000401205000005</t>
  </si>
  <si>
    <t>Wang, Mo; Zhang, Dongqing; Adhityan, Appan; Ng, Wun Jern; Dong, Jianwen; Tan, Soon Keat</t>
  </si>
  <si>
    <t>Bioretention, as a popular low impact development practice, has become more important to mitigate adverse impacts on urban stormwater. However, there is very limited information regarding ensuring the effectiveness of bioretention response to uncertain future challenges, especially when taking into consideration climate change and urbanization. The main objective of this paper is to identify the cost-effectiveness of bioretention by assessing the hydrology performance under future scenarios modeling. First, the hydrology model was used to obtain peak runoff and TSS loads of bioretention with variable scales under different scenarios, i.e., different Representative Concentration Pathways (RCPs) and Shared Socio-economic reference Pathways (SSPs) for 2-year and 10-year design storms in Singapore. Then, life cycle costing (LCC) and life cycle assessment (LCA) were estimated for bioretention, and the cost-effectiveness was identified under different scenarios. Our finding showed that there were different degree of responses to 2-year and 10-year design storms but the general patterns and insights deduced were similar. The performance of bioretenion was more sensitive to urbanization than that for climate change in the urban catchment. In addition, it was noted that the methodology used in this study was generic and the findings could be useful as reference for other LID practices in response to climate change and urbanization. (C) 2016 Elsevier B.V. All rights reserved.</t>
  </si>
  <si>
    <t>[Wang, Mo; Dong, Jianwen] Fujian Agr &amp; Forestry Univ, Coll Landscape Architecture, Fuzhou 350002, Peoples R China; [Wang, Mo; Zhang, Dongqing; Adhityan, Appan; Ng, Wun Jern] Nanyang Technol Univ, Nanyang Environm &amp; Water Res Inst, Adv Environm Biotechnol Ctr, 1 Cleantech Loop,06-10, Singapore 637141, Singapore; [Tan, Soon Keat] Nanyang Technol Univ, Sch Civil &amp; Environm Engn, N1-01a-29,50 Nanyang Ave, Singapore 639798, Singapore; [Wang, Mo] Z T Studio, Block 1,543 Xinhua Rd, Shanghai 200052, Peoples R China</t>
  </si>
  <si>
    <t>Fujian Agriculture &amp; Forestry University; Nanyang Technological University; Danish Hydraulic Institute (DHI); Nanyang Technological University</t>
  </si>
  <si>
    <t>Fujian Agriculture and Forestry University, China; Nanyang Environment and Water Research Institute, Nanyang Technological University, Singapore(Nanyang Technological University)</t>
  </si>
  <si>
    <t>This study (grant number: 324-112110056) was supported by Fujian Agriculture and Forestry University, China. The writers would like to acknowledge gratefully support rendered by The Nanyang Environment and Water Research Institute, Nanyang Technological University, Singapore.</t>
  </si>
  <si>
    <t>10.1016/j.jhydrol.2016.10.019</t>
  </si>
  <si>
    <t>WOS:000390735900020</t>
  </si>
  <si>
    <t>Park, Chang-Kyun; Park, Doo-Sun R.; Ho, Chang-Hoi; Park, Tae-Won; Kim, Jinwon; Jeong, Sujong; Kim, Baek-Min</t>
  </si>
  <si>
    <t>Because spring precipitation in East Asia is critical for recharging water resources after dry winters, its spatiotemporal variations and related mechanisms need in-depth research. This study analyzed a leading spatiotemporal variability of precipitation over East Asia for boreal spring (March-May) during 1979 to 2017. We found that a dipole mode dominates the anomalous spring precipitation between southern China and Southeast Asia with significant interannual and decadal variations. The interannual dipole mode is attributable to the eastern Pacific (EP)-type El Nino-Southern Oscillation (ENSO) while the decadal dipole mode is related to the decadal variation of the central Pacific (CP)-type ENSO. In the El Nino phases of both time scales, the anticyclonic anomaly over the South China Sea and Philippines causes moisture convergence (divergence) over southern China (Southeast Asia), resulting in positive (negative) precipitation anomalies therein; the opposite occurs in the La Nina phases. The ensemble experiments using the Community Atmosphere Model version 5.1 confirmed that the tropical sea surface temperature (SST) in the EP- and CP-type ENSO can be the major drivers of the interannual and decadal dipole modes, respectively. About half of 15 climate models participating in phase 5 of the Coupled Model Intercomparison Project (CMIP5) showed that the El Nino phase of dipole mode will become dominant in the future. The individual models' future projections however considerably vary, implying that there is still large uncertainty.</t>
  </si>
  <si>
    <t>[Park, Chang-Kyun; Ho, Chang-Hoi] Seoul Natl Univ, Sch Earth &amp; Environm Sci, Seoul, South Korea; [Park, Doo-Sun R.] Kyungpook Natl Univ, Dept Earth Sci Educ, Daegu, South Korea; [Park, Tae-Won] Chonnam Natl Univ, Dept Earth Sci Educ, Gwangju, South Korea; [Kim, Jinwon] Natl Inst Meteorol Sci, Jeju, South Korea; [Jeong, Sujong] Seoul Natl Univ, Grad Sch Environm Studies, Seoul, South Korea; [Kim, Baek-Min] Pukyong Natl Univ, Dept Environm Atmospher Sci, Busan, South Korea</t>
  </si>
  <si>
    <t>Seoul National University (SNU); Kyungpook National University; Chonnam National University; National Institute of Meteorological Sciences; Seoul National University (SNU); Pukyong National University</t>
  </si>
  <si>
    <t>National Research Foundation of Korea (NRF) - South Korean government (MSIT)(National Research Foundation of Korea); National Research Foundation of the South Korean government(National Research Foundation of Korea); Korea Environment Industry &amp; Technology Institute (KEITI) through the Climate Change Correspondence Program - Korea Ministry of Environment (MOE)</t>
  </si>
  <si>
    <t>This work was supported by the National Research Foundation of Korea (NRF) grant funded by the South Korean government (MSIT) (2019R1A2C208429412). Tae-Won Park and Doo-Sun R. Park were supported by the National Research Foundation of the South Korean government (NRF-2020R1A4A3079510). Doo-Sun R. Park was supported by the research fund of the Korea Environment Industry &amp; Technology Institute (KEITI) through the Climate Change Correspondence Program, funded by the Korea Ministry of Environment (MOE) (2018001310004).</t>
  </si>
  <si>
    <t>10.1175/JCLI-D-19-0625.1</t>
  </si>
  <si>
    <t>WOS:000615171300006</t>
  </si>
  <si>
    <t>Chen, Zesheng; Wen, Zhiping; Wu, Renguang; Du, Yan</t>
  </si>
  <si>
    <t>This study re-explores the roles of tropical SST anomalies in modulating the anomalous cyclone over the Indo-western Pacific during strong La Nia decaying years via a series of numerical experiments. The results suggest that central to eastern equatorial Pacific cooling, western north Pacific (WNP) warming, and Indian Ocean cooling all contribute to the Indo-western Pacific cyclonic wind anomalies. The WNP SST anomalies play a role via a Rossby wave-type response. As the positive SST anomalies in the WNP decay, the local forcing effect decays as well. The Indian Ocean remote forcing seems to play an important role during boreal summer via cold Kelvin wave induced cyclonic shear and boundary layer convergence. During strong La Nia decaying years, the negative SST anomalies in the equatorial central to eastern Pacific can maintain and persist into summer. Such cooling could induce anomalous Walker circulation with ascending branch over the Maritime Continent to Philippines and descending branch over central to eastern Pacific, which links the WNP climate to the equatorial central and eastern Pacific SST anomalies. The convective heating over the WNP induced remotely by central to eastern Pacific cooling in turn forces atmospheric Rossby wave to its west, which may amplify the anomalous cyclone over the Indo-western Pacific.</t>
  </si>
  <si>
    <t>[Chen, Zesheng; Du, Yan] Chinese Acad Sci, South China Sea Inst Oceanol, State Key Lab Trop Oceanog, Guangzhou, Guangdong, Peoples R China; [Chen, Zesheng; Wen, Zhiping] Sun Yat Sen Univ, Ctr Monsoon &amp; Environm Res, Sch Atmospher Sci, Guangzhou, Guangdong, Peoples R China; [Wu, Renguang] Chinese Acad Sci, Inst Atmospher Phys, Ctr Monsoon Syst Res, Beijing, Peoples R China</t>
  </si>
  <si>
    <t>Chinese Academy of Sciences; South China Sea Institute of Oceanology, CAS; Sun Yat Sen University; Chinese Academy of Sciences; Institute of Atmospheric Physics, CAS</t>
  </si>
  <si>
    <t>National Key Research and Development Program of China; National Natural Science Foundation of China(National Natural Science Foundation of China (NSFC)); Chinese Academy of Sciences(Chinese Academy of Sciences); State Oceanic Administration of China; CAS/SAFEA International Partnership Program for Creative Research Teams(Chinese Academy of Sciences); Independent Research Project Program of State Key Laboratory of Tropical Oceanography; Sun Yat-sen University</t>
  </si>
  <si>
    <t>This work is supported by National Key Research and Development Program of China (2016YFA0600601), the National Natural Science Foundation of China (41530530, 41525019, and 41521005), the Chinese Academy of Sciences (XDA11010103), the State Oceanic Administration of China (GASI-IPOVAI-02), and the CAS/SAFEA International Partnership Program for Creative Research Teams. RW acknowledges the support of the National Natural Science Foundation of China (41530425). ZC acknowledges the support of the Independent Research Project Program of State Key Laboratory of Tropical Oceanography (LTOZZ1603) and the high-performance grid computing platform of Sun Yat-sen University.</t>
  </si>
  <si>
    <t>10.1007/s00382-016-3364-4</t>
  </si>
  <si>
    <t>WOS:000403716500036</t>
  </si>
  <si>
    <t>Aquila, Valentina; Baldwin, Colleen; Mukherjee, Nikita; Hackert, Eric; Li, Feng; Marshak, Jelena; Molod, Andrea; Pawson, Steven</t>
  </si>
  <si>
    <t>A contemporary seasonal forecasting system is used to study the impacts of a volcanic sulfate injection into the stratosphere on the seasonal forecasts for surface temperatures, the El Nino Southern Oscillation (ENSO), and precipitation. The focus is a case study of the June 1991 eruption of Mt. Pinatubo, Philippines and the period from July 1991 to February 1992. Version 2 of the Goddard Earth Observing System (GEOS) subseasonal-to-seasonal (S2S) forecasting system is used in this study. GEOS-S2S includes the GOddard Chemistry, Aerosols, Radiation and Transport (GOCART) aerosol module, which allows to prognostically simulate aerosol distributions. GOCART is coupled to the radiation and cloud modules to include the impact of the eruption on forecasted radiation and precipitation. The coupled GEOS-S2S system was initialized in May 1991 with fields based on observations to produce ten-member 9-month forecasts with and without the volcanic sulfur injection. The results of these ensemble experiments demonstrate that including Mt. Pinatubo in seasonal forecasts would improve the forecasts of the 1991-1992 global mean temperature and precipitation but worsen the forecast of ENSO by strengthening of El Nino beyond what showed in observations. Most significant changes in the forecasts of temperatures and precipitation are limited to the tropics. The only land area where the inclusion of Pinatubo significantly lowered the forecasted precipitation is tropical Africa.</t>
  </si>
  <si>
    <t>[Aquila, Valentina; Baldwin, Colleen; Mukherjee, Nikita] Amer Univ, Dept Environm Sci, Washington, DC 20016 USA; [Mukherjee, Nikita] Sci Syst &amp; Applicat Inc, Lanham, MD USA; [Hackert, Eric; Marshak, Jelena; Molod, Andrea; Pawson, Steven] NASA, Goddard Space Flight Ctr, Global Modeling Assimilat Off, Greenbelt, MD USA; [Li, Feng] Univ Space Res Assoc, Goddard Earth Sci Technol &amp; Res, Columbia, MD USA</t>
  </si>
  <si>
    <t>American University; Science Systems &amp; Applications Inc; National Aeronautics &amp; Space Administration (NASA); NASA Goddard Space Flight Center; Universities Space Research Association (USRA)</t>
  </si>
  <si>
    <t>NASA's MAP program(National Aeronautics &amp; Space Administration (NASA)); GMAO core projects; GEOS Chemistry-Climate Model effort</t>
  </si>
  <si>
    <t>The GEOS-S2S model is developed via core funding to the GMAO from NASA's MAP program. Inclusion of aerosol modules is funded via GMAO core projects and the GEOS Chemistry-Climate Model effort. Computing was performed on NASA's High-Performance Computing machines at the NASA Center for Climate Simulation (Goddard Space Flight Center) and the NASA Computing Service (Ames Research Center).</t>
  </si>
  <si>
    <t>AUG 20</t>
  </si>
  <si>
    <t>10.1029/2021JD034830</t>
  </si>
  <si>
    <t>WOS:000688706700003</t>
  </si>
  <si>
    <t>Alhamshry, Asmaa; Fenta, Ayele Almaw; Yasuda, Hiroshi; Shimizu, Katsuyuki; Kawai, Takayuki</t>
  </si>
  <si>
    <t>Summer rainfall (June-September) accounts for about 80% of the annual rainfall in the Lake Tana basin of Ethiopia, the source region of the Blue Nile River. Prediction of summer rainfall would be valuable for managing the region's water resources and agricultural operations. This study investigated the influence of sea surface temperature (SST) as a predictor of summer rainfall in the basin by applying cross-correlation analysis between summer rainfall and climatic indices and SST in various oceanic regions from 1985 to 2015. Summer rainfall showed a strong negative correlation (-0.619) with the Pacific Decadal Oscillation index at short time lags. Further analysis identified strong teleconnections (|r|&gt;= 0.5) between SSTs in specific parts of the Pacific Ocean and summer rainfall in the Lake Tana basin, raising the possibility of predicting summer rainfall from Pacific SSTs with a lead time of 4 to 5months. Average SSTs of an area near the Philippines and an area west of North America were positively correlated (0.629) and negatively correlated (-0.538), respectively, with summer rainfall in the Lake Tana basin. Predictions of summer rainfall from these teleconnected SSTs by an Elman recurrent neural network model were encouraging, indicating a strong correlation (r&gt;0.77) between the observed and predicted summer rainfall. Our results suggest that neural network techniques may have sufficient skill to support seasonal rainfall predictions over the Lake Tana basin.</t>
  </si>
  <si>
    <t>[Alhamshry, Asmaa; Fenta, Ayele Almaw; Yasuda, Hiroshi; Kawai, Takayuki] Tottori Univ, Arid Land Res Ctr, 1390 Hamasaka, Tottori 6800001, Japan; [Alhamshry, Asmaa] Natl Res Ctr, 33 Elbehooth St, Dokki 12622, Egypt; [Shimizu, Katsuyuki] Tottori Univ, Fac Agr, 4-101 Koyama Cho Minami, Tottori 6808553, Japan</t>
  </si>
  <si>
    <t>Tottori University; Egyptian Knowledge Bank (EKB); National Research Centre (NRC); Tottori University</t>
  </si>
  <si>
    <t>International Platform for Dryland Research and Education, Tottori University</t>
  </si>
  <si>
    <t>We thank the Egypt-Japan Education Partnership for the Ph.D. research grant for the first author. This study was financially supported by the International Platform for Dryland Research and Education, Tottori University.</t>
  </si>
  <si>
    <t>10.1007/s00704-019-02796-x</t>
  </si>
  <si>
    <t>WOS:000477054700101</t>
  </si>
  <si>
    <t>Yang, Yiing Jang; Jan, Sen; Chang, Ming-Huei; Wang, Joe; Mensah, Vigan; Kuo, Tien-Hsia; Tsai, Cheng-Ju; Lee, Chung-Yaung; Andres, Magdalena; Centurioni, Luca R.; Tseng, Yu-Heng; Liang, Wen-Der; Lai, Jian-Wu</t>
  </si>
  <si>
    <t>The Kuroshio is important to climate, weather prediction, and fishery management along the northeast coast of Asia because it transports tremendous heat, salt, and energy from east of the Philippines to waters southeast of Japan. In the middle of its journey northward, the Kuroshio's velocity mean and its variability east of Taiwan crucially affect its downstream variability. To improve understanding of the Kuroshio there, multiple platforms were used to collect intensive observations off Taiwan during the three-year Observations of the Kuroshio Transports and their Variability (OKTV) program (2012-2015). Mean Kuroshio velocity transects show two velocity maxima southeast of Taiwan, with the primary velocity core on the onshore side of the Kuroshio exhibiting a mean maximum velocity of similar to 1.2 m s(-1). The two cores then merge and move at a single velocity maximum of similar to 1 m s(-1) east of Taiwan. Standard deviations of both the directly measured poleward (v) and zonal (u) velocities are similar to 0.4 m s(-1) in the Kuroshio main stream. Water mass exchange in the Kuroshio east of Taiwan was found to be complicated, as it includes water of Kuroshio origin, South China Sea Water, and West Philippine Sea Water, and it vitally affects heat, salt, and nutrient inputs to the East China Sea. Impinging eddies and typhoons are two of the principal causes of variability in the Kuroshio. This study's models are more consistent with the observed Kuroshio than with high-frequency radar measurements.</t>
  </si>
  <si>
    <t>[Yang, Yiing Jang; Jan, Sen; Chang, Ming-Huei; Wang, Joe; Mensah, Vigan; Kuo, Tien-Hsia; Tsai, Cheng-Ju; Lee, Chung-Yaung] Natl Taiwan Univ, Inst Oceanog, Taipei 10764, Taiwan; [Andres, Magdalena] Woods Hole Oceanog Inst, Woods Hole, MA 02543 USA; [Centurioni, Luca R.] Univ Calif San Diego, Scripps Inst Oceanog, La Jolla, CA 92093 USA; [Tseng, Yu-Heng] Natl Ctr Atmospher Res, Boulder, CO 80307 USA; [Liang, Wen-Der] Naval Acad, Dept Marine Sci, Kaohsiung, Taiwan; [Lai, Jian-Wu] Taiwan Ocean Res Inst, Natl Appl Res Labs, Kaohsiung, Taiwan</t>
  </si>
  <si>
    <t>National Taiwan University; Woods Hole Oceanographic Institution; University of California System; University of California San Diego; Scripps Institution of Oceanography; National Center Atmospheric Research (NCAR) - USA; National Applied Research Laboratories - Taiwan</t>
  </si>
  <si>
    <t>Ministry of Science and Technology (MOST) of the ROC (Taiwan); US Office of Naval Research(United States Department of DefenseUnited States NavyOffice of Naval Research); NSF Earth System Model (EaSM) Grant; Division Of Ocean Sciences; Directorate For Geosciences(National Science Foundation (NSF)NSF - Directorate for Geosciences (GEO))</t>
  </si>
  <si>
    <t>This study was sponsored by the Ministry of Science and Technology (MOST) of the ROC (Taiwan) under grants NSC 101-2611-M-002-018-MY3, NSC 101-2611-M-019-002, NSC 102-2611-M-002-017, NSC 102-2611-M-019-012, MOST 103-2611-M-002-014, and MOST 103-2611-M-002-018. MA was sponsored by the US Office of Naval Research under grant N00014-12-1-0445. YHT was supported by NSF Earth System Model (EaSM) Grant 1419292. The MOST Ocean Data Bank provided the historical CTD and Sb-ADCP data. Taiwan Ocean Research Institute provided HF radar observed surface current velocities. The SVP drifter trajectory data were downloaded from the GDP Drifter Data Assembly Center (http://www.aoml.noaa.gov/phod/dac/dacdata.php). The satellite sea surface height data were obtained from AVISO (http://www.aviso.oceanobs.com/ducas). The authors would like to thank technicians W.-H. Ho, W.-H. Lee, H.-C. Hsieh, and B. Wang of the Institute of Oceanography, National Taiwan University, for working tirelessly during OKTV field program. The assistance of the captains and the crew members of R/Vs OR1, OR3, and OR5 is greatly appreciated.</t>
  </si>
  <si>
    <t>10.5670/oceanog.2015.83</t>
  </si>
  <si>
    <t>WOS:000368447000010</t>
  </si>
  <si>
    <t>Vallam, Pramodh; Qin, Xiaosheng</t>
  </si>
  <si>
    <t>Rainfall modelling is an essential component of different hydrological studies. However, rainfall modelling in tropical regions, especially urban areas, remains inadequate. To determine the applicability of different types of rainfall modelling approaches, simulations by twoMarkovmodels (Matlab-basedweather generator (MulGETS) and multi-site rainfall simulator (MRS)) and a Neyman-Scott based Poisson cluster model (RainSim) were compared with a proposed modified k-nearest neighbour (KNN) model for 30 years rainfall in Singapore. The MRS model was determined to be suitable for single-site applications in tropical regions. However, for multi-site conditions, RainSim was adjudged the most suitable given its accuracy in preserving observed spatial information, despite its performance lagging in few statistical indicators. The KNN model was found to perform satisfactorily during the wet seasons, and was the only model that could repeat the extreme precipitation values closely. Although typical studies evaluate the performance of models based on a set of criteria, there exists a lacuna in understanding the quality of simulations by these models. Therefore, uncertainty analysis based on two different criteria was implemented to understand the performance of the stochastic processes within. Although the MulGETS model exhibited the lowest differences between Prediction Intervals, RainSim's Prediction Intervals were found to subsume observed data more often. The proposed study would be useful for users examining rainfall models for differing objectives.</t>
  </si>
  <si>
    <t>[Vallam, Pramodh; Qin, Xiaosheng] Nanyang Technol Univ, Sch Civil &amp; Environm Engn, 50 Nanyang Ave, Singapore 639798, Singapore; [Qin, Xiaosheng] Nanyang Technol Univ, DHI NTU Water &amp; Environm Res Ctr, Singapore, Singapore; [Qin, Xiaosheng] Nanyang Technol Univ, Educ Hub, Singapore, Singapore</t>
  </si>
  <si>
    <t>Nanyang Technological University; Nanyang Technological University; Danish Hydraulic Institute (DHI); Nanyang Technological University</t>
  </si>
  <si>
    <t>Academic Research Fund from Ministry of Education, Singapore(Ministry of Education, Singapore); DHI-NTU Water and Environment Research Centre; Education Hub</t>
  </si>
  <si>
    <t>This study was supported by Academic Research Fund Tier 1 project (Ref No.: RG188/14; WBS: M4011420.030) from Ministry of Education, Singapore. The authors also appreciate the support from DHI-NTU Water and Environment Research Centre and Education Hub. The authors express their gratitude to the reviewers and the editor for their insightful comments, which helped us improve the manuscript.</t>
  </si>
  <si>
    <t>10.1002/met.1567</t>
  </si>
  <si>
    <t>WOS:000389131000009</t>
  </si>
  <si>
    <t>Ferijal, Teuku; Batelaan, Okke; Shanafield, Margaret; Alfahmi, Furqon</t>
  </si>
  <si>
    <t>A fixed climatological year is generally used to determine rainy season onset and cessation. However, due to changes in climate, the fixed climatological year might not be the right basis for the onset and cessation dates estimation. This study proposes the usage of the driest period in the year to establish a flexible climatological year to determine rainy season onset and cessation dates. The driest period of a climatological year is defined as the period of 14 consecutive days, which has the lowest accumulated precipitation. The flexible climatological year begins on the first day of the driest period and ends before the driest period of next year. The onset and cessation dates resulting using this new flexible climatological year are compared against those resulting from the traditional approach. Three onset estimation methods were selected for demonstration of the method: agronomy, anomalous accumulation, and a modified local method. The results showed that overall, the three methods produced similar onsets for both types of climatological years. However, the use of a flexible year showed clear advantages in the application of anomalous accumulation for large and heterogeneous climatic zones because it helped to set a start date and an average daily precipitation, which improved the onset and cessation date calculations.</t>
  </si>
  <si>
    <t>[Ferijal, Teuku] Syiah Kuala Univ, Dept Agr Engn, Banda Aceh, Aceh, Indonesia; [Batelaan, Okke; Shanafield, Margaret] Flinders Univ S Australia, Coll Sci &amp; Engn, Natl Ctr Groundwater Res &amp; Training, Adelaide, SA, Australia; [Alfahmi, Furqon] Indonesian Agcy Meteorol Climatol &amp; Geophys, Jakarta, Indonesia</t>
  </si>
  <si>
    <t>Universitas Syiah Kuala; Flinders University South Australia; National Centre for Groundwater Research &amp; Training; Indonesian Agency for Meteorology, Climatology &amp; Geophysics</t>
  </si>
  <si>
    <t>CAUL; Government of Aceh via The Aceh Government Scholarship</t>
  </si>
  <si>
    <t>Open Access funding enabled and organized by CAUL and its Member Institutions. This study was funded by Government of Aceh via The Aceh Government Scholarship awarded to the first author for his PhD program (AUS 012/AIHRD/LOS/IX/2016).</t>
  </si>
  <si>
    <t>10.1007/s00704-021-03917-1</t>
  </si>
  <si>
    <t>WOS:000744391600002</t>
  </si>
  <si>
    <t>Wieners, Claudia E.; Dijkstra, Henk A.; de Ruijter, Will P. M.</t>
  </si>
  <si>
    <t>Several previous studies have suggested that a cool western Indian Ocean may induce convection over Indonesia, leading to surface convergence and easterlies over the western equatorial Pacific Ocean. These easterlies then increase the Pacific Warm Water Volume favouring El Nino in the next year. We investigate this mechanism of Indian-Pacific interaction using output from two simulations (at 0.1 degrees and 1 degrees ocean model resolution) with the Community Earth System Model (CESM). No conclusive evidence for the suggested interaction mechanism is found in CESM. Like many other coupled models, CESM has an overly strong sea surface temperature variability in the eastern Indian Ocean due to an exaggerated sensitivity of the sea surface temperature to thermocline variations. Due to this bias the effect of the western Indian Ocean signals on the Pacific, as found from observational analysis, is hidden. Our analysis shows that this bias can be traced to errors in the time-mean vertical temperature profile in the Indian Ocean. This bias needs to be reduced to allow a better investigation of the subtle interactions between the Indian and Pacific Oceans.</t>
  </si>
  <si>
    <t>[Wieners, Claudia E.; Dijkstra, Henk A.; de Ruijter, Will P. M.] Univ Utrecht, Utrecht IMAU, Inst Marine &amp; Atmospher Res, Utrecht, Netherlands</t>
  </si>
  <si>
    <t>Utrecht University</t>
  </si>
  <si>
    <t>Netherlands Space Organisation (NSO) User Support Program; Netherlands Organization for Scientific Research (NWO)(Netherlands Organization for Scientific Research (NWO))</t>
  </si>
  <si>
    <t>The first author (CW) is sponsored by the Netherlands Space Organisation (NSO) User Support Program under Grant ALW-GO-AO/12-08, with financial support from the Netherlands Organization for Scientific Research (NWO).</t>
  </si>
  <si>
    <t>10.1007/s00382-018-4438-2</t>
  </si>
  <si>
    <t>WOS:000465441400006</t>
  </si>
  <si>
    <t>Daksiya, Velautham; Mandapaka, Pradeep; Lo, Edmond Y. M.</t>
  </si>
  <si>
    <t>The impact of changing climate on the frequency of daily rainfall extremes in Jakarta, Indonesia, is analysed and quantified. The study used three different models to assess the changes in rainfall characteristics. The first method involves the use of the weather generator LARS-WG to quantify changes between historical and future daily rainfall maxima. The second approach consists of statistically downscaling general circulationmodel (GCM) output based on historical empirical relationships between GCM output and station rainfall. Lastly, the study employed recent statistically downscaled global gridded rainfall projections to characterize climate change impact rainfall structure. Both annual and seasonal rainfall extremes are studied. The results show significant changes in annual maximum daily rainfall, with an average increase as high as 20% in the 100-year return period daily rainfall. The uncertainty arising from the use of different GCMs was found to be much larger than the uncertainty from the emission scenarios. Furthermore, the annual and wet seasonal analyses exhibit similar behaviors with increased future rainfall, but the dry season is not consistent across the models. The GCM uncertainty is larger in the dry season compared to annual and wet season.</t>
  </si>
  <si>
    <t>[Daksiya, Velautham] Nanyang Technol Univ, Nanyang Environm &amp; Water Res Inst, Environm Proc Modelling Ctr, Singapore, Singapore; [Daksiya, Velautham] Nanyang Technol Univ, Interdisciplinary Grad Sch, Singapore, Singapore; [Mandapaka, Pradeep; Lo, Edmond Y. M.] Nanyang Technol Univ, Inst Catastrophe Risk Management, Singapore, Singapore; [Lo, Edmond Y. M.] Nanyang Technol Univ, Sch Civil &amp; Environm Engn, Singapore, Singapore</t>
  </si>
  <si>
    <t>Danish Hydraulic Institute (DHI); Nanyang Technological University; Nanyang Technological University; Nanyang Technological University; Nanyang Technological University</t>
  </si>
  <si>
    <t>Singapore Ministry of Education Tier II Program(Ministry of Education, Singapore); NTU's Nanyang Environment and Water Research Institute; Future Resilient Systems program</t>
  </si>
  <si>
    <t>This research received funding from the Singapore Ministry of Education Tier II Program, NTU's Nanyang Environment and Water Research Institute, and the Future Resilient Systems program is gratefully acknowledged. The LARS-WG used here was developed by M.A. Semenov and E.M. Barrow distributed by Rothamsted Research. SDSM downscaling package is distributed by Professor Wilby and Dr. Dawson, on behalf of the UK Environment Agency. Climate scenarios used were from the NEX-GDDP dataset, prepared by the Climate Analytics Group and NASA Ames Research Center using the NASA Earth Exchange, and distributed by the NASA Center for Climate Simulation (NCCS).</t>
  </si>
  <si>
    <t>10.1155/2017/2620798</t>
  </si>
  <si>
    <t>WOS:000395156600001</t>
  </si>
  <si>
    <t>Minh Tue Vu; Aribarg, Thannob; Supratid, Siriporn; Raghavan, Srivatsan V.; Liong, Shie-Yui</t>
  </si>
  <si>
    <t>Artificial neural network (ANN) is an established technique with a flexible mathematical structure that is capable of identifying complex nonlinear relationships between input and output data. The present study utilizes ANN as a method of statistically downscaling global climate models (GCMs) during the rainy season at meteorological site locations in Bangkok, Thailand. The study illustrates the applications of the feed forward back propagation using large-scale predictor variables derived from both the ERA-Interim reanalyses data and present day/future GCM data. The predictors are first selected over different grid boxes surrounding Bangkok region and then screened by using principal component analysis (PCA) to filter the best correlated predictors for ANN training. The reanalyses downscaled results of the present day climate show good agreement against station precipitation with a correlation coefficient of 0.8 and a Nash-Sutcliffe efficiency of 0.65. The final downscaled results for four GCMs show an increasing trend of precipitation for rainy season over Bangkok by the end of the twenty-first century. The extreme values of precipitation determined using statistical indices show strong increases of wetness. These findings will be useful for policy makers in pondering adaptation measures due to flooding such as whether the current drainage network system is sufficient to meet the changing climate and to plan for a range of related adaptation/mitigation measures.</t>
  </si>
  <si>
    <t>[Minh Tue Vu; Raghavan, Srivatsan V.; Liong, Shie-Yui] Natl Univ Singapore, Trop Marine Sci Inst, 18 Kent Ridge Rd, Singapore 119227, Singapore; [Aribarg, Thannob] Rangsit Univ, Climate Change &amp; Disaster Ctr, Rangsit, Thailand; [Aribarg, Thannob; Supratid, Siriporn] Rangsit Univ, Dept Informat Technol, Rangsit, Thailand; [Liong, Shie-Yui] Willis Re Inc, Willis Res Network, London, England</t>
  </si>
  <si>
    <t>National University of Singapore; Rangsit University; Rangsit University</t>
  </si>
  <si>
    <t>Thailand Research Fund through the Royal Golden Jubilee Ph.D. Programme; Tropical Marine Science Institute, National University of Singapore(National University of Singapore)</t>
  </si>
  <si>
    <t>The authors thank the Center for Hazards Research, Department of Civil and Environmental Engineering and CENSAM, SMART, both at the National University of Singapore. The second co-author wishes to thank the Thailand Research Fund through the Royal Golden Jubilee Ph.D. Programme (PHD/0221/2550) funded to Rangsit University for the doctoral programme and the Tropical Marine Science Institute, National University of Singapore, where he spent his internship.</t>
  </si>
  <si>
    <t>10.1007/s00704-015-1580-1</t>
  </si>
  <si>
    <t>WOS:000386071900004</t>
  </si>
  <si>
    <t>Wetchayont, Parichat; Ekkawatpanit, Chaiwat; Rueangrit, Sunsern; Manduang, Jittawat</t>
  </si>
  <si>
    <t>Bangkok is located in a low land area, and floods frequently occur from rainfall, river discharge, and tides. High-accuracy rainfall data are needed to achieve high-accuracy flood predictions from hydrological models. The main objective of this study is to establish a method that improves the accuracy of precipitation estimates by merging rainfall from three sources: an infrared channel from the Himawari-8 satellite, rain gauges, and ground-based radar observations. This study applied cloud classification and bias correction using rain gauges to discriminate these errors. The bias factors were interpolated using the ordinary kriging (OK) method to fill in the areas of estimated rainfall where no rain gauge was available. The results show that bias correction improved the accuracy of radar and Himawari-8 rainfall estimates before their combination. The merged algorithm was then adopted to produce hourly merged rainfall products (GSR). Compared to the initial estimated product, the GSR is significantly more accurate. The merging algorithm increases the spatial resolution and quality of rainfall estimates and is simple to use. Furthermore, these findings not only reveal the potential and limitations of the merged algorithm but also provide useful information for future retrieval algorithm enhancement.</t>
  </si>
  <si>
    <t>[Wetchayont, Parichat] Srinakharinwirot Univ, Fac Social Sci, Dept Geog, Bangkok, Thailand; [Ekkawatpanit, Chaiwat] King Mongkuts Univ Technol Thonburi, Civil Engn Dept, Bangkok, Thailand; [Rueangrit, Sunsern] Bangkok Metropolitan Adm, Drainage &amp; Sewerage Dept, Drainage informat Div, Bangkok, Thailand; [Manduang, Jittawat] Mahidol Univ, Fac Med, Dept Microbiol, Siriraj Hosp, Bangkok, Thailand; [Ekkawatpanit, Chaiwat] King Mongkuts Univ Technol Thonburi, Civil Engn Dept, 126 Prachautit Rd, Bangkok 10140, Thailand</t>
  </si>
  <si>
    <t>Srinakharinwirot University; King Mongkuts University of Technology Thonburi; Mahidol University; King Mongkuts University of Technology Thonburi</t>
  </si>
  <si>
    <t>Srinakharinwirot University, Thailand; Thailand Science Research and Innovation (TSRI) Basic Research Fund</t>
  </si>
  <si>
    <t>This work was supported by Srinakharinwirot University, Thailand, grant number [035/2563] and Thailand Science Research and Innovation (TSRI) Basic Research Fund: Fiscal year 2022 under project number [FRB650048/0164].</t>
  </si>
  <si>
    <t>2096-4471</t>
  </si>
  <si>
    <t>2574-5417</t>
  </si>
  <si>
    <t>Big Earth Data</t>
  </si>
  <si>
    <t>APR 3</t>
  </si>
  <si>
    <t>10.1080/20964471.2023.2171581</t>
  </si>
  <si>
    <t>Computer Science, Information Systems; Geosciences, Multidisciplinary; Remote Sensing</t>
  </si>
  <si>
    <t>WOS:000935118300001</t>
  </si>
  <si>
    <t>Duangkrayom, J.; Ratanasthien, B.; Jintasakul, P.; Carling, P. A.</t>
  </si>
  <si>
    <t>Quaternary fauna and flora fossils were found in situ in a sand pit at the Khok Sung village of Khok Sung Subdistrict, Muang District, Nakhon Ratchasima province. Six lithostratigraphic units from unit 1 to unit 6 in ascending order were recognized in the sand pit. The sediments in the Khok Sung sand pit were deposited as two meandering channel sets. Units 1, 2, and 3 form the lower channel sequence, and units 4, 5, and 6 form the upper channel sequence. The lower channel unconformably overlies bedrock and generally flowed northward, whereas the upper channel flowed eastward. The parent rocks of the Khok Sung sediments crop out in the western margins of the Khorat Plateau. The flora fossils include fruits (Ziziphus khoksungensis (Rhamnaceae), Dipterocarpus costatus (Dipterocarpaceae), Melia azedarach, and Dracontomelon dao (Anacardiaceae)), seeds, leaves, wood, tubers (Cyperus or Bolboschoenus (Cyperaceae)), amber, and pollen. This assemblage suggests the presence of tropical mixed deciduous and dry evergreen forests. The fauna fossils include fish, gavial (Gavialis cf. bengawanicus), tortoise (Batangur cf. trivittata, Heosemys annandalii, Heosemys cf. grandis, and Malayemys sp.), soft shell turtle (Chitra sp., and cf. Amyda sp.), bovids, rhinoceros, deer, an advanced form of Stegodon, and hyena. The fauna indicate that the climate differed from today, with heavier rainfall and more extensive grassland areas during the Pleistocene. (C) 2013 Elsevier Ltd and INQUA. All rights reserved.</t>
  </si>
  <si>
    <t>[Duangkrayom, J.; Jintasakul, P.] Nakhon Ratchasima Rajabhat Univ, Northeastern Res Inst Petrified Wood &amp; Mineral Re, Muang 30000, Nakhon Ratchasi, Thailand; [Ratanasthien, B.] Chiang Mai Univ, Dept Geol Sci, Chiang Mai 50200, Thailand; [Carling, P. A.] Univ Southampton, Southampton SO17 1BJ, Hants, England</t>
  </si>
  <si>
    <t>Nakhon Ratchasima Rajabhat University; Chiang Mai University; University of Southampton</t>
  </si>
  <si>
    <t>Graduate School of Chiang Mai University; Northeastern Research Institute of Petrified Wood and Mineral Resources Nakhon Ratchasima Rajabhat University</t>
  </si>
  <si>
    <t>We are grateful to the owner of the sand pit for access, the Khok Sung Subdistrict Administrative Organization and the people in Khok Sung village for their help during the fieldwork. We are grateful to Dr. Wutti Uttamo, Dr. Wittaya Kandharosa from Chiang Mai University, Dr. Chongpan Chonglakmani from Suranaree University of Technology, and Dr. Wickanet Songtham for important advice during this study. We thank Department of Mineral Resources personnel who provided information concerning fossils, especially Dr. Assanee Meesuk. We thank Dr. Paul J. Grote for advice about the plant fossils, Mr. Somphong Suphachiaraphan, Mr. Panithi Jintasakul and Dr. Yupa Thasod for advice on surveying methods. We gratefully acknowledge the Graduate School of Chiang Mai University and the Northeastern Research Institute of Petrified Wood and Mineral Resources (in Honor of His Majesty the King) Nakhon Ratchasima Rajabhat University for funding this research.</t>
  </si>
  <si>
    <t>MAR 19</t>
  </si>
  <si>
    <t>10.1016/j.quaint.2013.07.048</t>
  </si>
  <si>
    <t>WOS:000334088500022</t>
  </si>
  <si>
    <t>Lu, Y.; Qin, X. S.; Mandapaka, P. V.</t>
  </si>
  <si>
    <t>A novel combined statistical downscaling and disaggregation framework (CSDD) based on Long Ashton Research Station-Weather Generator (LARS-WG) and K-nearest neighbour (KNN) was proposed to examine the climate change impact on regional extreme rainfall in Singapore. The approach could generate high-resolution rainfall sequences both spatially (e.g. station level) and temporally (e.g. 5-min) based on 12 emission scenarios under 4 general circulation models. Three different routes were proposed to generate high-resolution synthetic rainfall time series: (1) the rainfall records at all stations were combined and treated as one station (Route 1); (2) the rainfall record at each station was treated individually (Route 2); and (3) the total areal rainfall at daily and hourly timescales was used to keep inter-site correlations (Route 3). The results indicated that all routes under CSDD framework could effectively reproduce the regional rainfall at various timescales. This study further examined the impacts of climate change on regional extremes. The results show that the maximum increase rates of 100-year extremes at the end of this century at durations of 24-h, 1-h and 5-min would be 14.8, 16.3 and 16.8%, respectively. The proposed framework takes the full advantage of both LARS-WG and KNN and could effectively help provide continuous high-resolution synthetic rainfall data (with consideration of spatial dependence and uncertainty) under climate-change conditions for hydrological impact study.</t>
  </si>
  <si>
    <t>[Lu, Y.; Qin, X. S.; Mandapaka, P. V.] Nanyang Technol Univ, Sch Civil &amp; Environm Engn, Singapore 639798, Singapore; [Qin, X. S.] Nanyang Technol Univ, Inst Catastrophe Risk Management, Singapore 639798, Singapore</t>
  </si>
  <si>
    <t>Singapore's Ministry of Education (MOE) Tier 2; Singapore Ministry of National Development (MND); National Research Foundation (NRF) under L2 NIC</t>
  </si>
  <si>
    <t>This research is supported by Singapore's Ministry of Education (MOE) Tier 2 (MOE2013-T2-1-128/WBS no. M4020182.030) project and is also based on the research work supported in part by the Singapore Ministry of National Development (MND) and National Research Foundation (NRF) under L2 NIC (Award No. L2NICCFP1-2013-3/WBS no. M4061545.D63). The authors are thankful for the data support from National Environment Agency (NEA) of Singapore. The authors also appreciate the reviewers and the editor for their insightful and valuable reviews.</t>
  </si>
  <si>
    <t>10.1002/joc.4301</t>
  </si>
  <si>
    <t>WOS:000367733700006</t>
  </si>
  <si>
    <t>Climate change may not change the rainfall mean, but the variability and extremes. Therefore, it is required to explore the possible distributional changes of rainfall characteristics over time. The objective of present study is to assess the distributional changes in annual and northeast monsoon rainfall (November-January) and river flow in Sarawak where small changes in rainfall or river flow variability/distribution may have severe implications on ecology and agriculture. A quantile regression-based approach was used to assess the changes of scale and location of empirical probability density function over the period 1980-2014 at 31 observational stations. The results indicate that diverse variation patterns exist at all stations for annual rainfall but mainly increasing quantile trend at the lowers, and higher quantiles for the month of January and December. The significant increase in annual rainfall is found mostly in the north and central-coastal region and monsoon month rainfalls in the interior and north of Sarawak. Trends in river flow data show that changes in rainfall distribution have affected higher quantiles of river flow in monsoon months at some of the basins and therefore more flooding. The study reveals that quantile trend can provide more information of rainfall change which may be useful for climate change mitigation and adaptation planning.</t>
  </si>
  <si>
    <t>[Sa'adi, Zulfaqar; Shahid, Shamsuddin; Ismail, Tarmizi] Univ Teknol Malaysia, Fac Civil Engn, Dept Hydraul &amp; Hydrol, Johor Baharu, Johor, Malaysia; [Chung, Eun-Sung] Seoul Natl Univ Sci &amp; Technol, Fac Civil Engn, Seoul, South Korea; [Wang, Xiao-Jun] Nanjing Hydraul Res Inst, State Key Lab Hydrol Water Resources &amp; Hydraul En, Nanjing, Jiangsu, Peoples R China</t>
  </si>
  <si>
    <t>The authors wish to thank the Ministry of Education Malaysia and Universiti Teknologi Malaysia for assisting and financing this research with grant vote no. Q.J130000.2522.10H36.</t>
  </si>
  <si>
    <t>10.1007/s13143-017-0051-2</t>
  </si>
  <si>
    <t>WOS:000416476200007</t>
  </si>
  <si>
    <t>Lu, Xinyu; Yuan, Chaoxia; Luo, Jing-jia; Yamagata, Toshio</t>
  </si>
  <si>
    <t>Understanding and predicting extreme weather and climate are ultimately important for adaptation and resilience. Here, we assess the prediction skills of frequency of summer extreme hot days (SEHDs) in the Asian monsoon region (AMR) by using the 1981-2014 hindcasts of the Predictive Ocean Atmosphere Model for Australia version 2 (POAMA-2) subseasonal-to-seasonal prediction system. Generally, the good prediction skills of SEHD frequency appear in the southern AMR south of 30 degrees N including the Indian subcontinent, Indo-China peninsula, and the Philippines; the anomaly correlation coefficients between the observed and predicted region-mean SEHD anomalies are 0.72, 0.72, 0.70, 0.60, 0.61, and 0.61 at 1-6 months lead, respectively, all statistically significant at the 99.9% confidence level. The high prediction skills in POAMA-2 are due to its capacity on reproducing the observed delayed ENSO impacts on the large-scale atmospheric circulation, the seasonal surface air temperature, and thus the SEHD frequency in the southern AMR via provoking the Indo-western Pacific Ocean capacitor effect. Since POAMA-2 only provides the prediction at most half a year in advance, we also conduct the hindcasts in the SINTEX-F that can reproduce well the robust ENSO-SEHD relationship and has high prediction skill of ENSO itself. Results show that skillful prediction of the region-mean SEHD frequency can be up to 14 months in advance. These results are complementary to Part I of this study that ENSO can impact the SEHDs in the AMR and provide the sources of predictability.</t>
  </si>
  <si>
    <t>[Lu, Xinyu; Yuan, Chaoxia; Luo, Jing-jia; Yamagata, Toshio] Nanjing Univ Informat Sci, Inst Climate &amp; Applict Res, Collaborat Innovat Ctr Forecast &amp; Evaluat Meteoro, Key Lab Meteorol Disaster,Minist Educ, Nanjing, Peoples R China; [Yuan, Chaoxia; Yamagata, Toshio] Japan Agcy Marine, Applict Lab, Earth Sci &amp; Technol, Yokohama, Japan</t>
  </si>
  <si>
    <t>Nanjing University of Information Science &amp; Technology; Japan Agency for Marine-Earth Science &amp; Technology (JAMSTEC)</t>
  </si>
  <si>
    <t>10.1175/JCLI-D-21-0668.1</t>
  </si>
  <si>
    <t>WOS:001028260400001</t>
  </si>
  <si>
    <t>Yu, Tiantian; Feng, Juan; Chen, Wen; Wang, Xiaocong</t>
  </si>
  <si>
    <t>The western North Pacific anticyclone (WNPAC) is the key bridge that connects El Nino to the East Asian climate anomalies. The persistence and breakdown of the WNPAC has important implications for climate prediction. Our results show that the eastern Pacific (EP) El Nino-induced WNPAC has good persistence in spring, whereas the central Pacific (CP) El Nino-induced WNPAC has an obvious breakdown in spring. The physical mechanisms behind this discrepancy are explored. During the EP El Nino spring, there are strong negative sea surface temperature anomalies (SSTAs) over the western North Pacific (WNP) and strong positive SSTAs over the EP. The negative WNP SSTAs suppress the convection over the WNP and then generate the WNPAC as a Rossby wave response. The positive EP SSTAs also cause suppressed convection over the western Pacific via the anomalous Walker circulation and then yield a WNPAC. In contrast, for the CP El Nino, the local air-sea positive feedback between the WNP SST cooling and the WNPAC in the CP El Nino winter is much weaker than in the EP El Nino winter, leading to the quick decay and disappearance of the WNP SST cooling in spring, which interrupts the WNPAC formation. In addition, with the westward shift of the SST warming to the central Pacific, the induced suppressed convection via the anomalous Walker circulation correspondingly moves westward around the Philippines, not around the western Pacific, which is not in favor of generating a remarkable WNPAC. Thus, a breakdown of the WNPAC is often observed for CP El Nino spring.</t>
  </si>
  <si>
    <t>[Yu, Tiantian; Feng, Juan; Chen, Wen] Chinese Acad Sci, Ctr Monsoon Syst Res, Inst Atmospher Phys, Beijing 100029, Peoples R China; [Chen, Wen] Univ Chinese Acad Sci, Beijing, Peoples R China; [Wang, Xiaocong] Chinese Acad Sci, Inst Atmospher Phys, State Key Lab Numer Modeling Atmospher Sci &amp; Geop, Beijing, Peoples R China</t>
  </si>
  <si>
    <t>Chinese Academy of Sciences; Institute of Atmospheric Physics, CAS; Chinese Academy of Sciences; University of Chinese Academy of Sciences, CAS; Chinese Academy of Sciences; Institute of Atmospheric Physics, CAS</t>
  </si>
  <si>
    <t>National Key Research and Development Program; Key Research Program of Frontier Sciences, CAS</t>
  </si>
  <si>
    <t>This study was supported jointly by the National Key Research and Development Program (Grant No. 2016YFA0600604) and the Key Research Program of Frontier Sciences, CAS (QYZDY-SSW-DQC024).</t>
  </si>
  <si>
    <t>10.1007/s00382-021-05882-x</t>
  </si>
  <si>
    <t>WOS:000672443700001</t>
  </si>
  <si>
    <t>Tangang, Fredolin; Chung, Jing Xiang; Juneng, Liew; Supari; Salimun, Ester; Ngai, Sheau Tieh; Jamaluddin, Ahmad Fairudz; Mohd, Mohd Syazwan Faisal; Cruz, Faye; Narisma, Gemma; Santisirisomboon, Jerasorn; Ngo-Duc, Thanh; Van Tan, Phan; Singhruck, Patama; Gunawan, Dodo; Aldrian, Edvin; Sopaheluwakan, Ardhasena; Grigory, Nikulin; Remedio, Armelle Reca C.; Sein, Dmitry V.; Hein-Griggs, David; McGregor, John L.; Yang, Hongwei; Sasaki, Hidetaka; Kumar, Pankaj</t>
  </si>
  <si>
    <t>This paper examines the projected changes in rainfall in Southeast Asia (SEA) in the twenty-first century based on the multi-model simulations of the Southeast Asia Regional Climate Downscaling/Coordinated Regional Climate Downscaling Experiment-Southeast Asia (SEACLID/CORDEX-SEA). A total of 11 General Circulation Models (GCMs) have been downscaled using 7 Regional Climate Models (RCMs) to a resolution of 25 km x 25 km over the SEA domain (89.5 degrees E-146.5 degrees E, 14.8 degrees S-27.0 degrees N) for two different representative concentration pathways (RCP) scenarios, RCP4.5 and RCP8.5. The 1976-2005 period is considered as the historical period for evaluating the changes in seasonal precipitation of December-January-February (DJF) and June-July-August (JJA) over future periods of the early (2011-2040), mid (2041-2070) and late twenty-first century (2071-2099). The ensemble mean shows a good reproduction of the SEA climatological mean spatial precipitation pattern with systematic wet biases, which originated largely from simulations using the RegCM4 model. Increases in mean rainfall (10-20%) are projected throughout the twenty-first century over Indochina and eastern Philippines during DJF while a drying tendency prevails over the Maritime Continent. For JJA, projections of both RCPs indicate reductions in mean rainfall (10-30%) over the Maritime Continent, particularly over the Indonesian region by mid and late twenty-first century. However, examination of individual member responses shows prominent inter-model variations, reflecting uncertainty in the projections.</t>
  </si>
  <si>
    <t>[Tangang, Fredolin; Chung, Jing Xiang; Juneng, Liew; Supari; Salimun, Ester; Ngai, Sheau Tieh; Jamaluddin, Ahmad Fairudz] Univ Kebangsaan Malaysia, Fac Sci &amp; Technol, Dept Earth Sci &amp; Environm, Bangi, Selangor, Malaysia; [Tangang, Fredolin; Santisirisomboon, Jerasorn] Ramkhamhang Univ, Ctr Reg Climate Change &amp; Renewable Energy RU CORE, Bangkok, Thailand; [Chung, Jing Xiang] Univ Malaysia Terengganu, Inst Oseanog Dan Sekitaran INOS, Terengganu, Malaysia; [Supari; Gunawan, Dodo] Agcy Meteorol Climatol &amp; Geophys BMKG, Ctr Climate Change Informat, Jakarta, Indonesia; [Jamaluddin, Ahmad Fairudz] Malaysian Meteorol Dept, Petaling Jaya, Selangor, Malaysia; [Mohd, Mohd Syazwan Faisal] Natl Hydraul Res Inst Malaysia NAHRIM, Seri Kembangan, Selangor, Malaysia; [Cruz, Faye; Narisma, Gemma] Manila Observ, Reg Climate Syst Lab, Quezon City, Philippines; [Narisma, Gemma] Ateneo Manila Univ, Phys Dept, Atmospher Sci Program, Quezon City, Philippines; [Ngo-Duc, Thanh] Univ Sci &amp; Technol Hanoi, Vietnam Acad Sci &amp; Technol, REMOSAT Lab, Hanoi, Vietnam; [Van Tan, Phan] VNU Univ Sci, Dept Meteorol &amp; Climate Change, Hanoi, Vietnam; [Singhruck, Patama] Chulalongkorn Univ, Dept Marine Sci, Fac Sci, Bangkok, Thailand; [Aldrian, Edvin] Agcy Assessment &amp; Applicat Technol BPPT, Jakarta, Indonesia; [Sopaheluwakan, Ardhasena] Agcy Meteorol Climatol &amp; Geophys BMKG, Ctr Res &amp; Dev, Jakarta, Indonesia; [Grigory, Nikulin] Swedish Meteorol &amp; Hydrol Inst, Norrkoping, Sweden; [Remedio, Armelle Reca C.] Climate Serv Ctr GERICS, Hamburg, Germany; [Sein, Dmitry V.] Alfred Wegener Inst AWI, Bremerhaven, Germany; [Sein, Dmitry V.] RAS, PP Shirshov Inst Oceanol, Moscow, Russia; [Hein-Griggs, David] Univ Exeter, Coll Life &amp; Environm Sci, Geog, Exeter, Devon, England; [Hein-Griggs, David] Hadley Ctr, Met Off, Exeter, Devon, England; [McGregor, John L.] CSIRO, Canberra, ACT, Australia; [Yang, Hongwei] APEC Climate Ctr APCC, Busan, South Korea; [Yang, Hongwei] Inner Mongolia Univ, Sch Ecol &amp; Environm, Hohhot, Peoples R China; [Sasaki, Hidetaka] Meterol Res Inst, Tsukuba, Ibaraki, Japan; [Kumar, Pankaj] Indian Inst Sci Educ &amp; Res Bhopal, Dept Earth &amp; Environm Sci, Bhopal, India</t>
  </si>
  <si>
    <t>Universiti Kebangsaan Malaysia; Ramkhamhaeng University; Universiti Malaysia Terengganu; Indonesian Agency for Meteorology, Climatology &amp; Geophysics; Ateneo de Manila University; Vietnam Academy of Science &amp; Technology (VAST); University of Science &amp; Technology of Hanoi (USTH); Vietnam National University Hanoi; Chulalongkorn University; National Research &amp; Innovation Agency of Indonesia (BRIN); Agency for the Assessment &amp; Application of Technology (BPPT); Indonesian Agency for Meteorology, Climatology &amp; Geophysics; Swedish Meteorological &amp; Hydrological Institute; Helmholtz Association; Alfred Wegener Institute, Helmholtz Centre for Polar &amp; Marine Research; Russian Academy of Sciences; Shirshov Institute of Oceanology; University of Exeter; Met Office - UK; Hadley Centre; Commonwealth Scientific &amp; Industrial Research Organisation (CSIRO); Inner Mongolia University; Meteorological Research Institute - Japan; Indian Institute of Science Education &amp; Research (IISER) - Bhopal</t>
  </si>
  <si>
    <t>Asia-Pacific Network for Global Change Research; Universiti Kebangsaan Malaysia; Malaysian MOHE; Thailand Research Fund(Thailand Research Fund (TRF)); National Research Council of Thailand(National Research Council of Thailand (NRCT)); BMKG Research Fund; Department of Science and Technology-Philippine Council for Industry, Energy, and Emerging Technology Research and Development (DOST-PCIEERD) of the Philippines(Department of Science &amp; Technology (DOST), Philippines); JSPS KAKENHI Grant(Ministry of Education, Culture, Sports, Science and Technology, Japan (MEXT)Japan Society for the Promotion of ScienceGrants-in-Aid for Scientific Research (KAKENHI)); APEC Climate Center; Russian Science Foundation (RSF-DST project); state assignment of Russia; Vietnam National Foundation for Science and Technology Development (NAFOSTED)(National Foundation for Science &amp; Technology Development (NAFOSTED)); Hanoi Forum; Department of Science and Technology (DST), Govt. of India(Department of Science &amp; Technology (India)); Russian Science Foundation(Russian Science Foundation (RSF)); Grants-in-Aid for Scientific Research(Ministry of Education, Culture, Sports, Science and Technology, Japan (MEXT)Japan Society for the Promotion of ScienceGrants-in-Aid for Scientific Research (KAKENHI))</t>
  </si>
  <si>
    <t>This research is funded by the Asia-Pacific Network for Global Change Research (ARCP2013-17NMY-Tangang, ARCP2014-07CMY-Tangang, ARCP2015-04CMY-Tangang) with additional support from Universiti Kebangsaan Malaysia (ICONIC-2013-001), Malaysian MOHE FRGS/1/2017/WAB05/UKM/01/2, Thailand Research Fund (RDG5630019), National Research Council of Thailand (2557-73 and 2559-226), BMKG Research Fund (National Budget for FY 2013-2018), Department of Science and Technology-Philippine Council for Industry, Energy, and Emerging Technology Research and Development (DOST-PCIEERD) of the Philippines, JSPS KAKENHI Grant Number 15F15028 and APEC Climate Center. F. Cruz was an International Research Fellow of the Japan Society for the Promotion of Science. D. Sein was supported by the Russian Science Foundation (RSF-DST project No. 19-47-02015) and the state assignment of Russia (theme No. 0149-2019-0015). Thanh Ngo-Duc is supported by the Vietnam National Foundation for Science and Technology Development (NAFOSTED) under Grant 105.06-2018.05 and by Hanoi Forum (code HNQT/QL/01.18). Pankaj Kumar is supported by the Department of Science and Technology (DST), Govt. of India, grant number DST/INT/RUS/RSF/P-33/G.</t>
  </si>
  <si>
    <t>10.1007/s00382-020-05322-2</t>
  </si>
  <si>
    <t>WOS:000539478000001</t>
  </si>
  <si>
    <t>Bell, Samuel S.; Chand, Savin S.; Camargo, Suzana J.; Tory, Kevin J.; Turville, Chris; Ye, Harvey</t>
  </si>
  <si>
    <t>Past studies have shown that tropical cyclone (TC) projection results can be sensitive to different types of TC tracking schemes, and that the relative adjustments of detection criteria to accommodate different models may not necessarily provide a consistent platform for comparison of projection results. Here, future climate projections of TC activity in the western North Pacific basin (WNP, defined from 0 degrees-50 degrees N and 100 degrees E-180 degrees) are assessed with a model-independent detection and tracking scheme. This scheme is applied to models from phase 5 of the Coupled Model Intercomparison Project (CMIP5) forced under the historical and representative concentration pathway 8.5 (RCP8.5) conditions. TC tracks from the observed records and independent models are analyzed simultaneously with a curve-clustering algorithm, allowing observed and model tracks to be projected onto the same set of clusters (k - 9). Four of the nine clusters were projected to undergo significant changes in TC frequency. Straight-moving TCs in the South China Sea were projected to significantly decrease. Projected increases in TC frequency were found poleward of 20 degrees N and east of 160 degrees E, consistent with changes in ascending motion, as well as vertical wind shear and relative humidity respectively. Projections of TC track exposure indicated significant reductions for southern China and the Philippines and significant increases for the Korean peninsula and Japan, although very few model TCs reached the latter subtropical regions in comparison to the observations. The use of a fundamentally different detection methodology that overcomes the detector/tracker bias gives increased certainty to projections as best as lowresolution simulations can offer.</t>
  </si>
  <si>
    <t>[Bell, Samuel S.; Chand, Savin S.; Turville, Chris] Federat Univ Australia, Ctr Informat &amp; Appl Optimizat, Ballarat, Vic, Australia; [Camargo, Suzana J.] Columbia Univ, Lamont Doherty Earth Observ, Palisades, NY USA; [Tory, Kevin J.; Ye, Harvey] Bur Meteorol, Res &amp; Dev Branch, Melbourne, Vic, Australia</t>
  </si>
  <si>
    <t>Federation University Australia; Columbia University; Bureau of Meteorology - Australia</t>
  </si>
  <si>
    <t>Earth Systems and Climate Change Hub of the Australian Government's National Environmental Science Programme (NESP); Australian Government Research Training Program (RTP); RTP FeeOffset Scholarship through Federation University Australia; NOAA(National Oceanic Atmospheric Admin (NOAA) - USA)</t>
  </si>
  <si>
    <t>This work is supported through funding from the Earth Systems and Climate Change Hub of the Australian Government's National Environmental Science Programme (NESP). Samuel Bell is supported by an Australian Government Research Training Program (RTP) Stipend and RTP FeeOffset Scholarship through Federation University Australia. Suzana Camargo has partial support from the following NOAA grants: NA15OAR43100095, NA16OAR4310079, NA18OAR4310277.</t>
  </si>
  <si>
    <t>10.1175/JCLI-D-18-0785.1</t>
  </si>
  <si>
    <t>WOS:000496227000003</t>
  </si>
  <si>
    <t>Guo Zhun; Zhou TianJun</t>
  </si>
  <si>
    <t>Based on satellite data and the estimated inversion strength (EIS) derived by Wood et al. (2006), a feasible and uncomplicated stratocumulus scheme is proposed, referred to as EIS scheme. It improves simulation of cloud radiative forcing (CRF) in the Grid-point Atmospheric Model of IAP/LASG version 2 (GAMIL2.0) model. When compared with the original lower troposphere stability (LTS) scheme, the EIS scheme reproduces more reasonable climatology distributions of clouds and CRF. The parameterization partly corrects CRF underestimation at mid and high latitudes and overestimation in the convective region. Such improvements are achieved by neglecting the effect of free-tropospheric stratification changes that follow a cooler moist adiabat at middle and high latitude, thereby improving simulated cloudiness. The EIS scheme also improves simulation of the CRF interannual variability. The positive net CRF and negative stratiform anomaly in the East Asian and western North Pacific monsoon regions (EAWNPMR) are well simulated. The EIS scheme is more sensitive to sea surface temperature anomalies (SSTA) than the LTS. Therefore, under the effect of a warmer SSTA in the EAWNPMR, the EIS generates a stronger negative stratiform response, which reduces radiative heating in the low and mid troposphere, in turn producing strong subsidence and negative anomalies of both moisture and cloudiness. Consequent decreases in cloud reflection and shading effects ultimately improve simulation of incoming surface shortwave radiative fluxes and CRF. Because of the stronger subsidence, a stronger anomalous anticyclone over the Philippines Sea is simulated by the EIS run, which leads to a better positive precipitation anomaly in eastern China during ENSO winter.</t>
  </si>
  <si>
    <t>[Guo Zhun; Zhou TianJun] CCRC, Beijing 100029, Peoples R China; [Guo Zhun; Zhou TianJun] State Key Lab Numer Modeling Atmospher Sci &amp; Geop, Beijing 100029, Peoples R China</t>
  </si>
  <si>
    <t>Chinese Academy of Sciences</t>
  </si>
  <si>
    <t>National Natural Science Foundation of China(National Natural Science Foundation of China (NSFC)); National Basic Research Program of China(National Basic Research Program of China)</t>
  </si>
  <si>
    <t>This work was supported by the National Natural Science Foundation of China (Grant No. 41125017) and the National Basic Research Program of China (Grant No. 2010CB951904)</t>
  </si>
  <si>
    <t>10.1007/s11430-014-4891-7</t>
  </si>
  <si>
    <t>WOS:000344784400007</t>
  </si>
  <si>
    <t>Nguyen, T. T. T.; Hoang, P. H. Y.; Dang, T. A.</t>
  </si>
  <si>
    <t>The coastal fringes of the Mekong Delta (CFMD) have been suffered extreme drought events because of a persistent deficiency of rainfall in the context of global warming. This research is conducted to comprehensively assess drought across the CFMD as well as to detect its changing trend over the past four decades.To implement this research, the Standardized Precipitation Index (SPI) is applied to define drought features based on rainfall data sequences obtained from 24 observation stations during the period 1975-2019 while the changing trends in drought were detected applying the Mann-Kendall test and Sen's slope estimator. The performance of SPI was appraised by comparison with Rainfall Anomaly Index (RAI) through Pearson Product-Moment Correlation (r) and Kappa test (k) statistical methods. The high correlation values (e.g., r &gt; 0.812 and k &gt; 0.283) were confirmed the good performance of the SPI for drought simulation.The results pointed out that the appearance of multiple drought events ranging from moderate to extreme was recorded over the entire study area. A significant upward trend was recorded for drought appearance on both the SPI6-and SPI12-month drought time scales. A significant upward trend of drought is proof of a significant decline in rainfall, with the main occurrence focusing on the western fringe of the study area. In general, drought is more frequent and severe in the western fringe of the area as compared to other locations.</t>
  </si>
  <si>
    <t>[Nguyen, T. T. T.; Hoang, P. H. Y.] Vinh Univ, Coll Educ, Geog Dept, Nghe An 4300, Vietnam; [Dang, T. A.] Vietnam Natl Univ Ho Chi Minh City, Univ Sci, Ho Chi Minh City 70000, Vietnam</t>
  </si>
  <si>
    <t>Vietnam National University Hochiminh City</t>
  </si>
  <si>
    <t>10.54302/mausam.v73i3.5373</t>
  </si>
  <si>
    <t>WOS:001024225300004</t>
  </si>
  <si>
    <t>Huangfu, Jingliang; Chen, Wen; Jian, Maoqiu; Huang, Ronghui</t>
  </si>
  <si>
    <t>The role of the 50- to 200-hPa zonal wind shear in modulating tropical cyclone (TC) genesis over the western North Pacific (WNP) in May is investigated in this study. Concurrent with the strong cross-tropopause shear over the key region (0 degrees-5 degrees N, 160 degrees-180 degrees E), suppressed convection was observed over the tropical WNP, especially over the South China Sea and the Philippines. The monsoon trough (MT) was confined westward. However, enhanced convection occurred in the weak shear years and the MT extended eastward. This cross-tropopause wind shear is negatively correlated with TC genesis in May, with a decreased (increased) number of TCs corresponding to strong (weak) cross-tropopause wind shear.This cross-tropopause wind shear can be treated as the combined impacts of the El Nino-Southern Oscillation (ENSO) events and the stratospheric quasi-biennial oscillation (QBO). When decaying El Nino events coupled with the easterly phase of the QBO were noted, the cross-tropopause wind shear was stronger with weakened convection, and an enhanced western Pacific subtropical high was observed. TCs are rarely generated during these years. In contrast, the modulation of the QBO westerly phase on decaying La Nina events is limited. Affected by the QBO westerly phase, TC genesis in the May following La Nina events is only slightly enhanced. The energy analysis indicates that the combined impacts of the decaying El Nino events and the QBO easterly phase might suppress the barotropic eddy kinetic energy conversion in May, whereas the decaying La Nina events and the QBO west phase act in an opposite manner.</t>
  </si>
  <si>
    <t>[Huangfu, Jingliang; Chen, Wen; Huang, Ronghui] Chinese Acad Sci, Inst Atmospher Phys, Ctr Monsoon Syst Res, POB 2718, Beijing 100190, Peoples R China; [Chen, Wen; Huang, Ronghui] Univ Chinese Acad Sci, Coll Earth Sci, Beijing 100049, Peoples R China; [Jian, Maoqiu] Sun Yat Sen Univ, Sch Atmospher Sci, Guangzhou, Guangdong, Peoples R China</t>
  </si>
  <si>
    <t>Chinese Academy of Sciences; Institute of Atmospheric Physics, CAS; Chinese Academy of Sciences; University of Chinese Academy of Sciences, CAS; Sun Yat Sen University</t>
  </si>
  <si>
    <t>National Key Research and Development Program of China; National Natural Science Foundation of China(National Natural Science Foundation of China (NSFC))</t>
  </si>
  <si>
    <t>This work was supported by the National Key Research and Development Program of China (2016YFA0600603), and the National Natural Science Foundation of China (Grant nos. 41705071, 41661144016, 41461164005, 41375065, 41230527).</t>
  </si>
  <si>
    <t>10.1007/s00382-018-4363-4</t>
  </si>
  <si>
    <t>WOS:000467187600005</t>
  </si>
  <si>
    <t>This study examines the interdecadal variations in the frequency and intensity of tropical cyclones (TCs) making landfall in South China (SC) during the period 1975-2018. The annual frequency shows a decrease in 1997 but rises again since 2008 and the annual maximum landfall intensity (MLI) shows an increase since 2012. According to these variations, three subperiods, 1975-1996 (higher frequency but lower MLI), 1997-2011 (lower frequency and MLI) and 2012-2018 (higher frequency and MLI), are defined. The increase in MLI during 2012-2018 is related to the increases in the frequency of (1) TCs undergoing rapid intensification over the South China Sea (SCS) and landfalling in SC, with higher maximum intensity and location of maximum intensity closer to the coast of SC, and (2) intense typhoons (ITYs) over the western North Pacific (WNP), which maintain high intensity before landfall. These changes are closely related to the lower vertical wind shear and higher TC heat potential over the ocean east of the Philippines and the northern part of the SCS. Such an environment is more conducive for TC intensification, leading to the observed increases in the number of rapid-intensifying TCs over the SCS and ITYs over the WNP. Some of these latter TCs move across the SCS and tend to maintain high intensity during landfall in SC. The steering flow also changes, which allows more TCs to enter the SCS, resulting in an increase of ITYs making landfall in SC.</t>
  </si>
  <si>
    <t>[Liu, Kin Sik; Chan, Johnny C. L.] City Univ Hong Kong, Sch Energy &amp; Environm, Guy Carpenter Asia Pacific Climate Impact Ctr, Kowloon, Tat Chee Ave, Hong Kong, Peoples R China</t>
  </si>
  <si>
    <t>Research Grants Council of Hong Kong(Hong Kong Research Grants Council)</t>
  </si>
  <si>
    <t>This project is supported by the Research Grants Council of Hong Kong Grant CityU E-CityU101/16.</t>
  </si>
  <si>
    <t>10.1007/s00382-020-05311-5</t>
  </si>
  <si>
    <t>WOS:000537349800001</t>
  </si>
  <si>
    <t>Ren, Qian; Zhu, Zhiwei; Hao, Liping; He, Jinhai</t>
  </si>
  <si>
    <t>A decadal change on relationship between winter rainfall over Southern China (SCWR) and Western Pacific warm pool heat content (WPHC) was detected by a sliding correlation analysis. The decadal turning point occurred around 1993. Before 1993, the relationship between SCWR and WPHC was quite weak with a correlation coefficient of -0.17. During this epoch, the WPHC-related anomalous troposphere circulation, sea surface temperature (SSTA) and outgoing longwave radiation (OLRA) were mainly confined to the Pacific Ocean. Therefore, the corresponding climate system anomalies cannot influence SCWR. However, after 1993, the relationship between SCWR and WPHC became significant and reached a correlation coefficient of -0.81. The troposphere circulation anomalies along with the SSTA and OLRA pattern that were associated with WPHC during this epoch significantly shifted northwestward and intensified, resulting in a direct impact on SCWR. A possible mechanism was put forth to explain the decadal enhanced relation between SCWR and WPHC. In the context of the increased and northwestward-shifted climatological maximum WPHC, the concurrent intensified and northwestward-shifted SST and atmospheric circulation anomaly pattern contributes to the decadal enhanced relation between SCWR andWPHC. On one hand, because of the increased and northwestward-shifted maximum sea surface temperature, the convection became more sensitive to the SSTA over Indian Ocean and Maritime Continent, thus dragged the Philippines anticyclonic/cyclonic anomaly northwestward via Kevin wave and Rossby wave response, which can directly affect SCWR. On the other hand, the increased and northwestward-shifted SSTA anchored the convection anomalies in South China Sea (SCS) and Maritime Continent, impacting the SCWR via anomalous descending/ascending motion of the anomalous local meridional cell.</t>
  </si>
  <si>
    <t>[Ren, Qian] China Meteorol Adm, Heavy Rain &amp; Drought Flood Disasters Plateau &amp; Ba, Inst Plateau Meteorol, Chengdu, Peoples R China; [Ren, Qian; Zhu, Zhiwei; He, Jinhai] Nanjing Univ Informat Sci &amp; Technol, Minist Educ, Key Lab Meteorol Disaster, Nanjing, Jiangsu, Peoples R China; [Zhu, Zhiwei] Univ Hawaii Manoa, Int Pacific Res Ctr, Honolulu, HI 96822 USA; [Zhu, Zhiwei] Univ Hawaii Manoa, Dept Atmospher Sci, Honolulu, HI 96822 USA; [Hao, Liping] Sichuan Meteorol Adm, Chengdu, Peoples R China</t>
  </si>
  <si>
    <t>China Meteorological Administration; Nanjing University of Information Science &amp; Technology; University of Hawaii System; University of Hawaii Manoa; University of Hawaii System; University of Hawaii Manoa</t>
  </si>
  <si>
    <t>National Natural Science Foundation of China(National Natural Science Foundation of China (NSFC)); China National 973 project(National Basic Research Program of China); Program for Changjiang. Scholars and Innovative Research Team in University (PCSIRT)(Program for Changjiang Scholars &amp; Innovative Research Team in University (PCSIRT)); Priority Academic Program Development of Jiangsu Higher Education Institutions (PAPD)</t>
  </si>
  <si>
    <t>The authors thank two anonymous reviewers for their constructive comments and suggestions. This work is supported by the National Natural Science Foundation of China (41375089) and China National 973 project (grant no. 2012CB417403), Program for Changjiang. Scholars and Innovative Research Team in University (PCSIRT) and the Priority Academic Program Development of Jiangsu Higher Education Institutions (PAPD). This is SOEST contribution number 9588, 1PRC contribution number 1170.</t>
  </si>
  <si>
    <t>10.1002/joc.4714</t>
  </si>
  <si>
    <t>WOS:000392415700030</t>
  </si>
  <si>
    <t>Chen, Feng; Yu, Shulong; Yuan, Yujiang; Wang, Huiqin; Gagen, Mary</t>
  </si>
  <si>
    <t>We present a drought reconstruction for southeastern China based on a tree-ring width chronology of Cryptomeria fortunei developed from two sampling sites in central Fujian. A reconstruction of July-February drought variability, spanning AD 1855-2011, was developed by calibrating total tree-ring width data with the self-calibrating Palmer drought severity index (scPDSI). The reconstruction was verified against an independent data set, and accounts for 36% of the actual scPDSI variance during the period 1955-2011. Relatively dry intervals were reconstructed between AD 1859-1880, 1899-1911, 1927-1933, 1946-1959, 1964-1970 and 1987-1997. Relatively wet conditions prevailed during 1855-1858, 1881-1898, 1912-1926, 1934-1945, 1960-1963, 1971-1986 and 1998-2011. Comparisons between our scPDSI reconstruction and a moisture-sensitive tree-ring width record from Vietnam revealed consistencies between the two data sets, suggesting similar drought regimes. Spectral peaks of 2.2-6.4years may be indicative of El Nino-Southern Oscillation (ENSO) activity, as also suggested by the significant correlations with sea surface temperatures (SSTs) in the eastern equatorial and southeastern Pacific Ocean and an extreme event analysis. The analysis of links between our scPDSI reconstruction and the large-scale regional climatic variation shows that there is a relationship between regional drought variation and East Asian summer monsoon (EASM) intensity.</t>
  </si>
  <si>
    <t>[Chen, Feng; Yu, Shulong; Yuan, Yujiang; Wang, Huiqin] China Meteorol Adm, Key Lab Tree Ring Phys &amp; Chem Res, Inst Desert Meteorol, China Meteorol Adm, Urumqi 830002, Peoples R China; [Chen, Feng; Yu, Shulong; Yuan, Yujiang; Wang, Huiqin] China Meteorol Adm, Inst Desert Meteorol, Xinjiang Lab Tree Ring Ecol, Urumqi 830002, Peoples R China; [Chen, Feng; Wang, Huiqin] Lanzhou Univ, Coll Earth &amp; Environm Sci, Lanzhou 73000, Peoples R China; [Gagen, Mary] Swansea Univ, Dept Geog, Singleton Pk, Swansea SA2 8PP, W Glam, Wales</t>
  </si>
  <si>
    <t>China Meteorological Administration; China Meteorological Administration; Lanzhou University; Swansea University</t>
  </si>
  <si>
    <t>National Basic Research Program of China (973 Program)(National Basic Research Program of China); NSFC Project(National Natural Science Foundation of China (NSFC)); Young Talent Training Plan of Meteorological Departments of China Meteorological Administration</t>
  </si>
  <si>
    <t>This work was supported by the National Basic Research Program of China (973 Program) (No. 2012CB955301), NSFC Project (No. 41405081) and the Young Talent Training Plan of Meteorological Departments of China Meteorological Administration. We sincerely thank the anonymous reviewers whose comments greatly benefitted this manuscript. We also thank Prof. Jan A. Piotrowski for editorial assistance.</t>
  </si>
  <si>
    <t>0300-9483</t>
  </si>
  <si>
    <t>1502-3885</t>
  </si>
  <si>
    <t>Boreas</t>
  </si>
  <si>
    <t>10.1111/bor.12158</t>
  </si>
  <si>
    <t>WOS:000373012500010</t>
  </si>
  <si>
    <t>Spiridonov, Vlado; Grcic, Marija; Sladic, Nedim; Curic, Mladjen; Jakimovski, Boro</t>
  </si>
  <si>
    <t>Climate changes are accelerating and leading to climate and weather extremes with the most destructive impacts and negative consequences on the planet. For these reasons, precise forecasting, and announcement of weather disasters of a convective nature, from local to synoptic scales, is very important. The Novel Thunderstorm Alert System (NOTHAS) has shown outstanding results in forecasting and early warning of different modes of convection, including local hazards in mid-latitudes. In this study, an attempt has been made to apply this tool in the prediction of different atmospheric systems that occur in different climatic regions. The upgraded prognostic and diagnostic algorithm with adjusted complex parameters and criteria representative of tropical storms and tropical cyclones showed good coincidence with the available observations. NOTHAS showed skill and success in assessing the dynamics and intensity of Hurricane Ian, which hit the west coast of Florida on 30 September 2022 and caused great material damage and human losses. This advanced tool also detected the most intense-extreme Level-5 on 1 September 2021, over New York, when catastrophic flooding occurred within the remnants of Hurricane Ida. Likewise, the upgraded model configuration very correctly predicted the trajectory, modifications, and strength of super typhoon Nanmadol over Japan (19 September 2022), 24-48 h in advance, and super typhoon Noru over the Philippines (25 September 2022). The system showed the temporal and spatial accuracy of the location of the heavy rainfall and flash flood. In general, the obtained results for all evaluated cases are encouraging and provide a good basis for further testing, verification, and severe weather warnings and guidance for weather services worldwide.</t>
  </si>
  <si>
    <t>[Spiridonov, Vlado] Ss Cyril &amp; Methodius Univ Skopje, Inst Phys Meteorol, Fac Nat Sci &amp; Math, Skopje, North Macedonia; [Sladic, Nedim] Univ Reading, Dept Meteorol, Reading, England; [Curic, Mladjen] Univ Belgrade, Inst Meteorol, Belgrade, Serbia; [Jakimovski, Boro] Ss Cyril &amp; Methodius Univ Skopje, Fac Comp Sci &amp; Engn, Skopje, North Macedonia</t>
  </si>
  <si>
    <t>Saints Cyril &amp; Methodius University of Skopje; University of Reading; University of Belgrade; Saints Cyril &amp; Methodius University of Skopje</t>
  </si>
  <si>
    <t>10.1007/s11600-023-01122-4</t>
  </si>
  <si>
    <t>WOS:001005783800001</t>
  </si>
  <si>
    <t>Tibay, Jennifer; Cruz, Faye; Tangang, Fredolin; Juneng, Liew; Ngo-Duc, Thanh; Phan-Van, Tan; Santisirisomboon, Jerasorn; Singhruck, Patama; Gunawan, Dodo; Aldrian, Edvin; Narisma, Gemma Teresa</t>
  </si>
  <si>
    <t>In this study, a subset of the downscaled simulations of the Southeast Asia Regional Climate Downscaling/Coordinated Regional Climate Downscaling Experiment-Southeast Asia (SEACLID/CORDEX-SEA) was analysed to examine the representation of tropical cyclone (TC) climatology over Southeast Asia, in terms of pattern, intensity, frequency, and lifetime. A modified vortex tracking algorithm is used to detect TCs over the SEACLID/CORDEX-SEA domain in the historical simulations from 1986 to 2005. Sensitivity tests for the detection method criteria, including vorticity, outer core wind strength, sea level pressure anomaly, and temperature anomaly at 300, 500, 700, and 850 hPa, were conducted to determine the optimum threshold configuration for each SEACLID/CORDEX-SEA simulation used in the study. Comparison with the best track data of the Joint Typhoon Warning Center showed that model simulations underestimated the total number of TCs east of the Philippines for the 1986-2005 period but captured the annual cycle of the total number of TCs. This underestimation of TCs is possibly due to the domain used, which does not extend further east to cover most of the TC genesis area in the Western North Pacific. The structure of a typical TC from the regional climate model simulation is comparable to observed TC structure. However, results indicate that the resolution of the simulations is still not sufficient to capture the fine details of the observed TC structure, which could explain in part the lower intensification rate of TCs in the model output.</t>
  </si>
  <si>
    <t>[Tibay, Jennifer; Cruz, Faye; Narisma, Gemma Teresa] Manila Observ, Reg Climate Syst Lab, Quezon City 1108, Philippines; [Tangang, Fredolin; Juneng, Liew] Univ Kebangsaan Malaysia, Dept Earth Sci &amp; Environm, Fac Sci &amp; Technol, Bangi, Selangor, Malaysia; [Ngo-Duc, Thanh] Univ Sci &amp; Technol Hanoi, Vietnam Acad Sci &amp; Technol, Dept Space &amp; Applicat, Hanoi, Vietnam; [Phan-Van, Tan] VNU Univ Sci, Fac Hydrometeorol &amp; Oceanog, Hanoi, Vietnam; [Tangang, Fredolin; Santisirisomboon, Jerasorn] Ramkhamhang Univ, Ramkhamhaeng Univ Ctr Reg Climate Change &amp; Renewa, Bangkok, Thailand; [Singhruck, Patama] Chulalongkorn Univ, Dept Marine Sci, Fac Sci, Bangkok, Thailand; [Gunawan, Dodo] Agcy Meteorol Climatol &amp; Geophys BMKG, Ctr Climate Change Informat, Jakarta, Indonesia; [Aldrian, Edvin] Agcy Assessment &amp; Applicat Technol BPPT, Jakarta, Indonesia; [Narisma, Gemma Teresa] Ateneo Manila Univ, Dept Phys, Atmospher Sci Program, Quezon City, Philippines</t>
  </si>
  <si>
    <t>Universiti Kebangsaan Malaysia; Vietnam Academy of Science &amp; Technology (VAST); University of Science &amp; Technology of Hanoi (USTH); Vietnam National University Hanoi; Ramkhamhaeng University; Chulalongkorn University; Indonesian Agency for Meteorology, Climatology &amp; Geophysics; National Research &amp; Innovation Agency of Indonesia (BRIN); Agency for the Assessment &amp; Application of Technology (BPPT); Ateneo de Manila University</t>
  </si>
  <si>
    <t>Asia-Pacific Network for Global Change Research; National Foundation for Science and Technology Development; Philippine Council for Industry, Energy, and Emerging Technology Research and Development; Universiti Kebangsaan Malaysia</t>
  </si>
  <si>
    <t>Asia-Pacific Network for Global Change Research, Grant/Award Numbers: ARCP2013-17NMY-Tangang, ARCP2014-07CMY-Tangang, ARCP2015-04CMY-Tangang; National Foundation for Science and Technology Development, Grant/Award Number: 105.06-2018.05; Philippine Council for Industry, Energy, and Emerging Technology Research and Development, Grant/Award Number: 2018-03691; Universiti Kebangsaan Malaysia, Grant/Award Numbers: GUP-2019-035, ICONIC-2013-001</t>
  </si>
  <si>
    <t>10.1002/joc.7070</t>
  </si>
  <si>
    <t>WOS:000632178000001</t>
  </si>
  <si>
    <t>Liu, Lu; Ning, Liang; Liu, Jian; Yan, Mi; Sun, Weiyi</t>
  </si>
  <si>
    <t>Based on high-resolution observed daily precipitation data and atmospheric circulation data, a physics-based empirical model (PEM) is built for the prediction of summer extreme precipitation (SEP) over the middle and lower reaches of the Yangtze River basin (MLYRB; 27 degrees-33 degrees N, 108 degrees-120 degrees E). Two preceding predictors with significant physical influences (i.e., spring sea surface temperatures [SSTs] across the northern Indian Ocean [NIO; 20 degrees S-20 degrees N, 50 degrees-95 degrees E] and sea level pressure [SLP], which was defined as spring mean SLP anomalies averaged over the western North Pacific (WNP; 30 degrees S-30 degrees N,120 degrees E-150 degrees W) minus spring mean SLP anomalies averaged over the Aleutian Islands (AIs; 50 degrees-70 degrees N,160 degrees E-160 degrees W)) are selected. Analyses of these physical mechanisms show that when spring SSTs over the NIO are higher, the South Asian High (SAH) extends to the east and the western Pacific subtropical high (WPSH) extends to the west; therefore, the generated secondary circulation induces anomalous upward motions and increases water vapour transport to the MLYRB, which results in increased SEP. Meanwhile, the increase in SEP over the MLYRB is related to control by conditions via anticyclonic anomalies over the Philippines, which are maintained through the interaction between abnormally high WNP and dipole SST anomalies. The regression model is built over the period 1961-1999 with a correlation coefficient skill of 0.56 (p&lt;0.01), and the independent forecast of the PEM over the validation period 2000-2014 shows a skillful SEP prediction, with a significant correlation coefficient of 0.52 (p&lt;0.05).</t>
  </si>
  <si>
    <t>[Liu, Lu; Ning, Liang; Liu, Jian; Yan, Mi; Sun, Weiyi] Nanjing Normal Univ, Minist Educ, Key Lab Virtual Geog Environm, Nanjing 210023, Jiangsu, Peoples R China; [Liu, Lu; Ning, Liang; Liu, Jian; Yan, Mi; Sun, Weiyi] Jiangsu Prov Cultivat Base, State Key Lab Geog Environm Evolut, Nanjing, Jiangsu, Peoples R China; [Liu, Lu; Ning, Liang; Liu, Jian; Yan, Mi; Sun, Weiyi] Nanjing Normal Univ, Sch Geog Sci, Nanjing, Jiangsu, Peoples R China; [Ning, Liang; Liu, Jian; Yan, Mi] Jiangsu Ctr Collaborat Innovat Geog Informat Reso, Nanjing, Jiangsu, Peoples R China; [Ning, Liang] Univ Massachusetts, Dept Geosci, Climate Syst Res Ctr, Amherst, MA 01003 USA</t>
  </si>
  <si>
    <t>Nanjing Normal University; Nanjing Normal University; University of Massachusetts System; University of Massachusetts Amherst</t>
  </si>
  <si>
    <t>National Key Research and Development Program of China; National Natural Science Foundation of China(National Natural Science Foundation of China (NSFC)); Jiangsu Province Natural Science Foundation(Natural Science Foundation of Jiangsu Province); Top-notch Academic Programs Project of Jiangsu Higher Education Institutions; Priority Academic Development Program of Jiangsu Higher Education Institutions</t>
  </si>
  <si>
    <t>the National Key Research and Development Program of China, Grant/Award Number: 2016YFA0600401; the National Natural Science Foundation of China, Grant/Award Numbers: 41501210, 41420104002, 41371209, 41671197, 41631175; the Jiangsu Province Natural Science Foundation, Grant/Award Number: BK20150977; Top-notch Academic Programs Project of Jiangsu Higher Education Institutions, Grant/Award Number: PPZY2015B115; the Priority Academic Development Program of Jiangsu Higher Education Institutions, Grant/Award Number: 164320H116</t>
  </si>
  <si>
    <t>10.1002/joc.5813</t>
  </si>
  <si>
    <t>WOS:000459638400028</t>
  </si>
  <si>
    <t>Desmet, Quentin; Ngo-Duc, Thanh</t>
  </si>
  <si>
    <t>The performance of 28 CMIP6 models in simulating the Southeast Asian (SEA) climate is investigated. An evaluation methodology is developed to evaluate spatiotemporal patterns of precipitation, near-surface temperature, and 850-hPa wind. Mean annual cycles of temperature and rainfall are assessed separately over Indochina, the Maritime Continent, and the Philippines; and the summer and winter seasons are selected for studying spatial patterns. Within these distinctions, statistics comparing the models to reference data are calculated. The patterns' shape and phase are notably studied, and wind direction differences are assessed specifically over the most major wind flows. We present a scoring procedure allowing us to give each model a unique score reporting on the diverse evaluation aspects, hence establishing a ranking. The process rests on a scoring function growing exponentially with the performance: it favours the models combining good performances according to the largest number of criteria. The assessment highlights EC-Earth3 and EC-Earth3-Veg, which conduct excellent simulations of the regional patterns of rainfall and wind. Their temperature outputs are also reliable, but CNRM-CM6 ranks first for this variable, while finishing third globally. Local differences are discussed: we emphasize, among other things, the diverse impact of topography on temperature and rainfall, or the frequent deviation of winter winds circulating from the South China Sea to the Java Sea. In addition, a similarity study reveals major difficulties for simulating near-equatorial annual cycles of temperature and precipitation whereas the summer monsoon spatial rainfall patterns bring out the largest discrepancies. In any event, the top models pointed out by our ranking constitute a high-performance subset that further climate modelling experiments in SEA can rely on.</t>
  </si>
  <si>
    <t>[Desmet, Quentin] Univ Toulouse, LEGOS, IRD, CNES,CNRS,UMR5566, Toulouse, France; [Ngo-Duc, Thanh] Univ Sci &amp; Technol Hanoi USTH, Vietnam Acad Sci &amp; Technol VAST, REMOSAT Lab, Hanoi, Vietnam</t>
  </si>
  <si>
    <t>Universite de Toulouse; Universite Toulouse III - Paul Sabatier; Centre National de la Recherche Scientifique (CNRS); Institut de Recherche pour le Developpement (IRD); Laboratoire d'Etudes en Geophysique et oceanographie spatiales; CNRS - National Institute for Earth Sciences &amp; Astronomy (INSU); Vietnam Academy of Science &amp; Technology (VAST); University of Science &amp; Technology of Hanoi (USTH)</t>
  </si>
  <si>
    <t>10.1002/joc.7234</t>
  </si>
  <si>
    <t>WOS:000661814800001</t>
  </si>
  <si>
    <t>Chen Xiong; Li Chong-yin; Tan Yan-ke; Guo Wen-hua</t>
  </si>
  <si>
    <t>This paper investigates the contrasts between strong and weak Madden-Julian Oscillation (MJO) activity over the equatorial western Pacific during winter using the NCEP reanalysis data. It is shown that the MJO over the equatorial western Pacific in winter shows significant interannual and interdecadal variabilities. During the winters with strong MJO activity, an anomalous cyclonic circulation lies east of the Philippines, strong anomalous easterlies control the equatorial eastern Pacific, and anomalous westerlies extend from the Indian Ocean to the western Pacific in the lower troposphere, which strengthens the convergence and convection over the equatorial western Pacific. The moisture convergence in the lower troposphere is also enhanced over the western Pacific, which is favorable to the activity of MJO. Eastward propagation is a significant feature of the MJO, though there is some westward propagation. The space-time spectral power and center period of the MJO are higher during strong MJO activity winters. The anomalous activity of MJO is closely related to the sea surface temperature (SST) and East Asian winter monsoon (EAWM). During strong MJO activity winters, there are positive/negative anomalies at high/low latitudes in both sea level pressure and 500 hPa geopotential height, and the temperature is lower over the central part of the Chinese mainland, which indicates a strong EAWM. China experiences more rainfall between the Yellow and Yangtze Rivers, but less rainfall south of the Yangtze River. The SSTA is negative near the Taiwan Island due to the impact of strong EAWM and shows a La Nina pattern anomaly over the eastern Pacific. During the weak MJO activity winters, the situation is reversed.</t>
  </si>
  <si>
    <t>[Chen Xiong; Li Chong-yin; Tan Yan-ke] PLA Univ Sci &amp; Technol, Coll Meteorol &amp; Oceanog, Nanjing 211101, Jiangsu, Peoples R China; [Li Chong-yin] Chinese Acad Sci, Inst Atmospher Phys, LASG, Beijing 100029, Peoples R China; [Guo Wen-hua] Unit 94195 PLA, Dingxi 730500, Gansu, Peoples R China</t>
  </si>
  <si>
    <t>Army Engineering University of PLA; Chinese Academy of Sciences; Institute of Atmospheric Physics, CAS</t>
  </si>
  <si>
    <t>National Basic Research Program of China(National Basic Research Program of China); National Nature Science Foundation of China(National Natural Science Foundation of China (NSFC))</t>
  </si>
  <si>
    <t>National Basic Research Program of China (2015CB453200, 2013CB956200); National Nature Science Foundation of China (41275086, 41475070, 41575062)</t>
  </si>
  <si>
    <t>10.16555/j.1006-8775.2017.02.002</t>
  </si>
  <si>
    <t>WOS:000403494100002</t>
  </si>
  <si>
    <t>Colbert, Angela J.; Soden, Brian J.; Kirtman, Ben P.</t>
  </si>
  <si>
    <t>The impact of natural and anthropogenic climate change on tropical cyclone (TC) tracks in the western North Pacific (WNP) is examined using a beta and advection model (BAM) to isolate the influence of changes in the large-scale steering flow from changes in genesis location. The BAM captures many of the observed changes in TC tracks due to El Nino-Southern Oscillation (ENS 0), while little change is noted for the Pacific decadal oscillation and all-India monsoon rainfall in either observations or BAM simulations. Analysis with the BAM suggests that the observed shifts in the average track between the phases of ENSO are primarily due to changes in the large-scale steering flow, with changes in genesis location playing a secondary role. Potential changes in TC tracks over the WNP due to anthropogenic climate change are also assessed. Ensemble mean projections are downscaled from 17 CMIP3 models and 26 CMIP5 models. Statistically significant decreases [similar to(4%-6%)] in westward moving TCs and increases [similar to(5%-7%)] in recurving ocean TCs are found. These correspond to projected decreases of 3-5 TCs per decade over the Philippines and increases of 1-3 TCs per decade over the central WNP. The projected changes are primarily caused by a reduction in the easterlies. This slows the storm movement, allowing more time for the beta drift to carry the storm northward and recurve. A previous study found similar results in the North Atlantic. Taken together, these results suggest that a weakening of the mean atmospheric circulation in response to anthropogenic warming will lead to fewer landfalling storms over the North Atlantic and WNP.</t>
  </si>
  <si>
    <t>[Colbert, Angela J.; Soden, Brian J.; Kirtman, Ben P.] Univ Miami, Rosenstiel Sch Marine &amp; Atmospher Sci, Miami, FL 33149 USA</t>
  </si>
  <si>
    <t>University of Miami</t>
  </si>
  <si>
    <t>NOAA Climate Program Office(National Oceanic Atmospheric Admin (NOAA) - USA); NASA(National Aeronautics &amp; Space Administration (NASA))</t>
  </si>
  <si>
    <t>This research was partially supported by grants from the NOAA Climate Program Office and NASA. We also thank Gabriel Vecchi, Chris Landsea, and Amy Clement for their input with this study and the three reviewers for their valuable comments.</t>
  </si>
  <si>
    <t>10.1175/JCLI-D-14-00100.1</t>
  </si>
  <si>
    <t>WOS:000350839300005</t>
  </si>
  <si>
    <t>Wang, Wei; Li, Tim; Xin, Fei; Zhu, Zhiwei</t>
  </si>
  <si>
    <t>Meiyu is an important climate phenomenon in East Asia, and predicting its onset is critical for local community. Traditionally, the onset of Meiyu is determined by regional operational meteorological centers with some arbitrary criteria. In this study, an objective Meiyu onset index (MOI) is constructed based on large-scale atmospheric conditions such as temperature and relative humidity over the lower reaches of the Yangtze River basin (LYRB). This objectively determined MOI is in good agreement with an integrated area-weighted onset index provided by regional climate centers. A composite analysis is further carried out to reveal large-scale circulation characteristics associated with an early and a late onset group. A La Nina like sea surface temperature (SST) condition in the Pacific and enhanced convection in Philippines are favorable precursory conditions for the early onset. Accompanied with the tropical signals are a Pacific-Japan (PJ) pattern in June and an anomalous anticyclone near Taiwan. Southerly anomalies to the west of the anticyclone transports high mean moisture northward, favoring the onset of Meiyu in LYRB. A linear regression model is constructed for the MOI forecast with three independent predictors. With 1981-2010 as a training period, the reconstructed MOI time series is able to capture the early and late onset years quite well. An independent forecast for the period of 2011-2020 shows a reliable skill. The correlation between the objectively determined MOI and the forecasted date is 0.6, exceeding the 95% confidence level. The newly developed MOI and the regression model can be easily implemented to operational centers for real-time application.</t>
  </si>
  <si>
    <t>[Wang, Wei] Minhang Meteorol Bureau, Shanghai 201199, Peoples R China; [Li, Tim] Univ Hawaii, Sch Ocean &amp; Earth Sci &amp; Technol, Dept Atmospher Sci, Honolulu, HI 96822 USA; [Li, Tim; Zhu, Zhiwei] Nanjing Univ Informat Sci &amp; Technol, Minist Educ,KLME Joint Int Res Lab Climate &amp; Envir, Key Lab Meteorol Disaster, Collaborat Innovat Ctr Forecast &amp; Evaluat Meteorol, Nanjing 210044, Peoples R China; [Xin, Fei] Key Lab Cities Mitigat &amp; Adaptat Climate Change Sh, Shanghai 200030, Peoples R China; [Xin, Fei] Shanghai Climate Ctr, Shanghai 200030, Peoples R China</t>
  </si>
  <si>
    <t>University of Hawaii System; Nanjing University of Information Science &amp; Technology</t>
  </si>
  <si>
    <t>National Key Research and Development Program of China; National Natural Science Foundation of China(National Natural Science Foundation of China (NSFC)); Shanghai Science Committee; United States National Science Foundation(National Science Foundation (NSF))</t>
  </si>
  <si>
    <t>Supported by the National Key Research and Development Program of China (2018YFA0606203), National Natural Science Foundation of China (42088101), Shanghai Science Committee (20dz1200401), and United States National Science Foundation (AGS-2006553).</t>
  </si>
  <si>
    <t>10.1007/s13351-022-2069-3</t>
  </si>
  <si>
    <t>WOS:000912035100003</t>
  </si>
  <si>
    <t>Puno, G. R.; Amper, R. A. L.; Opiso, E. M.; Cipriano, J. A. B.</t>
  </si>
  <si>
    <t>Flooding in the Philippines is becoming more hazardous over the years intensified by climate change, poor drainage and expanding agricultural industries. In managing this natural disaster, flood hazard maps serve as a significant tool to local government in enabling them for adequate disaster response and planning. Through flood simulation and mapping using numerical models and GIS techniques, this study aimed to determine the amount of flood exposed building features and agricultural resources to different flood scenarios in the floodplain of Sawaga watershed. The Hydrologic Engineering Center's, hydrologic modeling system and river analysis system of the US Army Corps were the models used for the flood simulation. Feature datasets utilized for flood exposure analysis were derived from Light Detection and Ranging data and satellite images. Results revealed that of the 12 flood-prone barangays in Sawaga floodplain, four (Managok, Santo Nino, Simaya, and Violeta) are most exposed to flood hazards when it comes to the count of affected building features and area of flood-exposed agricultural cultivations. Residential buildings associated as the local community are the most exposed to flood hazard accounting 94% of the total affected building features for all flood scenarios. Moreover, rice plantation is the most exposed agricultural land use to the flood hazard constituting 66%, 74% and 77% of the total flooded agricultural cultivation in the floodplain by the 5-year, 25-year, and 100-year return period scenarios, respectively. The generated maps and extracted information will serve as viable tools to guide disaster managers in the city in executing informed decisions in facing the onslaught of flood disasters.</t>
  </si>
  <si>
    <t>[Puno, G. R.; Amper, R. A. L.; Cipriano, J. A. B.] Cent Mindanao Univ, Coll Forestry &amp; Environm Sci, Musuan 8710, Bukidnon, Philippines; [Opiso, E. M.] Cent Mindanao Univ, Coll Engn, Musuan 8710, Bukidnon, Philippines</t>
  </si>
  <si>
    <t>Central Mindanao University; Central Mindanao University</t>
  </si>
  <si>
    <t>Department of Science and Technology (DOST)(Department of Science &amp; Technology (India)); Central Mindanao University administration</t>
  </si>
  <si>
    <t>This paper is an output of the project Phil-LiDAR 1: LiDAR Data Processing and Validation in Mindanao: Region 10, 12 and Autonomous Region in Muslim Mindanao (ARMM) supported by the Department of Science and Technology (DOST). The authors would like to acknowledge Phil-LiDAR 1 and 2 Program of DOST and the University of the Philippines Diliman for the SAR DEM, LiDAR DTM, and DSM datasets; NAMRIA for the land cover data; and PAGASA for the rainfall information. Lastly, the authors are grateful to the Central Mindanao University administration for its support.</t>
  </si>
  <si>
    <t>10.1007/s41324-019-00280-2</t>
  </si>
  <si>
    <t>WOS:000522878100006</t>
  </si>
  <si>
    <t>Lewis, Jasper R.; Campbell, James R.; Welton, Ellsworth J.; Stewart, Sebastian A.; Haftings, Phillip C.</t>
  </si>
  <si>
    <t>The National Aeronautics and Space Administration Micro Pulse Lidar Network, version 3, cloud detection algorithm is described and differences relative to the previous version are highlighted. Clouds are identified from normalized level 1 signal profiles using two complementary methods. The first method considers vertical signal derivatives for detecting low-level clouds. The second method, which detects high-level clouds like cirrus, is based on signal uncertainties necessitated by the relatively low signal-to-noise ratio exhibited in the upper troposphere by eye-safe network instruments, especially during daytime. Furthermore, a multitemporal averaging scheme is used to improve cloud detection under conditions of a weak signal-to-noise ratio. Diurnal and seasonal cycles of cloud occurrence frequency based on one year of measurements at the Goddard Space Flight Center (Greenbelt, Maryland) site are compared for the new and previous versions. The largest differences, and perceived improvement, in detection occurs for high clouds (above 5 km, above MSL), which increase in occurrence by over 5%. There is also an increase in the detection of multilayered cloud profiles from 9% to 19%. Macrophysical properties and estimates of cloud optical depth are presented for a transparent cirrus dataset. However, the limit to which the cirrus cloud optical depth could be reliably estimated occurs between 0.5 and 0.8. A comparison using collocated CALIPSO measurements at the Goddard Space Flight Center and Singapore Micro Pulse Lidar Network (MPLNET) sites indicates improvements in cloud occurrence frequencies and layer heights.</t>
  </si>
  <si>
    <t>[Lewis, Jasper R.] Univ Maryland Baltimore Cty, Joint Ctr Earth Syst Technol, Baltimore, MD 21228 USA; [Campbell, James R.] Naval Res Lab, Monterey, CA USA; [Lewis, Jasper R.; Welton, Ellsworth J.] NASA, Goddard Space Flight Ctr, Code 612, Greenbelt, MD 20771 USA; [Stewart, Sebastian A.; Haftings, Phillip C.] Sci Syst &amp; Applicat Inc, Lanham, MD USA</t>
  </si>
  <si>
    <t>University System of Maryland; University of Maryland Baltimore County; United States Department of Defense; United States Navy; Naval Research Laboratory; National Aeronautics &amp; Space Administration (NASA); NASA Goddard Space Flight Center; Science Systems &amp; Applications Inc</t>
  </si>
  <si>
    <t>NASA Earth Observing System; NASA Radiation Sciences Program(National Aeronautics &amp; Space Administration (NASA)); NASA(National Aeronautics &amp; Space Administration (NASA))</t>
  </si>
  <si>
    <t>The authors acknowledge Larry Belcher for processing the V2 lidar data, and the MPLNET PIs and staff for their efforts in establishing and maintaining the GSFC and Singapore sites. The GEOS-5 meteorological data were provided by the NASA Global Modeling and Assimilation Office (GMAO) at GSFC. The NASA Micro Pulse Lidar Network is funded by the NASA Earth Observing System and the NASA Radiation Sciences Program. CALIPSO data were obtained from the NASA Langley Research Center Atmospheric Science Data Center. Author JRC acknowledges the support of NASA Interagency Agreement NNG13HH10I on behalf of MPLNET.</t>
  </si>
  <si>
    <t>0739-0572</t>
  </si>
  <si>
    <t>1520-0426</t>
  </si>
  <si>
    <t>J ATMOS OCEAN TECH</t>
  </si>
  <si>
    <t>J. Atmos. Ocean. Technol.</t>
  </si>
  <si>
    <t>10.1175/JTECH-D-15-0190.1</t>
  </si>
  <si>
    <t>Engineering, Ocean; Meteorology &amp; Atmospheric Sciences</t>
  </si>
  <si>
    <t>WOS:000384537400005</t>
  </si>
  <si>
    <t>He, Linqiang; Hao, Xin; Han, Tingting</t>
  </si>
  <si>
    <t>The El Nino-Southern Oscillation (ENSO) Modoki phenomenon has a substantial influence on regional climate. In this study, the results derived from observational and reanalyzed datasets show that the boreal winter climate anomalies over the Pacific and its rim in the different phases of ENSO Modoki are asymmetric during 1979-2017. During El Nino Modoki, an upper-level zonal convergence-divergence-convergence anomaly occurred in the Walker circulation over the Pacific sector, associated with anomalous ascending (descending) in the central side (both sides), leading to a wet boomerang pattern of rainfall anomalies in the tropical Pacific Ocean. Consequently, a drier winter occurred in Philippines, and warming and drying occurred in western Australia and northern South America. Meanwhile, a dipolar pattern with the wet south and the dry north in the United States occurred, accompanied by a Pacific/North American-like teleconnection. During La Nina Modoki, a roughly reversed Walker circulation anomaly and deeper Hadley circulation anomalies were associated with the strong air-sea feedback, which caused stronger rainfall anomalies in the Pacific Ocean. On land, anomalies of surface temperature and rainfall over the tropical Pacific Rim were more intense compared with El Nino Modoki. However, owing to the lack of a Pacific/North American anomaly, fewer anomalies occurred over the mid-latitude North America. In numerical experiments, the response to the different phases of ENSO Modoki basically reproduces the asymmetric climate anomalies in boreal winter, further confirming that the asymmetry can be partly attributed to tropical sea surface temperature anomalies.</t>
  </si>
  <si>
    <t>[He, Linqiang; Hao, Xin; Han, Tingting] Nanjing Univ Informat Sci &amp; Technol, Collaborat Innovat Ctr Forecast &amp; Evaluat Meteoro, Minist Educ, Key Lab Meteorol Disaster, Nanjing 210044, Peoples R China; [Hao, Xin; Han, Tingting] Chinese Acad Sci, Inst Atmospher Phys, Nansen Zhu Int Res Ctr, Beijing 100029, Peoples R China</t>
  </si>
  <si>
    <t>Nanjing University of Information Science &amp; Technology; Chinese Academy of Sciences; Institute of Atmospheric Physics, CAS</t>
  </si>
  <si>
    <t>National Science Foundation of China(National Natural Science Foundation of China (NSFC)); Startup Foundation for Introducing Talent of NUIST</t>
  </si>
  <si>
    <t>This work was supported by the National Science Foundation of China (Grant Nos. 41421004) and the Startup Foundation for Introducing Talent of NUIST (No. 2243141801031). All the datasets can be accessed publicly. The NCEP analysis dataset can be downloaded from https://www.esrl.noaa.gov/psd/data.</t>
  </si>
  <si>
    <t>10.1007/s00382-020-05395-z</t>
  </si>
  <si>
    <t>WOS:000572306200001</t>
  </si>
  <si>
    <t>Khouakhi, Abdou; Villarini, Gabriele; Vecchi, Gabriel A.</t>
  </si>
  <si>
    <t>This study quantifies the relative contribution of tropical cyclones (TCs) to annual, seasonal, and extreme rainfall and examines the connection between El Nino-Southern Oscillation (ENSO) and the occurrence of extreme TC-induced rainfall across the globe. The authors use historical 6-h best-track TC datasets and daily precipitation data from 18 607 global rain gauges with at least 25 complete years of data between 1970 and 2014. The highest TC-induced rainfall totals occur in East Asia (&gt;400 mm yr(-1)) and northeastern Australia (&gt;200 mm yr(-1)), followed by the southeastern United States and along the coast of the Gulf of Mexico (100-150 mm yr 21). Fractionally, TCs account for 35%-50% of the mean annual rainfall in northwestern Australia, southeastern China, the northern Philippines, and Baja California, Mexico. Seasonally, between 40% and 50% of TC-induced rain is recorded along the western coast of Australia and in islands of the south Indian Ocean in the austral summer and in East Asia and Mexico in boreal summer and fall. In terms of extremes, using annual maximum and peak-over-threshold approaches, the highest proportions of TC-induced rainfall are found in East Asia, followed by Australia and North and Central America, with fractional contributions generally decreasing farther inland from the coast. The relationship between TC-induced extreme rainfall and ENSO reveals that TC-induced extreme rainfall tends to occur more frequently in Australia and along the U.S. East Coast during La Nina and in East Asia and the northwestern Pacific islands during El Nino.</t>
  </si>
  <si>
    <t>[Khouakhi, Abdou; Villarini, Gabriele] Univ Iowa, IIHR Hydrosci &amp; Engn, 100 C Maxwell Stanley Hydraul Lab, Iowa City, IA 52242 USA; [Vecchi, Gabriel A.] NOAA, GFDL, Princeton, NJ USA</t>
  </si>
  <si>
    <t>University of Iowa; National Oceanic Atmospheric Admin (NOAA) - USA</t>
  </si>
  <si>
    <t>National Science Foundation(National Science Foundation (NSF)); National Oceanic and Atmospheric Administration, U.S. Department of Commerce(National Oceanic Atmospheric Admin (NOAA) - USA); USACE Institute for Water Resources; Div Atmospheric &amp; Geospace Sciences; Directorate For Geosciences(National Science Foundation (NSF)NSF - Directorate for Geosciences (GEO)); Div Atmospheric &amp; Geospace Sciences; Directorate For Geosciences(National Science Foundation (NSF)NSF - Directorate for Geosciences (GEO))</t>
  </si>
  <si>
    <t>This material is based in part upon work supported by the National Science Foundation under Grants AGS-1262091 and AGS-1262099, and Award NA14OAR4830101 from the National Oceanic and Atmospheric Administration, U.S. Department of Commerce. Gabriele Villarini also acknowledges financial support from the USACE Institute for Water Resources. The authors acknowledge comments and suggestions by four anonymous reviewers.</t>
  </si>
  <si>
    <t>10.1175/JCLI-D-16-0298.1</t>
  </si>
  <si>
    <t>WOS:000391855700021</t>
  </si>
  <si>
    <t>This paper investigates whether and how households adjust their agricultural practices, such as cultivation and livestock, to adapt to a severe typhoon. We, therefore, make use of a natural experiment coming from Typhoon Ketsana in 2009. We combine micro-data on the household level and spatial data of Ketsana to construct a 4-year panel dataset with 2733 observations. Our empirical results derived from the difference-in-differences approach suggest that households altered their agricultural activities in response to the shock. While they decreased the area planted for staple crops, i.e., rice and cassava, they tended to purchase more livestock, i.e., pigs, in 2011 and 2013 (1.5 and 3.5 years succeeding the typhoon). On average, the decrease in the area planted in 2011 corresponds to 51% of the average area planted of affected households in the pre-treatment period 2008. The increase in the number of purchased pigs in 2011 corresponds to 173% of the average number of pigs bought by treated households in 2008. Our paper indicates the adjustment to the crop-livestock system as a livelihood adaptation strategy to a severe typhoon. The empirical results also support the shifting trend from crop planting to livestock raising in the aftermath of an extreme weather event observed in other developing countries.</t>
  </si>
  <si>
    <t>[Tran, Thi Xuyen] Helmut Schmidt Univ, Holstenhofweg 85, D-22043 Hamburg, Germany</t>
  </si>
  <si>
    <t>Helmut Schmidt University</t>
  </si>
  <si>
    <t>Deutsche Forschungsgemeinschaft)(German Research Foundation (DFG))</t>
  </si>
  <si>
    <t>We would like to thank the Thailand Vietnam Socio Economic Panel project (A long-term panel project financed by the Deutsche Forschungsgemeinschaft) for collecting and providing the household level data used in this paper.</t>
  </si>
  <si>
    <t>10.1016/j.ijdrr.2022.102938</t>
  </si>
  <si>
    <t>WOS:000807511300002</t>
  </si>
  <si>
    <t>Mondal, Manas; Biswas, Anupam; Haldar, Subrata; Mandal, Somnath; Bhattacharya, Subhasis; Paul, Suman</t>
  </si>
  <si>
    <t>Present research is an endeavour to scrutinise the spatio-temporal climatic characteristics of tropical cyclones (TCs) bustle in the Bay of Bengal basin, found in RSMC-IMD data all through 1971-2020. A large number of TCs, i.e. 121 with a decadal average of 35.2 TCs has been examined for the last 50 years where depression (D) and deep depression (DD) have not been taken into account as these are less violent in nature. During the study periods, inter-annual and inter-decadal variation in cyclogenesis, landfall, length, speed, track shape and sinuosity, energy metrics and damage profile have been perceived. The study is clearly showing TCs took the northward track during the pre-monsoon season and made their landfall across the coasts of Bangladesh and Myanmar, while post-monsoon TCs made their landfall directly on the coasts of Orissa and West Bengal. In the post-monsoon phase, VF, ACE and PDI are significantly higher than in the monsoon season in the case of TCs and higher in the pre-monsoon season than in the monsoon season in the case of TCs comparing the energy metrics in different seasons. TC activity is comparatively pronounced during La Nina and El Nino regimes respectively and the genesis position in the BoB is moves to the east (west) of 87 degrees E. During the cold regime, the number of extreme TC above the VSCS category, increased intensely. It is believed that the research findings will help stakeholders of the nation to take accurate strides to combat such violent events with persistent intensification. (c) 2021 The Shanghai Typhoon Institute of China Meteorological Administration. Publishing services by Elsevier B.V. on behalf of KeAi Communication Co. Ltd. This is an open access article under the CC BY-NC-ND license (http://creativecommons.org/licenses/by-nc-nd/4.0/).</t>
  </si>
  <si>
    <t>[Mondal, Manas; Biswas, Anupam; Haldar, Subrata; Mandal, Somnath; Paul, Suman] Sidho Kanho Birsha Univ, Dept Geog, Purulia, WB, India; [Bhattacharya, Subhasis] Sidho Kanho Birsha Univ, Dept Econ, Purulia, WB, India</t>
  </si>
  <si>
    <t>Ministry of Science and Technology &amp; Biotechnology (WBDSTBT), Govt. of West Bengal, India</t>
  </si>
  <si>
    <t>The authors are also thankful to RSMC-IMD, New Delhi for giving them access to the required data used in this study. Two anonymous referees are thanked for providing constructive comments on the original manuscript submission. This work has been supported by the Ministry of Science and Technology &amp; Biotechnology (WBDSTBT), Govt. of West Bengal, India Vide Memo. ST/P/S&amp;T/5G-12/2018 dated February 25, 2019.</t>
  </si>
  <si>
    <t>16 DONGHUANGCHENGGEN NORTH ST, BEIJING, DONGCHENG DISTRICT 100717, PEOPLES R CHINA</t>
  </si>
  <si>
    <t>2225-6032</t>
  </si>
  <si>
    <t>TROP CYCLONE RES REV</t>
  </si>
  <si>
    <t>Trop. Cyclone Res. Rev.</t>
  </si>
  <si>
    <t>10.1016/j.tcrr.2021.11.004</t>
  </si>
  <si>
    <t>WOS:000826432600001</t>
  </si>
  <si>
    <t>Jamshadali, V. H.; Reji, M. J. K.; Varikoden, Hamza; Vishnu, R.</t>
  </si>
  <si>
    <t>The study explores the spatial variability and related characteristics of south Asian summer monsoon rainfall and extreme rainfall events based on APHRODITE rainfall products. An attempt was also made to investigate their association with global climate indices. Most of the South Asian regions are vulnerable to extreme rainfall events and many of these lead to major hydrological disasters. Such events are adversely affecting flora and fauna, causing large-scale damage to the livelihood and economy. We have analysed the characteristics of extreme rainfall events during the summer monsoon season for 65 years (1951-2015). The statistical method based on the percentile of daily rainfall amount (&gt;99th percentile) was used to identify the extreme rainfall zones. We have also attempted to explore the spatio-temporal features and heterogeneity of these extreme events at a finer spatial resolution. We examined the linear trend of these extreme rain events on the spatial domain and found that extreme rainfall decreases over northcentral Indian and southwestern coastal belts. An increase in the frequency and amount of rainfall from extreme rain events were observed in the western coastal belts between 16 degrees; to 20 degrees N and central Indian regions along with the coastal areas of Bangladesh and Myanmar. The linear trends of extremes exhibit remarkable differences from the trends of seasonal rainfall. The results from the probability density function (PDF) analysis are also supporting the trend analysis of mean and extremes in all the five regions. It was also observed a distinct shift in the PDF curve during the pre and post 1980 periods. Moreover, we have analysed the relationship of various climate indices (Nin similar to o3.4, Modoki, DMI, PDO, AMO, and AZM) with the mean and extreme rainfalls in addition to the spatial trends. Most of the indices show a significant inverse relationship with mean and extreme rainfalls. The areas of significant correlation are less in the case of extreme rainfall while comparing with that of the mean rainfall.</t>
  </si>
  <si>
    <t>[Jamshadali, V. H.; Vishnu, R.] Univ Calicut, Sree Krishna Coll, Dept Phys, Guruvayur, Kerala, India; [Reji, M. J. K.; Varikoden, Hamza] Minist Earth Sci, Indian Inst Trop Meteorol, Pune 411008, Maharashtra, India</t>
  </si>
  <si>
    <t>University of Calicut; Ministry of Earth Sciences (MoES) - India; Indian Institute of Tropical Meteorology (IITM)</t>
  </si>
  <si>
    <t>CSIR fellowship(Council of Scientific &amp; Industrial Research (CSIR) - India); Ministry of Earth Sciences (MoES), Govt. of India(Ministry of Earth Science (MoES), Government of India)</t>
  </si>
  <si>
    <t>The authors are thankful to the Director, Indian Institute of Tropical Meteorology (IITM) for providing the necessary facilities and to the Executive Director, Centre for Climate Change Research (CCCR), IITM for encouragement. The first and fourth authors are grateful to the Principal, Sree Krishna College, Guruvayoor for providing the facility. JVH is thankful to the Principal, Govt. Engineering College, Sreekrishnapuram. The second author is thankful for the assistance provided by the CSIR fellowship. The authors acknowledge the APHRODITE data for the rainfall analysis. The IITM is fully funded by the Ministry of Earth Sciences (MoES), Govt. of India.</t>
  </si>
  <si>
    <t>10.1016/j.jastp.2021.105708</t>
  </si>
  <si>
    <t>WOS:000672856100005</t>
  </si>
  <si>
    <t>Oktari, Rina Suryani; Munadi, Khairul; Idroes, Rinaldi; Sofyan, Hizir</t>
  </si>
  <si>
    <t>The lack of adequate knowledge sharing and knowledge creation about disasters and climate change has been identified as a reason behind the unsatisfactory performance of climate-adaptation and disaster-management practices. This study aimed to identify the critical factors in knowledge creation in order to improve community resilience and propose a conceptual model. The main objectives of this study were to i) identify the key factors supporting the creation of knowledge, ii) identify the key factors promoting community resilience, and iii) develop a conceptual model to improve community resilience based on knowledge creation. This study used both quantitative and qualitative methods. A cross-sectional analysis was conducted in four coastal subdistricts in Banda Aceh, Indonesia. A total of 300 samples were obtained from among respondents living in the coastal area using a purposive random sampling technique. The paper presents a literature review exploring theories and concepts concerning the factors supporting knowledge creation as a way to increase community resilience. A conceptual framework is then generated based on the results of field surveys and prior studies. The knowledge-level survey results indicate a need to develop a community resilience framework based on Knowledge Creation Theory as the foundation for decision making and ensure the transmission of knowledge across generations. This study proposes a conceptual model of Knowledge Creation for Community Resilience (KCCR).</t>
  </si>
  <si>
    <t>[Oktari, Rina Suryani] Univ Syiah Kuala, Fac Med, Dept Family Med, Jl Tgk Syech Abdul Rauf, Darussalam 23111, Banda Aceh, Indonesia; [Oktari, Rina Suryani; Munadi, Khairul] Univ Syiah Kuala, Tsunami &amp; Disaster Mitigat Res Ctr TDMRC, Banda Aceh, Indonesia; [Oktari, Rina Suryani] Univ Syiah Kuala, Grad Sch Math &amp; Appl Sci, Banda Aceh, Indonesia; [Munadi, Khairul] Univ Syiah Kuala, Fac Engn, Dept Elect &amp; Comp Engn, Banda Aceh, Indonesia; [Idroes, Rinaldi] Univ Syiah Kuala, Fac Math &amp; Nat Sci, Dept Chem, Banda Aceh, Indonesia; [Sofyan, Hizir] Univ Syiah Kuala, Fac Math &amp; Nat Sci, Dept Stat, Banda Aceh, Indonesia</t>
  </si>
  <si>
    <t>Universitas Syiah Kuala; Universitas Syiah Kuala; Universitas Syiah Kuala; Universitas Syiah Kuala; Universitas Syiah Kuala; Universitas Syiah Kuala</t>
  </si>
  <si>
    <t>Indonesian Ministry of Education, Culture, Research and Technology (Kemdikbudristek) under Penelitian Disertasi Doktor (PDD) grant 2021; Universitas Syiah Kuala; Integrated Research on Disaster Risk (IRDR), Beijing, China</t>
  </si>
  <si>
    <t>The first author gratefully acknowledges the support provided by Integrated Research on Disaster Risk (IRDR), Beijing, China. This publication would not have been feasible without financial support from the Indonesian Ministry of Education, Culture, Research and Technology (Kemdikbudristek) under Penelitian Disertasi Doktor (PDD) grant 2021 and Universitas Syiah Kuala.</t>
  </si>
  <si>
    <t>10.20965/jdr.2021.p1097</t>
  </si>
  <si>
    <t>WOS:000703902600012</t>
  </si>
  <si>
    <t>Narulita, Ida; Fajary, Faiz R.; Syahputra, M. Ridho; Kusratmoko, Eko; Djuwansah, M. R.</t>
  </si>
  <si>
    <t>The water resources of Bintan Island depend much on rainfall since the impervious granitic basement that bears a low water storage capacity dominates the geology of Bintan Island. Water demand in Bintan is increasing due to both population and economic growth. This paper aims to determine the spatial and temporal rainfall variability over Bintan Island using the daily corrected-CHIRPS (Climate Hazards Group InfraRed Precipitation with Station data) version two (v2.0) dataset to a ground-based observation dataset (Kijang station) using quantile-base bias correction for period 1 January 1981-31 August 2018. For the analysis process, we used monthly corrected-CHIRPS, NINO 3.4 anomaly index, the DMI (dipole mode index), zonal and meridional wind, and specific humidity from January 1981 to December 2017. Semi-annual, annual, and interannual variations influence monthly rainfall amounts over the island. Two peaks representing equatorial and monsoonal patterns characterize the temporal variability of rainfall. Spatially, the southern part of the island receives more rainfall than the northern part especially in MAM and SON related to the more convergence of moisture. The effects of interannual variation, ENSO (El Nino-Southern Oscillation) and IOD (Indian Ocean dipole), vary with season. ENSO contributes more to rainfall variability than IOD during the period of study.</t>
  </si>
  <si>
    <t>[Narulita, Ida; Kusratmoko, Eko] Univ Indonesia, Fac Math &amp; Nat Sci, Dept Geog, Depok, Indonesia; [Narulita, Ida; Djuwansah, M. R.] Indonesian Inst Sci, Res Ctr Geotechnol, Bandung, Indonesia; [Fajary, Faiz R.; Syahputra, M. Ridho] Inst Teknol Bandung, Atmospher Sci Res Grp, Bandung, Indonesia</t>
  </si>
  <si>
    <t>University of Indonesia; National Research &amp; Innovation Agency of Indonesia (BRIN); Indonesian Institute of Sciences (LIPI); Institute Technology of Bandung</t>
  </si>
  <si>
    <t>DDRF - Coremap CTI LIPI 2018-2019; P3MI ITB; Newton Fund -Dikti</t>
  </si>
  <si>
    <t>We wish to thank the head of the Research Center of Oceanographic - LIPI with staff, the coordinator of the DDRF - Coremap CTI LIPI 2018-2019 with staff who have provided fund and facilities in carrying out this research. We would also to thank the head of the Research Center of Geotechnology LIPI for approving the research proposal, technicians who had collaborated in fieldwork. The second and the third authors are also partly supported by P3MI ITB and The Newton Fund -Dikti. We would also to thank the staff of the BAPPEDA of Riau Islands Province, BAPPEDA of Bintan Regency and Tanjungpinang City.</t>
  </si>
  <si>
    <t>10.1007/s00704-021-03527-x</t>
  </si>
  <si>
    <t>WOS:000620431900001</t>
  </si>
  <si>
    <t>Camus, P.; Herrera, S.; Gutierrez, J. M.; Losada, I. J.</t>
  </si>
  <si>
    <t>Despite the potential applicability of seasonal forecasting for decision making in construction, maintenance and operations of coastal and offshore infrastructures, tailored climate services have yet to be developed in the marine sector. In this work, we explore the potential of a state-of-the-art seasonal forecast system to predict wave conditions, particularly significant wave height. Since this information is not directly provided by models, a statistical downscaling method is applied to infer significant wave height based on model outputs such as sea level pressure, which drive waves over large wave generation areas beyond the target location over time. This method may be beneficial for seasonal forecasting since skill from wide generation areas can be propagated to wave conditions in (distant and smaller) target regions. We consider seasonal predictions with a one-month lead time of the CFSv2 hindcast in two regions: the Western Pacific around Indonesia during the June-July-August (JJA) season and the North Atlantic Ocean during the January-February-March (JFM) season. In the former case, skillful predictions are found, which are higher during decay years after ENSO warm phases when a negative anomaly of the significant wave height is expected. In contrast, statistical downscaling in the North Atlantic Ocean cannot add value to the signal given by the predictor, which is also very weak.</t>
  </si>
  <si>
    <t>[Camus, P.; Losada, I. J.] Univ Cantabria, Environm Hydraul Inst IHCantabria, Santander, Spain; [Herrera, S.] Univ Cantabria, Dept Appl Math &amp; Comp Sci, Meteorol Grp, E-39005 Santander, Spain; [Gutierrez, J. M.] Univ Cantabria, CSIC, Inst Phys Cantabria, Meteorol Grp, E-39005 Santander, Spain</t>
  </si>
  <si>
    <t>Universidad de Cantabria; Universidad de Cantabria; Consejo Superior de Investigaciones Cientificas (CSIC); Universidad de Cantabria; CSIC - Instituto de Fisica de Cantabria (IFCA)</t>
  </si>
  <si>
    <t>Spanish Ministerio de Economia y Competitividad (MINECO)(Spanish Government); European Regional Development Fund (FEDER)(European Union (EU)); ERANET ERA4CS (ECLISEA project); government of Cantabria; FEDER under the project CLISMO</t>
  </si>
  <si>
    <t>P.C. acknowledges the support of the Spanish Ministerio de Economia y Competitividad (MINECO) and European Regional Development Fund (FEDER) under Grant BIA2015-70644-R (MINECO/FEDER, UE). The authors acknowledge funding from the ERANET ERA4CS (ECLISEA project) and the government of Cantabria and FEDER under the project CLISMO. The authors would like to thank the anonymous reviewers for their valuable comments and suggestions that lead to improvement of this paper.</t>
  </si>
  <si>
    <t>1463-5003</t>
  </si>
  <si>
    <t>1463-5011</t>
  </si>
  <si>
    <t>OCEAN MODEL</t>
  </si>
  <si>
    <t>Ocean Model.</t>
  </si>
  <si>
    <t>10.1016/j.ocemod.2019.04.001</t>
  </si>
  <si>
    <t>WOS:000472819600001</t>
  </si>
  <si>
    <t>Sarr, Anta-Clarisse; Sepulchre, Pierre; Husson, Laurent</t>
  </si>
  <si>
    <t>Drastic paleogeography changes in the Indonesian archipelago over the Plio-Pleistocene, either in response to sea level oscillations or vertical land motion, enabled the periodic emergence of the Sunda shelf. When emerged, this wide continental platform in the heart of the Maritime Continent may have modified regional and global climate systems. We investigate the effect of the exposure of the Sunda shelf on climate dynamics using a set of numerical simulations with (i) atmosphere-land surface and (ii) fully coupled general circulation models. We first explore the impact of convection schemes on the rainfall regime simulated over the Maritime Continent and show how they could explain the discrepancies among previous studies. We further depict a robust and common mechanism that prevails. We show that diurnal heating of the surface of the continental platform enhances low-level convergence and local convection, and fosters local precipitations. This effect, to a second order, is modulated by the radiative effect and increased turbulent heat flux driven by vegetated surface properties such as albedo or roughness. Increasing precipitations over the exposed platform also impacts freshwater export into seawater, making salinity of the Indian Ocean and Indonesian Throughflow highly dependent on the routing scheme over the exposed shelf.</t>
  </si>
  <si>
    <t>[Sarr, Anta-Clarisse; Husson, Laurent] Univ Grenoble Alpes, CNRS, ISTerre, F-38000 Grenoble, France; [Sarr, Anta-Clarisse; Sepulchre, Pierre] Univ Paris Saclay, UVSQ, CNRS, LSCE,IPSL,CEA, F-91191 Gif Sur Yvette, France</t>
  </si>
  <si>
    <t>Communaute Universite Grenoble Alpes; Universite Grenoble Alpes (UGA); Centre National de la Recherche Scientifique (CNRS); Institut de Recherche pour le Developpement (IRD); Universite Gustave-Eiffel; Universite Savoie Mont Blanc; CEA; Centre National de la Recherche Scientifique (CNRS); Universite Paris Saclay; Universite Paris Cite</t>
  </si>
  <si>
    <t>GENCI</t>
  </si>
  <si>
    <t>This work was granted access to the HPC resources of TGCC under the allocation 2018-A0030102212 made by GENCI. We would like to thank Frederic Hourdin and Pascale Braconnot for their discussions. We are grateful to two anonymous reviewers that help in improving the manuscript. Inputs files necessary to reproduce experiments are available upon request(anta.clarisse.sarr@gmail.com).The model output is archived at https://vesg.ipsl.upmc.fr/thredds/catalog/store/sarrac/SarretalJGR/catalog.html.</t>
  </si>
  <si>
    <t>MAR 16</t>
  </si>
  <si>
    <t>10.1029/2018JD029971</t>
  </si>
  <si>
    <t>WOS:000462139800012</t>
  </si>
  <si>
    <t>Nur'utami, Murni Ngestu; Hayasaka, Tadahiro</t>
  </si>
  <si>
    <t>The interannual and interdecadal variabilities of Indonesian rainfall in dry seasons (June-November) are investigated by using rainfall data from the Climate Research Unit (CRU) from 1939 to 2016 and from the Global Precipitation Climatology Project (GPCP) from 1979 to 2016. The first principal component (PC1) of both the CRU and GPCP data shows that the canonical El Nino-Southern Oscillation (ENSO), ENSO Modoki, and Indian Ocean Dipole (IOD) are major climate modes influencing the interannual variability of rainfall in Indonesia, and the Interdecadal Pacific Oscillation (IPO) is the major decadal phenomenon affecting the decadal variability of the rainfall. Furthermore, the IPO modulates the influence of IOD on Indonesian rainfall, with a weaker influence during the positive IPO phase during 1979 - 1997 and a stronger influence during the negative IPO phases during 1939 - 1978 and 1998 - 2016. The dependency of Indonesian rainfall response to the canonical ENSO and ENSO Modoki on IPO phases is not significant, although the response to the ENSO Modoki (canonical ENSO) becomes significant (less significant) in the negative IPO phase during 1998 - 2016 when compared with earlier periods.</t>
  </si>
  <si>
    <t>[Nur'utami, Murni Ngestu; Hayasaka, Tadahiro] Tohoku Univ, Grad Sch Sci, Sendai, Miyagi, Japan</t>
  </si>
  <si>
    <t>Japanese Ministry of Education, Culture, Sports, Science and Technology(Ministry of Education, Culture, Sports, Science and Technology, Japan (MEXT)); Grants-in-Aid for Scientific Research(Ministry of Education, Culture, Sports, Science and Technology, Japan (MEXT)Japan Society for the Promotion of ScienceGrants-in-Aid for Scientific Research (KAKENHI))</t>
  </si>
  <si>
    <t>The authors thank Dr. G. Alsepan for fruitful discussions. The present study was partly supported by a Grant-in-Aid for Scientific Research (B) No. 16H04046 from the Japanese Ministry of Education, Culture, Sports, Science and Technology. The authors wish to acknowledge the CRU and the University of East Anglia for providing the rainfall data and NOAA/OAR/ESRL PSD, Boulder, Colorado, for providing the GPCP data and the NOAA_ERSST_V5 data from their website at https://www.esrl.noaa.gov/psd/.The authors also acknowledge the JRA-55 data.</t>
  </si>
  <si>
    <t>10.2151/jmsj.2022-004</t>
  </si>
  <si>
    <t>WOS:000761163200004</t>
  </si>
  <si>
    <t>Hasebe, F.; Aoki, S.; Morimoto, S.; Inai, Y.; Nakazawa, T.; Sugawara, S.; Ikeda, C.; Honda, H.; Yamazaki, H.; Halimurrahman; Komala, N.; Putri, F. A.; Budiyono, A.; Soedjarwo, M.; Ishidoya, S.; Toyoda, S.; Shibata, T.; Hayashi, M.; Eguchi, N.; Nishi, N.; Fujiwara, M.; Ogino, S. -Y.; Shiotani, M.; Sugidachi, T.</t>
  </si>
  <si>
    <t>The stratospheric response to climate forcing, such as an increase in greenhouse gases, is often unpredictable because of interactions between radiation, dynamics, and chemistry. Climate models are unsuccessful in simulating the realistic distribution of stratospheric water vapor. The long-term trend of the stratospheric age of air (AoA), a measure that characterizes the stratospheric turnover time, remains inconsistent between diagnoses in climate models and estimates from tracer observations. For these reasons, observations designed specifically to distinguish the effects of individual contributing processes are required. Here, we report on the Coordinated Upper-Troposphere-to-Stratosphere Balloon Experiment in Biak (CUBE/Biak), an observation campaign organized in Indonesia. Being inside the tropical pipe makes it possible to study the dehydration in the tropical tropopause layer and the gradual ascent in the stratosphere while minimizing the effects of multiple circulation pathways and wave mixing. Cryogenic sampling of minor constituents and major isotopes was conducted simultaneously with radiosonde observations of water vapor, ozone, aerosols, and cloud particles. The water vapor tape recorder, gravitational separation, and isotopocules are being studied in conjunction with tracers that are accumulated in the atmosphere as dynamical and chemical measures of elapsed time since stratospheric air entry. The observational estimates concerning the AoA and water vapor tape recorder are compared with those derived from trajectory calculations.</t>
  </si>
  <si>
    <t>[Hasebe, F.; Fujiwara, M.] Hokkaido Univ, Fac Environm Earth Sci, Sapporo, Hokkaido, Japan; [Aoki, S.; Morimoto, S.; Inai, Y.; Nakazawa, T.] Tohoku Univ, Grad Sch Sci, Sendai, Miyagi, Japan; [Sugawara, S.] Miyagi Univ Educ, Fac Educ, Sendai, Miyagi, Japan; [Ikeda, C.; Honda, H.; Yamazaki, H.] Japan Aerosp Explorat Agcy, Inst Space &amp; Astronaut Sci, Sagamihara, Kanagawa, Japan; [Halimurrahman; Komala, N.; Putri, F. A.; Budiyono, A.] LAPAN, Atmospher Sci &amp; Technol Ctr, Bandung, Indonesia; [Soedjarwo, M.] LAPAN, Biak Observ, Biak, Indonesia; [Ishidoya, S.] Natl Inst Adv Ind Sci &amp; Technol, Tsukuba, Ibaraki, Japan; [Toyoda, S.] Tokyo Inst Technol, Sch Mat &amp; Chem Technol, Yokohama, Kanagawa, Japan; [Shibata, T.] Nagoya Univ, Grad Sch Environm Studies, Nagoya, Aichi, Japan; [Hayashi, M.; Nishi, N.] Fukuoka Univ, Fac Sci, Fukuoka, Japan; [Ogino, S. -Y.] Japan Agcy Marine Earth Sci &amp; Technol, Yokosuka, Kanagawa, Japan; [Shiotani, M.] Kyoto Univ, Res Inst Sustainable Humanosphere, Uji, Kyoto, Japan; [Sugidachi, T.] Meisei Elect Co Ltd, Isesaki, Japan; [Yamazaki, H.] Minist Econ Trade &amp; Ind, Space Ind Off, Tokyo, Japan; [Soedjarwo, M.] LAPAN, Satellite Technol Ctr, Bogor, Indonesia</t>
  </si>
  <si>
    <t>Hokkaido University; Tohoku University; Miyagi University Education; Japan Aerospace Exploration Agency (JAXA); Institute of Space &amp; Astronautical Science (ISAS); National Research &amp; Innovation Agency of Indonesia (BRIN); National Institute of Aeronautics &amp; Space of Indonesia (LAPAN); National Research &amp; Innovation Agency of Indonesia (BRIN); National Institute of Aeronautics &amp; Space of Indonesia (LAPAN); National Institute of Advanced Industrial Science &amp; Technology (AIST); Tokyo Institute of Technology; Nagoya University; Fukuoka University; Japan Agency for Marine-Earth Science &amp; Technology (JAMSTEC); Kyoto University; National Research &amp; Innovation Agency of Indonesia (BRIN); National Institute of Aeronautics &amp; Space of Indonesia (LAPAN)</t>
  </si>
  <si>
    <t>Japan Society for the Promotion of Science(Ministry of Education, Culture, Sports, Science and Technology, Japan (MEXT)Japan Society for the Promotion of Science); ISAS, JAXA; Grants-in-Aid for Scientific Research(Ministry of Education, Culture, Sports, Science and Technology, Japan (MEXT)Japan Society for the Promotion of ScienceGrants-in-Aid for Scientific Research (KAKENHI))</t>
  </si>
  <si>
    <t>We would like to express our gratitude to the members of the Scientific Ballooning (DAIKIKYU) Research and Operation Group and M. Fujimoto of ISAS, JAXA. We would also like to thank colleagues at LAPAN, Indonesia, especially C. Dewanto, A. Hidayat, and T. Djamaluddin; members of Marine Polisi Indonesia stationed at Biak; F. Helfi of PT. Mahkota Logistik Indoraya; S. Ishikawa of Samator Group, PT. Aneka Industri; S. Wahyono of RISTEK, Indonesia; and H. Hikita of the Indonesian Embassy in Tokyo. Thanks are also due to S. Saraspriya for his assistance. We appreciate three anonymous reviewers and B. Mapes, responsible editor, for helpful and constructive comments that greatly improved this manuscript. This work was supported by the Japan Society for the Promotion of Science, Grant-in-Aid for Scientific Research (S) 26220101, and it was also selected and supported as a Small-Size Project by ISAS, JAXA.</t>
  </si>
  <si>
    <t>10.1175/BAMS-D-16-0289.1</t>
  </si>
  <si>
    <t>WOS:000437277400010</t>
  </si>
  <si>
    <t>Takata, Kumiko; Hanasaki, Naota</t>
  </si>
  <si>
    <t>The Minimal Advanced Treatments of Surface Interaction and RunOff (MATSIRO), which has been used as a land-surface scheme in the global climate model, the Model for Interdisciplinary Research on Climate (MIROC), calculates Dunne runoff and base runoff using the TOPography-based MODEL (TOPMODEL). In past experiments that used MATSIRO, the runoff and its response to precipitation were too low compared to observation. We conjectured that those biases could be attributed to the water table's excessive depth. Its depth was diagnosed based on grid-mean soil moisture using a saturation threshold that was originally set to almost equal the porosity. In this study, sensitivity experiments, in which the threshold was decreased to 75, 50, 25, and less than 13 % of the porosity, were conducted, and the subsequent effects on river flow were investigated in the Chao Phraya River basin, Thailand, as a case study. As a result, both Dunne and base runoff increased along with the response of river flow to precipitation. The simulated river flow matched observations most closely with a threshold of 50 % saturation. In addition, soil moisture and the Bowen ratio changed significantly with the runoff changes induced by the threshold changes. These results suggested the importance of the relationship between grid-mean soil moisture and groundwater level for the TOPMODEL. Preliminary global experiments indicate that runoff sensitivity might be dependent on climate zone.</t>
  </si>
  <si>
    <t>[Takata, Kumiko; Hanasaki, Naota] Natl Inst Environm Studies, Ibaraki, Japan; [Takata, Kumiko] Azabu Univ, Sagamihara, Kanagawa, Japan</t>
  </si>
  <si>
    <t>National Institute for Environmental Studies - Japan; Azabu University</t>
  </si>
  <si>
    <t>Science and Technology Research Partnership for Sustainable Development (SATREPS) program of the Japan Science and Technology Agency; Japan International Cooperation Agency; Ministry of Education, Culture, Sports, Science and Technology (MEXT), Japan(Ministry of Education, Culture, Sports, Science and Technology, Japan (MEXT))</t>
  </si>
  <si>
    <t>This research was supported by the Science and Technology Research Partnership for Sustainable Development (SATREPS) program of the Japan Science and Technology Agency and the Japan International Cooperation Agency, and by the Integrated Research Program for Advancing Climate Models (TOUGOU), Grant No. JPMXD0717935457, from the Ministry of Education, Culture, Sports, Science and Technology (MEXT), Japan. The authors thank Dr. Seita Emori for providing the draft of Fig. 2.</t>
  </si>
  <si>
    <t>10.2151/jmsj.2021-034</t>
  </si>
  <si>
    <t>WOS:000660982700005</t>
  </si>
  <si>
    <t>Drought is a creeping natural hazard with a slow-onset and has serious social, economic, and environmental impacts. This study investigated spatial and temporal characteristics of meteorological droughts in the Mae Klong River Basin during the period 1971-2015. Using monthly observed rainfall data for eight stations, the Standardized Precipitation Index (SPI) was calculated for 3, 6, and 12 months. The Mann-Kendall and Sen's slope tests were used to calculate the trends in the annual total rainfall and drought characteristics such as duration, magnitude, and intensity of drought events. Results for climate variability showed that the Mae Klong River Basin has been facing dry years with annual rainfall below a minimum threshold of 1114 mm for the covered period. Results of SPI indicated occurrence of several drought events over the covered period ranging from moderate to severe droughts. More drought events occurred in the lower region of the basin, which is more intense in terms of water demands in the basin. Trends of annual total rainfall were found to be decreasing in the lower region of the basin. Trend analysis of drought characteristics found decreasing trends in drought magnitudes and durations for majority of the stations; however, increasing trends were found for drought intensities. Results of this study could help water resources planners in formulating effective strategies for better management of water resources in the basin.</t>
  </si>
  <si>
    <t>[Khalil, Alamgir] Univ Engn &amp; Technol, Dept Civil Engn, Peshawar 25120, Pakistan</t>
  </si>
  <si>
    <t>University of Engineering &amp; Technology Peshawar</t>
  </si>
  <si>
    <t>JUL 17</t>
  </si>
  <si>
    <t>10.1007/s12517-020-05546-w</t>
  </si>
  <si>
    <t>WOS:000552401800001</t>
  </si>
  <si>
    <t>Ward, P. J.; Kummu, M.; Lall, U.</t>
  </si>
  <si>
    <t>Floods are one of the most serious forms of natural hazards in terms of the damages they cause. In 2012 alone, flood damages exceeded $19 billion. A large proportion of the damages from several recent major flood disasters, such as those in South India and South Carolina (2015), England and Wales (2014), the Mississippi (2012), Thailand (2011), Queensland (Australia) (2010-2011), and Pakistan (2010), were related to the long duration of those flood events. However, most flood risk studies to date do not account for flood duration. In this paper, we provide the first global modelling exercise to assess the link between interannual climate variability and flood duration and frequency. Specifically, we examine relationships between simulated flood events and El Nino Southern Oscillation (ENSO). Our results show that the duration of flooding appears to be more sensitive to ENSO than is the case for flood frequency. At the globally aggregated scale, we found floods to be significantly longer during both El Nino and La Nino years, compared to neutral years. At the scale of individual river basins, we found strong correlations between ENSO and both flood frequency and duration for a large number of basins, with generally stronger correlations for flood duration than for flood frequency. Future research on flood impacts should attempt to incorporate more information on flood durations. (C) 2016 Elsevier B.V. All rights reserved.</t>
  </si>
  <si>
    <t>[Ward, P. J.] Vrije Univ Amsterdam, Inst Environm Studies IVM, De Boelelaan 1087, NL-1081 HV Amsterdam, Netherlands; [Kummu, M.] Aalto Univ, Water &amp; Dev Res Grp, POB 15200, FIN-00076 Aalto, Finland; [Lall, U.] Columbia Univ, Earth &amp; Environm Engn &amp; Columbia Water Ctr, 842 SW Mudd,500 West 120th St, New York, NY 10027 USA</t>
  </si>
  <si>
    <t>Vrije Universiteit Amsterdam; Aalto University; Columbia University</t>
  </si>
  <si>
    <t>VENI Grant from the Netherlands Organisation for Scientific Research (NWO)(Netherlands Organization for Scientific Research (NWO)); Academy of Finland project SCART; AIG; IPA; U.S. Army Corps of Engineers(United States Department of DefenseUnited States Army)</t>
  </si>
  <si>
    <t>This research was funded by a VENI Grant (863.11.011) from the Netherlands Organisation for Scientific Research (NWO). M.K. received funding from the Academy of Finland project SCART (Grant no. 267463). U.L. received funding through a project funded by AIG, and through an IPA with the U.S. Army Corps of Engineers. We thank the anonymous reviewers and editor for their valuable comments on earlier versions of the manuscript.</t>
  </si>
  <si>
    <t>10.1016/j.jhydrol.2016.05.045</t>
  </si>
  <si>
    <t>WOS:000378953700028</t>
  </si>
  <si>
    <t>Gong, Zhiqiang; Dogar, Muhammad Mubashar Ahmad; Qiao, Shaobo; Hu, Po; Feng, Guolin</t>
  </si>
  <si>
    <t>This study examines the ability of the Beijing Climate Center Climate System Model (BCC_CSM) to predict the meridional pattern of summer precipitation over East Asia-Northwest Pacific (EA-NWP) and its East Asia-Pacific (EAP) teleconnection. The differences of summer precipitation modes of the empirical orthogonal function and the bias of atmospheric circulations over EA-NWP are analyzed to determine the reason for the precipitation prediction errors. Results indicate that the BCC_CSM could not reproduce the positive-negative-positive meridional tripole pattern from south to north that differs markedly from that observed over the last 20 years. This failure can be attributed to the bias of the BCC_CSM hindcasts of the summer EAP teleconnection and the low predictability of 500 hPa at the mid-high latitude lobe of the EAP. Meanwhile, the BCC_CSM hindcasts' deficiencies of atmospheric responses to SST anomalies over the Indonesia maritime continent (IMC) resulted in opposite and geographically shifted geopotential anomalies at 500 hPa as well as wind and vorticity anomalies at 850 hPa, rendering the BCC_CSM unable to correctly reproduce the EAP teleconnection pattern. Understanding these two problems will help further improve BCC_CSM's summer precipitation forecasting ability over EA-NWP.</t>
  </si>
  <si>
    <t>[Gong, Zhiqiang; Feng, Guolin] Natl Climate Ctr, Lab Climate Studies, Beijing 100081, Peoples R China; [Gong, Zhiqiang; Feng, Guolin] Natl Climate Ctr, Climate Predict Div, Beijing 100081, Peoples R China; [Dogar, Muhammad Mubashar Ahmad] King Abdullah Univ Sci &amp; Technol, Earth Sci &amp; Engn Dept, Thuwal, Saudi Arabia; [Dogar, Muhammad Mubashar Ahmad] Minist Climate Change, Global Change Impact Studies Ctr, Islamabad, Pakistan; [Qiao, Shaobo; Hu, Po] Lanzhou Univ, Coll Atmospher Sci, Lanzhou 730000, Peoples R China</t>
  </si>
  <si>
    <t>King Abdullah University of Science &amp; Technology; Lanzhou University</t>
  </si>
  <si>
    <t>National Natural Science Foundation of China(National Natural Science Foundation of China (NSFC)); Special Scientific Research Project for Public Interest</t>
  </si>
  <si>
    <t>This work is supported by the National Natural Science Foundation of China (Grant Nos. 41575082, 41530531, and 41475064) and the Special Scientific Research Project for Public Interest (Grant No. GYHY201306021).</t>
  </si>
  <si>
    <t>10.1016/j.atmosres.2017.04.016</t>
  </si>
  <si>
    <t>WOS:000403995200015</t>
  </si>
  <si>
    <t>Sa'adi, Zulfaqar; Yusop, Zulkifli; Alias, Nor Eliza</t>
  </si>
  <si>
    <t>There is a growing concern over the unprecedented shifts in seasonality and extreme rainfall over the last century across the globe due to climate change. However, there is still a lack of basin-scale study in documenting trend, changes, and variation across Peninsular Malaysia and its relation with flood occurrence. Therefore, Johor River basin (JRB) which plays a pivotal role in the country's development was selected as a case study by evaluating 24 rainfall stations for homogeneity over the period 1970-2015 and followed by the analysis of rainfall seasonality and extreme rainfall trend. Mann-Kendall trend test was applied to show the area within JRB that is subjected to change at 95% significance level. Even though 75% of the stations had strong auto-correlation in the time series due to large-scale climate influence, the imputed rainfall stations showed no potential discontinuity with t-test statistics between 0.87 and 0.90 and R2 between 0.995 and 0.999 for the double mass curve of the yearly rainfall time series. The constructed PDF showed the restoration of the normal distribution of the rainfall data with higher peak as the missingness of the high-intensity rainfall has been restored. After that, a homogeneity test was conducted for annual and seasonal rainfall using a hybrid of Standard Normal Homogeneity test, Pettit test, Buishand Range test, and Von Neumann ratio test. The results showed that for the annual series, 43% of the total stations were found to be 'useful', but more 'useful' stations based on the seasonal data, with 67% and 52% of the total stations for NE and SW monsoons, respectively. As no anthropogenic effect can be deduced, the presence of inhomogeneity in some stations is associated with the influence of high climate variability. Although non-significant change was observed, the seasonality index (SI) showed that the annual rainfall regime in JRB is mainly classified as 'rather seasonal with a short drier season' (SI range from 0.39 to 0.47). Comparatively, the rainfall regime during the drier SW monsoon is more irregular (SI range from 0.67 to 0.72) than the wetter NE monsoon (SI range from 0.57 to 0.68). Spatially, increasing SI was observed in the downstream area indicating increasing occurrence of extreme rainfall over a shorter period. For trend analysis, RClimDex was utilised to compute eleven extreme rainfall indices as recommended by ETCCDI, consisting of frequency and intensity extreme rainfall indices. Generally, the results showed that increasing extreme rainfall in the form of frequency indices is more prominent throughout JRB particularly at the end of the NE monsoon. During the NE monsoon, frequency index of R10 showed a significant increasing trend at thirteen stations. Meanwhile, R20 and R25 showed increasing trend at five stations, mainly in the downstream and at the west of the basin. During the SW monsoon, R10 showed a significant increasing trend at six stations, but R20 and R25 showed a significant decreasing trend at two and one station, respectively. Based on the past flood record, increasing trend of R10, R20, R25, and CWD during the NE monsoon across flood prone area in Sayong river, Kota Tinggi town and downstream urbanised area is expected to worsen the flood conditions, which required improved flood mitigation and adaptation strategy.</t>
  </si>
  <si>
    <t>[Sa'adi, Zulfaqar; Yusop, Zulkifli; Alias, Nor Eliza] Univ Teknol Malaysia, Fac Engn, Ctr Environm Sustainabil &amp; Water Secur IPASA, Sch Civil Engn, Sekudai 81310, Johor, Malaysia</t>
  </si>
  <si>
    <t>Water Security and Sustainable Development Hub - UK Research and Innovation's Global Challenges Research Fund (GCRF); Universiti Teknologi Malaysia under High Impact Research Grant</t>
  </si>
  <si>
    <t>This work was supported by the Water Security and Sustainable Development Hub funded by the UK Research and Innovation's Global Challenges Research Fund (GCRF) (Grant Number: ES/S008179/1) Universiti Teknologi Malaysia under High Impact Research Grant (Grant Number: Vot No 04G46).</t>
  </si>
  <si>
    <t>10.1007/s11069-023-05930-1</t>
  </si>
  <si>
    <t>WOS:000964212900003</t>
  </si>
  <si>
    <t>Sammen, Saad Sh; Mohammed, T. A.; Ghazali, Abdul Halim; Sidek, L. M.; Shahid, Shamsuddin; Abba, S., I; Malik, Anurag; Al-Ansari, Nadhir</t>
  </si>
  <si>
    <t>The increases in extreme rainfall could increase the probable maximum flood (PMF) and pose a severe threat to the critical hydraulic infrastructure such as dams and flood protection structures. This study is conducted to assess the impact of climate change on PMF in a tropical catchment. Climate and inflow data of the Tenmengor reservoir, located in the state of Perak in Malaysia, have been used to calibrate and validate the hydrological model. The projected rainfall from regional climate model is used to generate probable maximum precipitation (PMP) for future periods. A hydrological model was used to simulate PMF from PMP estimated for the historical and two future periods, early (2031 - 2045) and late (2060 - 2075). The results revealed good performance of the hydrological model with Nash-Sutcliffe efficiency, 0.74, and the relative standard error, 0.51, during validation. The estimated rainfall depths were 89.5 mm, 106.3 mm, and 143.3 mm, respectively, for 5, 10, and 50 years of the return period. The study indicated an increase in PMP by 162% to 507% and 259% to 487% during early and late periods for different return periods ranging from 5 to 1000 years. This would cause an increase in PMF by 48.9% and 122.6% during early and late periods. A large increase in PMF indicates the possibility of devastating floods in the future in his tropical catchment due to climate change.</t>
  </si>
  <si>
    <t>[Sammen, Saad Sh] Univ Diyala, Coll Engn, Dept Civil Engn, Diyala Governorate, Iraq; [Mohammed, T. A.] Univ Baghdad, Coll Engn, Dept Water Resources Engn, Baghdad, Iraq; [Ghazali, Abdul Halim] Univ Putra Malaysia, Fac Engn, Dept Civil Engn, Upm Serdang 43400, Selangor, Malaysia; [Sidek, L. M.] Univ Teaaga Nasl UNITEN, Civil Engn Dept, Selangor Darul Ehsan 43000, Kajang, Malaysia; [Shahid, Shamsuddin] Univ Teknol Malaysia UTM, Fac Engn, Sch Civil Engn, Johor Baharu 81310, Malaysia; [Abba, S., I] King Fahd Univ Petr &amp; Minerals, Interdisciplinary Res Ctr Membrane &amp; Water Secur, Dhahran 31261, Saudi Arabia; [Abba, S., I] Baze Univ, Fac Engn, Dept Civil Engn, Abuja, Nigeria; [Malik, Anurag] Punjab Agr Univ, Reg Res Stn, Bathinda 151001, Punjab, India; [Al-Ansari, Nadhir] Lulea Univ Technol, Dept Civil Environm &amp; Nat Resources Engn, S-97187 Lulea, Sweden</t>
  </si>
  <si>
    <t>University of Diyala; University of Baghdad; Universiti Putra Malaysia; Universiti Teknologi Malaysia; King Fahd University of Petroleum &amp; Minerals; Punjab Agricultural University; Lulea University of Technology</t>
  </si>
  <si>
    <t>10.1007/s00704-022-03925-9</t>
  </si>
  <si>
    <t>WOS:000742579100001</t>
  </si>
  <si>
    <t>Alternative wetting and drying (AWD) is an increasingly popular water-saving practice in rice production in the Vietnamese Mekong River Delta, especially considering the impact of projected climate change and reduced water availability. Unfortunately, it is very difficult to determine adoption without deploying thousands of costly household surveys. This research used European Space Agency Sentinel-1a and 1b radar data, combined with in-situ moisture readings, to determine AWD adoption through change detection of a time series wetness index (WI). By using a beta coefficient of the radar data, the WI avoided the pitfalls of cloud cover, surface roughness, and vegetative interference that arise from the sigma coefficient data. The analysis illustrated an AWD adoption likelihood scale across the delta and it showed potential for the use of remotely sensed data to detect adoption. Trends across the Vietnamese delta showed higher adoption rates inland, with lower adoption of AWD in the coastal provinces. These results were supported by a simultaneous effort to collect household level adoption data as part of the same project. However, correlation between the WI values and in situ soil moisture meter readings were most accurate in alluvial soils, illustrating a particularly strong relationship between soil type and WI model robustness. The research suggests that future change detection efforts should focus on retrieving a multi-season dataset and employing a power density analysis on the time series data to fully understand the periodicity of dry down patterns.</t>
  </si>
  <si>
    <t>[Lovell, Robin J.] Manhattan Coll, Sch Liberal Arts, Sociol Dept, Riverdale, NY 10471 USA</t>
  </si>
  <si>
    <t>Manhattan College</t>
  </si>
  <si>
    <t>CGIAR Strengthening Impact Assessment in the CGIAR System Grant(CGIAR)</t>
  </si>
  <si>
    <t>I would like to acknowledge the CGIAR Strengthening Impact Assessment in the CGIAR System Grant for funds to conduct this research and publish in an open access format.</t>
  </si>
  <si>
    <t>ISPRS Int. Geo-Inf.</t>
  </si>
  <si>
    <t>10.3390/ijgi8070312</t>
  </si>
  <si>
    <t>WOS:000478616400004</t>
  </si>
  <si>
    <t>Robertson, Andrew W.; Yuan, Jing; Tippett, Michael K.; Cousin, Remi; Hall, Kyle; Acharya, Nachiketa; Singh, Bohar; Munoz, Angel G.; Collins, Dan; LaJoie, Emerson; Infanti, Johnna</t>
  </si>
  <si>
    <t>A global multimodel probabilistic subseasonal forecast system for precipitation and near-surface tempera-ture is developed based on three NOAA ensemble prediction systems that make their forecasts available publicly in real time as part of the Subseasonal Experiment (SubX). The weekly and biweekly ensemble means of precipitation and tem-perature of each model are individually calibrated at each grid point using extended logistic regression, prior to forming equal-weighted multimodel ensemble (MME) probabilistic forecasts. Reforecast skill of week-3-4 precipitation and tem-perature is assessed in terms of the cross-validated ranked probability skill score (RPSS) and reliability diagram. The multi -model reforecasts are shown to be well calibrated for both variables. Precipitation is moderately skillful over many tropical land regions, including Latin America, sub-Saharan Africa and Southeast Asia, and over subtropical South America, Africa, and Australia. Near-surface temperature skill is considerably higher than for precipitation and extends into the ex-tratropics as well. The multimodel RPSS skill of both precipitation and temperature is shown to exceed that of any of the constituent models over Indonesia, South Asia, South America, and East Africa in all seasons. An example real-time week-3-4 global forecast for 13-26 November 2021 is illustrated and shown to bear the hallmarks of the combined influen-ces of a moderate Madden-Julian oscillation event as well as weak-moderate ongoing La Nina event.</t>
  </si>
  <si>
    <t>[Robertson, Andrew W.; Yuan, Jing; Cousin, Remi; Hall, Kyle; Acharya, Nachiketa; Singh, Bohar; Munoz, Angel G.] Columbia Univ, Int Res Inst Climate &amp; Soc, Palisades, NY 10964 USA; [Tippett, Michael K.; Collins, Dan; LaJoie, Emerson; Infanti, Johnna] Columbia Univ, Dept Appl Phys &amp; Appl Math, New York, NY USA; [Collins, Dan; LaJoie, Emerson; Infanti, Johnna] NOAA, Climate Predict Ctr, NWS, NCEP, College Pk, MD USA; [Hall, Kyle; Acharya, Nachiketa] NOAA, Phys Sci Lab, Boulder, CO USA; [Acharya, Nachiketa] Univ Colorado, Cooperat Inst Res Environm Sci, Boulder, CO USA; [Munoz, Angel G.] Barcelona Supercomp Ctr, Barcelona, Spain</t>
  </si>
  <si>
    <t>Columbia University; Columbia University; National Oceanic Atmospheric Admin (NOAA) - USA; National Oceanic Atmospheric Admin (NOAA) - USA; University of Colorado System; University of Colorado Boulder; Universitat Politecnica de Catalunya; Barcelona Supercomputer Center (BSC-CNS)</t>
  </si>
  <si>
    <t>NOAA's Office of Water and Air Quality; Columbia University Climate and Life Fellowship; NOAA(National Oceanic Atmospheric Admin (NOAA) - USA); FORMAS Arbo-Prevent Project</t>
  </si>
  <si>
    <t>&amp; nbsp;AWR wishes to thank Gilbert Brunet for originally suggesting that IRI develop subseasonal fore-casts in real time, and to Vincent Moron for illuminating discussions. We are thankful for the detailed comments of two anonymous reviewers that considerably improved the manuscript. This work was supported by NOAA's Office of Water and Air Quality, Awards NA18OAR4310295 and NA19OAR4590159, as well as by a Columbia University Climate and Life Fellowship to AWR. We acknowledge the agencies that support the SubX system, and we thank the climate modeling groups (Environment Canada, NASA, NOAA/NCEP, NRL, and University of Miami) for producing and making available their model output. AGM was partially supported by NOAA Grants NA18OAR4310275, NA18OAR4310339, and the FORMAS Arbo-Prevent Project. NOAA/MAPP, ONR, NASA, and NOAA/NWS jointly provided coordinating support and led development of the SubX system. The SubX data were obtained from IRI Data Library https://iridl.ldeo.columbia.edu/SOURCES/.Models/.SubX/. CPC Global Unified Temperature data were provided by the NOAA Physical Sciences Laboratory (PSL), Boulder, Colorado, from their website at https://psl.noaa.gov.</t>
  </si>
  <si>
    <t>10.1175/WAF-D-22-0160.1</t>
  </si>
  <si>
    <t>WOS:001016985200001</t>
  </si>
  <si>
    <t>Marjuki; van der Schrier, Gerard; Tank, Albert M. G. Klein; van den Besselaar, Else J. M.; Nurhayati; Swarinoto, Y. S.</t>
  </si>
  <si>
    <t>Climate indices are analyzed using a newly developed dataset with station-based daily data for Southeast Asia. With rice the staple food of the diet in the region, the indices used are aimed at agriculture, specifically rice production, and include the onset of the wet season and the nighttime temperature. Three indices are used to estimate the onset of the wet season. Despite a quantitative lack of similarity between these indices (although they are strongly correlated), the progression of the wet season over the area matches existing descriptions. Trends in the onset date of the wet season calculated over 1971-2012 are only statistically significant for a few stations; there are no signs that a wide spread delay as anticipated by future climate scenarios is already taking place. A positive trend in the nighttime temperature over the region is observed with values up to 0.7 degrees C decade(-1). For a selection of stations the change in distribution of nighttime temperatures is analyzed when comparing the 1971-90 period with the 1991-2010 period. They show a shift of the median to higher temperatures, and the decline in the number of relatively cool nights is stronger than the increase in the number of relatively warm nights.</t>
  </si>
  <si>
    <t>[Marjuki; Nurhayati; Swarinoto, Y. S.] Badan Meteorol, Klimatol &amp; Geofis, Jakarta, Indonesia; [van der Schrier, Gerard; Tank, Albert M. G. Klein; van den Besselaar, Else J. M.] Royal Netherlands Meteorol Inst KNMI, POB 201, NL-3730 AE De Bilt, Netherlands</t>
  </si>
  <si>
    <t>Indonesian Agency for Meteorology, Climatology &amp; Geophysics; Royal Netherlands Meteorological Institute</t>
  </si>
  <si>
    <t>Digitisasi Data Historis (DiDaH) project; Didah project; European Union(European Union (EU)); Royal Netherlands Embassy in Jakarta, Indonesia, through a Joint Cooperation Programme</t>
  </si>
  <si>
    <t>We thank all the data contributors to SACA&amp;D. Geert Jan van Oldenborgh and Cees Stigter are thanked for stimulating discussions. Brant Liebmann, Joseph Boyard-Micheau, and two anonymous reviewers are thanked for their constructive remarks, especially the reviewer directing our attention to alternative definitions of the false start in the wet season. Digitization and construction of SACA&amp;D are partly funded by the Digitisasi Data Historis (DiDaH) project, a joint project between the national meteorological services of Indonesia (BMKG) and the Netherlands (KNMI). The research leading to these results has received funding from the Didah project and the European Union, Seventh Framework Programme (FP7/2007-2013 and SPA.2013.1.1-02), under Grant Agreements 242093 (EURO4M) and 607193 (UERRA). GvdS acknowledges the support of the Royal Netherlands Embassy in Jakarta, Indonesia, through a Joint Cooperation Programme between Dutch and Indonesian research institutes. Data used in this study can be accessed online (http://sacad.database.bmkg.go.id).</t>
  </si>
  <si>
    <t>10.1175/JCLI-D-14-00574.1</t>
  </si>
  <si>
    <t>WOS:000372933100002</t>
  </si>
  <si>
    <t>Nakasu, Tadashi; Nonaka, Shiro; Duangkaew, Sutpratana; Prathumchai, Kullachart; Kodaka, Akira; Miyamoto, Mamoru</t>
  </si>
  <si>
    <t>Literature exists on business continuity; however, little exists on the complied experience, especially flood risk. The research also does not cover industrial complex areas using integrated perspectives. Most studies on major business continuity disasters focus on event impacts and the short-term responses and recovery process of enterprises. Some evaluate the underlying causes of vulnerability, but few follow up to evaluate the consequences of the business continuity process because of restrictions on information disclosure regarding these activities. The objective of this study is to improve understanding of the influence that business continuity narratives have had on how decisions and actions are undertaken to continue business after a flood disaster, and what long-term influence this has had, in turn, on the industrial complex area from integrated perspectives, especially applying the lessons learned. This research drew on insights from in-depth studies of Japanese enterprises to maximize the findings based on abundant field data: (1) disaster responses in the flood risk situation; (2) the challenges faced by enterprises in the area before, during and following the 2011 floods; and (3) lessons that led to new consideration for the flood risk in the areas following the 2011 flood. This study identified alternative narratives on the purpose and means of business continuity with implications for flood risk by constructing scenarios for practical use. The findings of this study provide new insights and will improve the performance of business continuity management, both existing and planned, and, ultimately, support more climate-resilient development in this area.</t>
  </si>
  <si>
    <t>[Nakasu, Tadashi; Prathumchai, Kullachart] Chulalongkorn Univ, Visid Prachuabmoh Bldg, Bangkok 10330, Thailand; [Nonaka, Shiro] Natl Res Inst Earth Sci &amp; Disaster Resilience NIE, Tsukuba, Ibaraki, Japan; [Duangkaew, Sutpratana] Mahidol Univ, Nakhon Pathom, Thailand; [Kodaka, Akira] Keio Univ, Yokohama, Kanagawa, Japan; [Miyamoto, Mamoru] Publ Works Res Inst PWRI, Int Ctr Water Hazard &amp; Risk Management Auspices U, Tsukuba, Ibaraki, Japan</t>
  </si>
  <si>
    <t>Chulalongkorn University; National Research Institute for Earth Science &amp; Disaster Resilience; Mahidol University; Keio University; PWRI: Public Works Research Institute</t>
  </si>
  <si>
    <t>International Centre for Water Hazard; Japan Science and Technology Agency (JST)(Japan Science &amp; Technology Agency (JST)); Japan International Cooperation Agency (JICA)</t>
  </si>
  <si>
    <t>The International Centre for Water Hazard and Risk Management under the auspices of UNESCO-Public Works Research Institute (ICHARM-PWRI) provided the authors the opportunity to investigate the 2011 Chao Phraya River flood disaster using the field survey results of one of the authors. The authors would like to thank JCCB and participating companies for their kind cooperation. The authors are also grateful to ICHARM members, Mr. Sawano, Mr. Kuribayashi, and Ms. Hagiwara for their efforts to complete the project and also the SATREPS project members at Chulalongkorn University, Japan Science and Technology Agency (JST), and the Japan International Cooperation Agency (JICA) for reminding us of the importance of this investigation. Additionally, the authors wish to express our gratitude to the reviewers who contributed significantly to improving the paper's quality.</t>
  </si>
  <si>
    <t>10.20965/jdr.2022.p0561</t>
  </si>
  <si>
    <t>WOS:000806742200008</t>
  </si>
  <si>
    <t>Soumya, M.; Vethamony, P.; Tkalich, P.</t>
  </si>
  <si>
    <t>The South China Sea (SCS) is the largest marginal sea in the western Pacific Basin. Sea level anomalies (SLAs) in the southern South China Sea (SSCS) are assumed to be governed by various phenomena associated with the adjacent parts of the Indian Ocean and the Pacific Ocean. We have used monthly sea level anomalies obtained from 12 tide gauge stations of PSMSL and UHSLC and merged and gridded AVISO products of SLAs (sea level anomalies) derived from satellite altimeter. We find that IOD-influenced inter-annual variations are found only in the southwestern and southeastern coastal regions of SSCS. Our analysis reveals that inter-annual regional sea level drops are associated with positive phase of the IOD, and the rises with negative phase of the IOD. SLA variations at decadal scale in the southeastern and northern Gulf of Thailand correlate with Pacific Decadal Oscillations (PDO). Multiple linear regression analysis of inter-annual SLAs and climate indices shows that IOD induced inter-annual variations dominate in the southwestern SCS and it contributes to about similar to 40% of inter-annual sea level variation. Meanwhile, ENSO contributes to around similar to 30% variation in sea level in the southwestern and similar to 40% variation in the southeastern SSCS. The present study also suggests that inter-annual SLA variations in the SSCS can occur by ENSO and IOD induced changes in wind stress curl and volume transport variations. (C) 2015 Elsevier B.V. All rights reserved.</t>
  </si>
  <si>
    <t>[Soumya, M.; Vethamony, P.] CSIR Natl Inst Oceanog, Panaji 403004, Goa, India; [Tkalich, P.] Natl Univ Singapore, Trop Marine Sci Inst, Singapore 119227, Singapore</t>
  </si>
  <si>
    <t>Council of Scientific &amp; Industrial Research (CSIR) - India; CSIR - National Institute of Oceanography (NIO); National University of Singapore</t>
  </si>
  <si>
    <t>University Grants Commission(University Grants Commission, India); NIO</t>
  </si>
  <si>
    <t>We thank Directors of CSIR-NIO, Goa and TMSI, NUS for providing the facilities. The first author acknowledges the University Grants Commission for granting fellowship and also acknowledges the Academy of Scientific and Innovative Research (AcSIR) for providing facilities. Monthly tide gauge sea level data has been obtained from the Permanent Service for Mean Sea Level (PSMSL) and University of Hawaii Sea Level Centre (UHSLC). The ENSO index (SOI) is downloaded from http://www.cpc.ncep.noaa.gov/data/indices/. DMI is downloaded from http://www.jamstec.go.jp/frcgc/research/d1/iod/e/iod/dipolemode_index.html. PDO index is obtained from http://jisao.washington.edu/pdo/PDO.latest. ERA-Interim reanalysis surface wind products are obtained from http://data-portal.ecmwf.int/data/. This is NIO contribution no. 5780.</t>
  </si>
  <si>
    <t>10.1016/j.gloplacha.2015.07.003</t>
  </si>
  <si>
    <t>WOS:000365053700003</t>
  </si>
  <si>
    <t>Ramadhan, Cahyadi; Dina, Ruslanjari; Nurjani, Emilya</t>
  </si>
  <si>
    <t>Flood often occurs triggered by the failure of the system in the hydrological cycle such as deforestation in the nearby watershed upstream. Analysis of flood handling in a watershed area requires spatial and temporal study to reveal more complex results. This study aims to analyze the development of deforestation and flood events in the Lasolo watershed and to investigate deforestation proclivity. Purposive sampling was applicable as the method to analyze the data for the case study. Premier data include quantitative data related to deforestation and flood events in the study area whilst the secondary data was obtained from relevant institutions. Moreover, data analysis techniques contain quantitative analysis (i.e. spatial-temporal analysis, descriptivequantitative analysis), and inferential statistic analysis. The result proves three anomalous patterns in relation to deforestation nearby downstream, middle, and upstream of the Lasolo watershed and flood events around the downstream area or in North Konawe Regency, South-East Sulawesi Province. The first pattern reveals sufficient stability on the deforested land surface in 2006-2012 towards rain intensity when flooding, The second pattern claims a more generic response of the land surface to the rainfall in 2012-2017. The third pattern in 2018-2020 results relatively sensitive response against rain particularly when a flood occurs.</t>
  </si>
  <si>
    <t>[Ramadhan, Cahyadi; Dina, Ruslanjari; Nurjani, Emilya] Univ Gadjah Mada, Grad Sch, Disaster Management Study Program, Yogyakarta, Indonesia</t>
  </si>
  <si>
    <t>Gadjah Mada University</t>
  </si>
  <si>
    <t>Universitas Gadjah Mada's Final Recognition Program (RTA) in 2022</t>
  </si>
  <si>
    <t>The authors would like to say thank you to Universitas Gadjah Mada's Final Recognition Program (RTA) in 2022 which has helped the research process through the funding. Many thanks to the informants who give the meaningful perception that represents the ma-jority of the community nearby the Lasolo watershed regardless of their backgrounds which come from various elements, ranging from civil society, NGOs, academics, and government, to representatives of provincial watershed forums.</t>
  </si>
  <si>
    <t>10.1016/j.ijdrr.2023.103745</t>
  </si>
  <si>
    <t>WOS:000999206000001</t>
  </si>
  <si>
    <t>Ma'rufah, Ummu; June, Tania; Faqih, Akhmad; Ali, Ashehad Ashween; Stiegler, Christian; Knohl, Alexander</t>
  </si>
  <si>
    <t>Deforestation plays an essential role in land cover changes in tropical area. It resulted in changing surface biophysical characteristics such as albedo and surface roughness altering the climate, heat fluxes as well as CO2 fluxes. Thus, this study aims to analyse the biogeophysical and biogeochemical processes in forest, shrub, grass, and soybean. Also, the study analyses the coupling strength in the terrestrial segment. This analysis is conducted using the Community Land Model Version 5 (CLM5). The results showed that land-use changes alter surface heat fluxes. Forest changing into shrub, grass, and soybean decreased latent heat fluxes and increased sensible heat fluxes. Land-use changes also alter carbon uptake, although it did not necessarily reduce the net primary production (NPP) and efficiency. Forest changing into soybean will increase NPP, while its changes to grass and shrub will decrease NPP. Among all land covers, soybean had higher carbon use efficiency (CUE) due to the availability of water and soil nutrient supply. In comparison, the forest had lower CUE due to its high respiration to maintain its biomass. Coupling strength between soil moisture and latent heat fluxes in all land covers was positive, but the R-squared was relatively low. This result indicated that there was another factor impacting surface energy balance partition such as vegetation cover.</t>
  </si>
  <si>
    <t>[Ma'rufah, Ummu; June, Tania; Faqih, Akhmad] IPB Univ, Fac Math &amp; Nat Sci, Dept Geophys &amp; Meteorol, Campus IPB, Dramaga, Indonesia; [Ali, Ashehad Ashween; Stiegler, Christian; Knohl, Alexander] Univ Gottingen, Fac Forest Sci, Bioclimatol, Gottingen, Germany</t>
  </si>
  <si>
    <t>University of Gottingen</t>
  </si>
  <si>
    <t>Collaborative Research Centre 990: Ecological and Socioeconomic Functions of Tropical Lowland Rainforest Transformation Systems (EFForTS) - German Research Foundation; Master to Doctoral Programme for Outstanding Undergraduate Students (PMDSU), Directorate General of Higher Education, Ministry of National Education, Indonesia</t>
  </si>
  <si>
    <t>This study was supported by Collaborative Research Centre 990: Ecological and Socioeconomic Functions of Tropical Lowland Rainforest Transformation Systems (EFForTS) funded by the German Research Foundation. This output has also been funded in part by Master to Doctoral Programme for Outstanding Undergraduate Students (PMDSU), Directorate General of Higher Education, Ministry of National Education, Indonesia.</t>
  </si>
  <si>
    <t>10.3319/TAO.2020.12.17.01</t>
  </si>
  <si>
    <t>WOS:000675914500005</t>
  </si>
  <si>
    <t>Frey, C. M.; Kuenzer, C.</t>
  </si>
  <si>
    <t>Land surface temperature (LST) is an important indicator for climate variability and can be sensed remotely by satellites with a high temporal resolution on a broad spatial scale. In this research, Moderate Resolution Imaging Spectroradiometer (MODIS) LST is used to derive a 13 year time series on the Upper Mekong Basin (UMB), belonging to the People's Republic of China and the Republic of the Union of Myanmar, to analyse the spatial pattern and temporal development of LST. The data set shows the regular annual curve of surface temperatures with maximum values in summer and minimum values in winter. Average temperatures in the southern parts of the basin are higher than in the northern part. Spatial gradients between maximum and minimum LST as well as gradients between daytime and night-time LST are much lower in the southern parts than in the northern parts, which are characterized by a strong topography. The pixel-wise variability of monthly means was found to be in the range of +/- 4 degrees C for most pixels in the daytime scenes, whereas the night-time scenes show a lower variability with most pixels in the range of +/- 1 degrees C. The variability of LST in the northern areas clearly exceeds that in the southern areas. Some inter-annual variations occur, mainly during summer: in some years a two-peak distribution is found, which is explained by the generally low number of observations in the respective months. A primary challenge of optical satellite data in the UMB is cloud contamination in the summer months, where peak rainfall occurs. In the Mekong Highlands for instance, the average number of available daytime observations of MODIS LST in July is one observation per month only. It can be assumed that climate statistics calculated from such data is biased. In this context, two gap-filling algorithms were applied to two test areas for the year 2002 and results are discussed in the article. Another issue with MODIS LST data are day-to-day differences in the acquisition time. A temporal homogenization was applied to selected LST data, converting them to one fixed acquisition time. The converted data were compared to the original data set. No significant influence could be found.</t>
  </si>
  <si>
    <t>[Frey, C. M.; Kuenzer, C.] German Aerosp Ctr DLR, German Remote Sensing Data Ctr DFD, Oberpfaffenhofen, Germany</t>
  </si>
  <si>
    <t>Helmholtz Association; German Aerospace Centre (DLR)</t>
  </si>
  <si>
    <t>German Ministry of Science and Education, BMBF(Federal Ministry of Education &amp; Research (BMBF))</t>
  </si>
  <si>
    <t>The authors thank the German Ministry of Science and Education, BMBF, for funding the German-Vietnamese WISDOM project (www.wisdom.eoc.dlr.de).</t>
  </si>
  <si>
    <t>10.1080/01431161.2014.890304</t>
  </si>
  <si>
    <t>WOS:000333875100003</t>
  </si>
  <si>
    <t>The spatio-temporal characteristics of the observed warming of the Indian Ocean (IO) surface temperature and its statistical link to the IO Warm Pool (IOWP) are still unclear. This study discriminates the basin-wide monotonic warming mode of the IO surface from the internally and remotely forced variability. The trend pattern reported in this study reveals a radically different warming signal. It shows that the monotonic warming in the observed sea surface temperature (SST) has the spatial pattern of summer-mean SST and the Warm Pool as its most conspicuous feature. The highest warming (0.17 degrees C per decade) is in IOWP and not in the other IO regions identified in the previous studies. By 2070, IOWP will cover about 80% of tropical IO at the current latitudinal expansion rates. The mean states of equatorial SST, wind, and surface pressure are shifting towards an endless summer Irrespective of the season, SST near Indonesia would remain above 31 degrees C by 2080 and beyond (i.e., more than 2.2 degrees C rise since 1950). This would substantially increase local rainfall intensity and frequency. Thus, IO is poised to play a more significant role in climate change. We also argue that the basin-wide warming is due to anthropogenic forces' rectification by coupled processes in ocean-atmosphere mixed layers.</t>
  </si>
  <si>
    <t>[Kallummal, Rameshan] CSIR Fourth Paradigm Inst, NAL Belur Campus,Wind Tunnel Rd, Bangalore 560037, Karnataka, India</t>
  </si>
  <si>
    <t>Council of Scientific &amp; Industrial Research (CSIR) - India; CSIR - Fourth Paradigm Institute (CSIR 4PI)</t>
  </si>
  <si>
    <t>10.1007/s00382-022-06181-9</t>
  </si>
  <si>
    <t>WOS:000757183600001</t>
  </si>
  <si>
    <t>Yan, Xiao; Zhang, Bao; Yao, Yibin; Yin, Jiabo; Wang, Hansheng; Ran, Qishun</t>
  </si>
  <si>
    <t>A severe flood occurred in the middle and lower reaches of the Yangtze River (MLYR) in 2020 and caused an obvious terrestrial water storage (TWS) increase. However, the process and cause of this flood have not been fully revealed. To address this problem, we use Global Land Data Assimilation System (GLDAS)-2.2 daily TWS data that assimilate Gravity Recovery and Climate Experiment (GRACE) observations to thoroughly investigate this flood event. Evaluation results show that the GLDAS TWS agrees well with GRACE TWS and water budget results around the MLYR mainstream, which provides confidence in using GLDAS TWS data to monitor floods. The daily GLDAS TWS anomalies and hydrological observations around the MLYR mainstream coincide well in terms of their temporal patterns. These two independent indicators together identify this severe flood event and its process. GLDAS and hydrologic results suggest that this flood event started south of the MLYR mainstream basin in early June and then moved northward, and in July it covered the whole MLYR mainstream basin and intensified along the MLYR mainstream and its north. This flood event reached its peak around the MLYR mainstream basin and north of it around late July, and then retreated progressively till September. GLDAS results show that the largest regional positive TWS anomaly was 130.8 mm and happened in late July around the MLYR mainstream, influencing a vast area of -9.2 x 10(5) km(2) in the MLYR basin. The flood center first appeared along the MLYR mainstream, then moved northward, and finally stayed north of the MLYR mainstream. These results provide us a quantitative understanding of it. The water budget analysis demonstrates that the above normal precipitation around the MLYR mainstream during June-July 2020 is the main cause of this flood. The weather analysis demonstrates that the precipitation increase is mainly due to anomalies in monsoon circulation systems, including the anomalous extension of the Western Pacific subtropical high and South Asia high, anomalous low-level southwesterly wind and upper-level westerly jet. And the precipitation increase is also closely associated with the anomalous blocking high and cold air activities in the middle and high latitudes.</t>
  </si>
  <si>
    <t>[Yan, Xiao; Zhang, Bao; Yao, Yibin; Ran, Qishun] Wuhan Univ, Sch Geodesy &amp; Geomat, Wuhan 430079, Peoples R China; [Yan, Xiao; Wang, Hansheng] Chinese Acad Sci, Innovat Acad Precis Measurement Sci &amp; Technol, State Key Lab Geodesy &amp; Earths Dynam, Wuhan 430077, Peoples R China; [Yin, Jiabo] Wuhan Univ, State Key Lab Water Resources &amp; Hydropower Engn S, Wuhan 430072, Peoples R China</t>
  </si>
  <si>
    <t>Wuhan University; Chinese Academy of Sciences; Innovation Academy for Precision Measurement Science &amp; Technology, CAS; Wuhan University</t>
  </si>
  <si>
    <t>National Natural Science Foundation of China(National Natural Science Foundation of China (NSFC)); Fundamental Research Funds for the Central Universities(Fundamental Research Funds for the Central Universities); China Postdoctoral Science Foundation(China Postdoctoral Science Foundation); Open Project of Key Lab-oratory of Geospace Environment and Geodesy, Ministry of Education, Wuhan University</t>
  </si>
  <si>
    <t>This work was supported by the National Natural Science Foundation of China (grant numbers 41704004, 42074035, 41974009) , the Fundamental Research Funds for the Central Universities (grant number 2042020kf0009) , the China Postdoctoral Science Foundation (grant numbers 2018M630880; 2019T120687) , and Open Project of Key Lab-oratory of Geospace Environment and Geodesy, Ministry of Education, Wuhan University (project number 20-02-02) .</t>
  </si>
  <si>
    <t>10.1016/j.jhydrol.2022.127927</t>
  </si>
  <si>
    <t>WOS:000820715700002</t>
  </si>
  <si>
    <t>Duan, Yongliang; Liu, Hongwei; Yu, Weidong; Liu, Lin; Yang, Guang; Liu, Baochao</t>
  </si>
  <si>
    <t>The Madden-Julian oscillation (MJO) often causes the onset of the Indonesian-Australian summer monsoon (IASM) over Indonesia and northern Australia. In the present study, a composite analysis is conducted to reveal the detailed IASM onset process and its air-sea interactions associated with the first-branch eastward-propagating MJO (FEMJO) based on 30-yr ERA-Interim data, satellite-derived sea surface temperature (SST), outgoing longwave radiation (OLR), and SODA3 ocean reanalysis. The results distinctly illustrate the phase-locked relationships among the persistent sea surface warming north of Australia, the FEMJO, and the established westerlies. It is found that the SST to the north of Australia reaches its annual maximum just before the onset of the summer monsoon. The oceanic surface mixed layer heat budget discloses that this rapid warming is primarily produced by the enhanced surface heat flux. In addition, this premonsoon sea surface warming increases the air specific humidity in the low-level troposphere and then establishes zonal moisture asymmetry relative to the FEMJO convection. This creates a more unstable atmospheric stratification southeast of the FEMJO and favors convection throughout the vicinity of northern Australia, which ultimately triggers the onset of the IASM. The results in this study thus may potentially be applicable to seasonal monsoon climate monitoring and prediction.</t>
  </si>
  <si>
    <t>[Duan, Yongliang; Yu, Weidong; Liu, Lin; Yang, Guang; Liu, Baochao] Minist Nat Resources, Inst Oceanog 1, Ctr Ocean &amp; Climate Res, Qingdao, Shandong, Peoples R China; [Duan, Yongliang; Yu, Weidong; Liu, Lin; Yang, Guang; Liu, Baochao] Qingdao Natl Lab Marine Sci &amp; Technol, Lab Reg Oceanog &amp; Numer Modeling, Qingdao, Shandong, Peoples R China; [Liu, Hongwei] Chinese Acad Sci, Inst Oceanol, Key Lab Ocean Circulat &amp; Waves, Qingdao, Shandong, Peoples R China; [Liu, Hongwei] Qingdao Natl Lab Marine Sci &amp; Technol, Lab Ocean &amp; Climate Dynam, Qingdao, Shandong, Peoples R China</t>
  </si>
  <si>
    <t>Ministry of Natural Resources of the People's Republic of China; First Institute of Oceanography, Ministry of Natural Resources; Laoshan Laboratory; Chinese Academy of Sciences; Institute of Oceanology, CAS; Laoshan Laboratory</t>
  </si>
  <si>
    <t>National Program on Global Change and Air-Sea Interaction; Basic Scientific Fund for National Public Research Institutes of China; NSFC-Shandong Joint Fund for Marine Science Research Centers; National Natural Science Foundation of China(National Natural Science Foundation of China (NSFC)); Open Fund of the Key Laboratory of Ocean Circulation and Waves, Chinese Academy of Sciences(Ministry of Education, ChinaChinese Academy of Sciences); Ao-Shan Talents Cultivation Program - Qingdao National Laboratory for Marine Science and Technology</t>
  </si>
  <si>
    <t>The ERA-Interim fields are freely obtained from http://apps.ecmwf.int/datasets/, interpolated OLR data from http://www.esrl.noaa.gov/psd/, the OISST from https://www.esrl.noaa.gov/psd/data/gridded/data.noaa.oisst.v2.highres.html, and SODA 3.4.2 outputs fromhttp://www.atmos.umd.edu/~ ocean/index. htm. This research was jointly supported by the National Program on Global Change and Air-Sea Interaction (GASI-IPOVAI-02), the Basic Scientific Fund for National Public Research Institutes of China (2019Q03), the NSFC-Shandong Joint Fund for Marine Science Research Centers (U1606405), the National Natural Science Foundation of China (41706032, 41406012, 41605065, and 41606034) the Open Fund of the Key Laboratory of Ocean Circulation and Waves, Chinese Academy of Sciences (KLOCW1702), and the Ao-Shan Talents Cultivation Program supported by Qingdao National Laboratory for Marine Science and Technology (2017ASTCP-OS01).</t>
  </si>
  <si>
    <t>10.1175/JCLI-D-18-0513.1</t>
  </si>
  <si>
    <t>WOS:000477763000003</t>
  </si>
  <si>
    <t>In the past decades, the influence of climate change has caused changes in the amount of rainfall in many areas which may affect the flood assessment and mitigation. This research aims to determine amount of rainfall which impacts on changes of the water levels in canals and evaluate the appropriate mitigation measures for floods in the inner Bangkok area, Bangkok Noi and Bangkok Yai districts of Bangkok. The maximum 1-day rainfall during 1997-2010 was determined under different return periods of 2, 5, 10, 25, 50 and 100 year. The MIKE 11 model was then applied to assess changes of the water levels in canals caused by design rainfall events for those return periods. The flood mitigation was also proposed by applying various pumping capacities and initial water levels, incorporating with building dykes and a floodgate. This study has found that the highest flood-risk areas are along Chak Phra and Bangkhunnon canals and the eastern part of Jakthong Canal while the lowest flood-risk area is Bangkok Yai district. Flood caused from the 10-year rainfall can be mitigated by building dykes with the height of 0.75 m [mean sea level (MSL)] and maintaining the initial water level of 0.70 m (MSL). Furthermore, it has also been found that flood caused from the 25-year rainfall can be mitigated by building the floodgate to prevent the flowing back water at Wat Yangsuttharam Canal. However, 50- and 100-year rainfalls seem to cause floods which are too large to mitigate.</t>
  </si>
  <si>
    <t>[Klongvessa, Pawee; Chotpantarat, Srilert] Chulalongkorn Univ, Dept Geol, Fac Sci, Bangkok 10330, Thailand</t>
  </si>
  <si>
    <t>Graduate School of Chulalongkorn University(Chulalongkorn University); Research Endowment Fund, Chulalongkorn University; National Research Council of Thailand (NRCT)(National Research Council of Thailand (NRCT)); Ratchadaphiseksomphot Endowment Fund of Chulalongkorn University(Chulalongkorn University)</t>
  </si>
  <si>
    <t>This work was partially supported by the Graduate School of Chulalongkorn University and the Research Endowment Fund, Chulalongkorn University, National Research Council of Thailand (NRCT) and the Ratchadaphiseksomphot Endowment Fund of Chulalongkorn University (RES560530128-CC). The MIKE 11 model and field instruments were provided by Dr. Danai Thaitakoo from the Faculty of Architecture, Chulalongkorn University. We are grateful for the thorough reviews by Univ.-Prof. Dipl.-Geogr. Dr. Thomas Glade, Editor of Natural Hazards Journal, and anonymous reviewers. Their valuable comments significantly improved the earlier draft to this article.</t>
  </si>
  <si>
    <t>10.1007/s11069-014-1176-6</t>
  </si>
  <si>
    <t>WOS:000340492700039</t>
  </si>
  <si>
    <t>Seow, Marvin Xiang Ce; Hassim, Muhammad Eeqmal Eesfansyah; Venkatraman, Prasanna; Tozuka, Tomoki</t>
  </si>
  <si>
    <t>Sea surface temperatures (SSTs) in the western part of the South China Sea (SCS) are cooler than in the eastern part in boreal winter, owing to a winter climatological cold tongue (CT). In this study, using a regional atmospheric model configured for the Maritime Continent, we assess the atmospheric impacts of local (or SCS) SSTs versus those from remote drivers (e.g., western tropical Pacific SSTs) during strong CT events with anomalously cool SSTs. In the local run, more rainfall is observed over the eastern SCS, but no significant atmospheric impacts are found over the CT region when SSTs associated with strong CT events are imposed within the SCS while climatological conditions are imposed elsewhere. SCS SST anomalies during strong CT events do not significantly modify the regional wind circulation. The lack of atmospheric response to SSTs over the CT region may be explained by the wintertime mean SSTs (i.e., &lt; 27-28(?)C) over the CT region that are inadequate to trigger deep atmospheric convection, while eastern SCS SSTs are high enough. The increase of anomalous positive moist static energy (MSE) near the sea level over the eastern SCS indicates underlying warm eastern SCS SST anomalies could be influencing positive rainfall anomalies. In the remote run, imposing climatological SCS SSTs but remote SSTs and lateral boundary conditions linked to strong CT events results in cyclonic wind and positive rainfall anomalies over the eastern SCS and Philippines, which are a Matsuno-Gill response to the diabatic heating anomalies over the warm western tropical Pacific SST anomalies. Positive rainfall and cloud cover anomalies associated with the cyclonic wind anomalies are due to the anomalous positive MSE import into the eastern SCS by horizontal advection.</t>
  </si>
  <si>
    <t>[Seow, Marvin Xiang Ce] Univ Tokyo, Inst Ind Sci, Tokyo, Japan; [Seow, Marvin Xiang Ce; Tozuka, Tomoki] Univ Tokyo, Grad Sch Sci, Dept Earth &amp; Planetary Sci, Tokyo, Japan; [Hassim, Muhammad Eeqmal Eesfansyah; Venkatraman, Prasanna] Meteorol Serv Singapore, Ctr Climate Res Singapore, Singapore, Singapore; [Seow, Marvin Xiang Ce] Univ Tokyo, Inst Ind Sci, 4-6-1 Komaba,Meguro ku, Tokyo 1538505, Japan</t>
  </si>
  <si>
    <t>University of Tokyo; University of Tokyo; Meteorological Service Singapore; University of Tokyo</t>
  </si>
  <si>
    <t>Research Fellowship of Japan Society for the Promotion of Science (JSPS) underGrant-in-Aid for JSPS Fellows,Grant/Award Number: 19J20585; Japan Society for the Promotion of Science</t>
  </si>
  <si>
    <t>10.1002/qj.4423</t>
  </si>
  <si>
    <t>WOS:000930655900001</t>
  </si>
  <si>
    <t>Zhai Panmao; Yu Rong; Guo Yanjun; Li Qingxiang; Ren Xuejuan; Wang Yaqing; Xu Wenhui; Liu Yanju; Ding Yihui</t>
  </si>
  <si>
    <t>The oceanic and atmospheric conditions and the related climate impacts of the 2015/16 ENSO cycle were analyzed, based on the latest global climate observational data, especially that of China. The results show that this strong El Nino event fully established in spring 2015 and has been rapidly developing into one of the three strongest El Nino episodes in recorded history. Meanwhile, it is also expected to be the longest event recorded, attributable to the stable maintenance of the abnormally warm conditions in the equatorial Pacific Ocean since spring 2014. Owing to the impacts of this strong event, along with climate warming background, the global surface temperature and the surface air temperature over Chinese mainland reached record highs in 2015. Disastrous weather in various places worldwide have occurred in association with this severe El Nio episode, and summer precipitation has reduced significantly in North China, especially over the bend of the Yellow River, central Inner Mongolia, and the coastal areas surrounding Bohai Bay. Serious drought has occurred in some of the above areas. The El Nino episode reached its peak strength during November-December 2015, when a lower-troposphere anomalous anticyclonic circulation prevailed over the Philippines, bringing about abnormal southerlies and substantially increased precipitation in southeastern China. At the same time, a negative phase of the Eurasia-Pacific teleconnection pattern dominated over the mid-high latitudes, which suppressed northerly winds in North China. These two factors together resulted in high concentrations of fine particulate matter (PM2.5) and frequent haze weather in this region. Currently, this strong El Nino is weakening very rapidly, but its impact on climate will continue in the coming months in some regions, especially in China.</t>
  </si>
  <si>
    <t>[Zhai Panmao; Wang Yaqing] Chinese Acad Meteorol Sci, State Key Lab Severe Weather, Beijing 100081, Peoples R China; [Yu Rong] Nanjing Univ Informat Sci &amp; Technol, Coll Atmospher Sci, Nanjing 210044, Jiangsu, Peoples R China; [Guo Yanjun; Liu Yanju; Ding Yihui] Natl Climate Ctr, Beijing 100081, Peoples R China; [Li Qingxiang; Xu Wenhui] Natl Meteorol Informat Ctr, Beijing 100081, Peoples R China; [Ren Xuejuan] Nanjing Univ, Sch Atmospher Sci, Nanjing 210093, Jiangsu, Peoples R China</t>
  </si>
  <si>
    <t>China Meteorological Administration; Chinese Academy of Meteorological Sciences (CAMS); Nanjing University of Information Science &amp; Technology; Nanjing University</t>
  </si>
  <si>
    <t>National (Key) Basic Research and Development (973) Program of China(National Basic Research Program of China); National Natural Science Foundation of China(National Natural Science Foundation of China (NSFC))</t>
  </si>
  <si>
    <t>Supported by the National (Key) Basic Research and Development (973) Program of China (2012CB417205) and National Natural Science Foundation of China (41575094).</t>
  </si>
  <si>
    <t>10.1007/s13351-016-6101-3</t>
  </si>
  <si>
    <t>WOS:000379502700001</t>
  </si>
  <si>
    <t>Long, Jingchao; Zhang, Suping; Chen, Yang; Liu, Jingwu; Han, Geng</t>
  </si>
  <si>
    <t>The northwestern Pacific (NWP) is a fog-prone area, especially the ocean east of the Kuril Islands. The present study analyzes how the Pacific-Japan (PJ) teleconnection pattern influences July sea fog in the fog-prone area using independent datasets. The covariation between the PJ index and sea fog frequency (SFF) index in July indicates a close correlation, with a coefficient of 0.62 exceeding the 99% confidence level. Composite analysis based on the PJ index, a case study, and model analysis based on GFDL-ESM2M, show that in high PJ index years the convection over the east of the Philippines strengthens and then triggers a Rossby wave, which propagates northward to maintain an anticyclonic anomaly in the midlatitudes, indicating a northeastward shift of the NWP subtropical high. The anticyclonic anomaly facilitates the formation of relatively stable atmospheric stratification or even an inversion layer in the lower level of the troposphere, and strengthens the horizontal southerly moisture transportation from the tropical-subtropical oceans to the fog-prone area. On the other hand, a greater meridional SST gradient over the cold flank of the Kuroshio Extension, due to ocean downwelling, is produced by the anticyclonic wind stress anomaly. Both of these two aspects are favorable for the warm and humid air to cool, condense, and form fog droplets, when air masses cross the SST front. The opposite circumstances occur in low PJ index years, which are not conducive to the formation of sea fog. Finally, a multi-model ensemble mean projection reveals a prominent downward trend of the PJ index after the 2030s, implying a possible decline of the SFF in this period.</t>
  </si>
  <si>
    <t>[Long, Jingchao; Zhang, Suping; Chen, Yang; Liu, Jingwu] Ocean Univ China, Ocean Atmosphere Interact &amp; Climate Lab, Phys Oceanog Lab, Qingdao 266100, Peoples R China; [Han, Geng] Meteorol Bur Quanzhou, Quanzhou 362000, Peoples R China</t>
  </si>
  <si>
    <t>Ocean University of China</t>
  </si>
  <si>
    <t>973 project Natural Science Foundation of China; Shandong Joint Fund for Marine Science Research Centers; NSFC(National Natural Science Foundation of China (NSFC)); Fundamental Research Funds for the Central Universities(Fundamental Research Funds for the Central Universities)</t>
  </si>
  <si>
    <t>The authors wish to thank Prof. Shang-Ping XIE for his constructive suggestions, and Dr. Yi LI, Wen-Xiu ZHONG, and Lei WANG for their helpful discussions. The authors are thankful to the two anonymous reviewers for their comments and suggestions. The dataset was from the Earth System Grid Federation, CISL Research Data Archive. This work was supported by a 973 project (Grant No. 2012CB955602) Natural Science Foundation of China and the Shandong Joint Fund for Marine Science Research Centers (Grant No. U1406401), and the NSFC (Grant No. 41175006), J. W. Liu was supported by the Fundamental Research Funds for the Central Universities.</t>
  </si>
  <si>
    <t>10.1007/s00376-015-5097-4</t>
  </si>
  <si>
    <t>WOS:000370030100010</t>
  </si>
  <si>
    <t>Xu, Kang; Huang, Qing-Lan; Tam, Chi-Yung; Wang, Weiqiang; Chen, Sheng; Zhu, Congwen</t>
  </si>
  <si>
    <t>The impacts of the eastern-Pacific (EP) and central-Pacific (CP) El Nino-Southern Oscillation (ENSO) on the southern China wintertime rainfall (SCWR) have been investigated. Results show that wintertime rainfall over most stations in southern China is enhanced (suppressed) during the EP (CP) El Nino, which are attributed to different atmospheric responses in the western North Pacific (WNP) and South China Sea (SCS) during two types of ENSO. When EP El Nino occurs, an anomalous low-level anticyclone is present over WNP/the Philippines region, resulting in stronger-than-normal southwesterlies over SCS. Such a wind branch acts to suppress East Asian winter monsoon (EAWM) and enhance moisture supply, implying surplus SCWR. During CP El Nino, however, anomalous sinking and low-level anticyclonic flow are found to cover a broad region in SCS. These circulation features are associated with moisture divergence over the northern part of SCS and suppressed SCWR. General circulation model experiments have also been conducted to study influence of various tropical sea surface temperature (SST) patterns on the EAWM atmospheric circulation. For EP El Nino, formation of anomalous low-level WNP anticyclone is jointly attributed to positive/negative SST anomalies (SSTA) over the central-to-eastern/ western equatorial Pacific. However, both positive and negative CP Nino-related-SSTA, located respectively over the central Pacific and WNP/SCS, offset each other and contribute a weak but broad-scale anticyclone centered at SCS. These results suggest that, besides the vital role of SST warming, SST cooling over SCS/WNP during two types of El Nino should be considered carefully for understanding the El Nino-EAWM relationship.</t>
  </si>
  <si>
    <t>[Xu, Kang; Wang, Weiqiang; Chen, Sheng] Chinese Acad Sci, State Key Lab Trop Oceanog, South China Sea Inst Oceanol, Guangzhou, Guangdong, Peoples R China; [Xu, Kang; Tam, Chi-Yung] Chinese Univ Hong Kong, Earth Syst Sci Programme, Hong Kong, Peoples R China; [Huang, Qing-Lan] Jiangmen Meteorol Serv, Jiangmen, Peoples R China; [Zhu, Congwen] Chinese Acad Meteorol Sci, State Key Lab Severe Weather LASW, Beijing, Peoples R China; [Zhu, Congwen] Chinese Acad Meteorol Sci, Inst Climate Syst, Beijing, Peoples R China</t>
  </si>
  <si>
    <t>Chinese Academy of Sciences; South China Sea Institute of Oceanology, CAS; Chinese University of Hong Kong; China Meteorological Administration; Chinese Academy of Meteorological Sciences (CAMS); China Meteorological Administration; Chinese Academy of Meteorological Sciences (CAMS)</t>
  </si>
  <si>
    <t>Funds for Creative Research Groups of China(Science Fund for Creative Research Groups); National Natural Science Foundation of China(National Natural Science Foundation of China (NSFC)); National Key Research and Development Program of China; Chinese University Direct Grant; Science and Technology Research Project of Guangdong Meteorological Service; Independent Research Project Program of State Key Laboratory of Tropical Oceanography</t>
  </si>
  <si>
    <t>This study was jointly supported by the Funds for Creative Research Groups of China (41521005), the National Natural Science Foundation of China (41776023, 41406033, 41475057, and 41676013), the National Key Research and Development Program of China (2016YFC1401401), the Chinese University Direct Grant (4053208), the Science and Technology Research Project of Guangdong Meteorological Service (2016B47), and the Independent Research Project Program of State Key Laboratory of Tropical Oceanography (LTOZZ1702).</t>
  </si>
  <si>
    <t>10.1007/s00382-018-4170-y</t>
  </si>
  <si>
    <t>WOS:000460619200031</t>
  </si>
  <si>
    <t>Moron, Vincent; Robertson, Andrew W.</t>
  </si>
  <si>
    <t>Subseasonal to seasonal (S2S) tropical rainfall predictability is assessed both from an analysis of the spatial scales of observed rainfall variability data, as well as from an S2S model reforecast skill. Observed spatial scales are quantified from gridded observed daily rainfall data, in terms of the size (area) of daily contiguous wet grid-points (referred to as 'wet patches'), as well as from the spatial autocorrelations of 7-91-day running averages of rainfall. Model S2S reforecast skill is measured using the anomaly correlation coefficient between observed and simulated weekly and monthly rainfall from an 11-member ensemble of European Centre for Medium-Range Weather Forecasts (ECMWF) reforecasts (1998-2017). Both measures of S2S predictability are found to be systematically lower over land than sea, usually peaking at the start or end of the rainy season and decreasing during the core. Small spatial scales and low skill over equatorial/northern tropical Africa and western Amazonia coincide with small daily rainfall patch size and strong synoptic-scale (&lt;= 7 days) variability there. Over most of South and SE Asia, daily wet patches are larger and strongly modulated by intraseasonal oscillations, boosting S2S rainfall predictability, while this is offset by large daily mean rainfall intensities that increase the noise. In consequence, S2S rainfall skill here generally remains low. Several land areas (as around Maritime Continent from the Philippines to Northern Australia, Eastern and Southern Africa, Eastern South America) exhibit larger spatial scales and skill, especially where the relative amplitude of SST-forced interannual variations is strong. Most of the Maritime Continent illustrates such behaviour, but even here, the time-averaged spatial scales and skill drop during the core of the rainy season.</t>
  </si>
  <si>
    <t>[Moron, Vincent] Aix Marseille Univ, Coll France, CNRS,CEREGE, IRD,INRAE, Aix En Provence, France; [Moron, Vincent] Columbia Univ, IRI, Palisades, NY USA; [Robertson, Andrew W.] Columbia Univ, Int Res Inst Climate &amp; Soc IRI, Palisades, NY USA</t>
  </si>
  <si>
    <t>Centre National de la Recherche Scientifique (CNRS); Aix-Marseille Universite; INRAE; Institut de Recherche pour le Developpement (IRD); Universite PSL; College de France; Columbia University; Columbia University</t>
  </si>
  <si>
    <t>10.1002/joc.7143</t>
  </si>
  <si>
    <t>WOS:000650546200001</t>
  </si>
  <si>
    <t>Damberg, Lisa; AghaKouchak, Amir</t>
  </si>
  <si>
    <t>This paper analyzes changes in areas under droughts over the past three decades and alters our understanding of how amplitude and frequency of droughts differ in the Southern Hemisphere (SH) and Northern Hemisphere (NH). Unlike most previous global-scale studies that have been based on climate models, this study is based on satellite gauge-adjusted precipitation observations. Here, we show that droughts in terms of both amplitude and frequency are more variable over land in the SH than in the NH. The results reveal no significant trend in the areas under drought over land in the past three decades. However, after investigating land in the NH and the SH separately, the results exhibit a significant positive trend in the area under drought over land in the SH, while no significant trend is observed over land in the NH. We investigate the spatial patterns of the wetness and dryness over the past three decades, and we show that several regions, such as the southwestern United States, Texas, parts of the Amazon, the Horn of Africa, northern India, and parts of the Mediterranean region, exhibit a significant drying trend. The global trend maps indicate that central Africa, parts of southwest Asia (e.g., Thailand, Taiwan), Central America, northern Australia, and parts of eastern Europe show a wetting trend during the same time span. The results of this satellite-based study disagree with several model-based studies which indicate that droughts have been increasing over land. On the other hand, our findings concur with some of the observation-based studies.</t>
  </si>
  <si>
    <t>[Damberg, Lisa; AghaKouchak, Amir] Univ Calif Irvine, Irvine, CA 92697 USA</t>
  </si>
  <si>
    <t>University of California System; University of California Irvine</t>
  </si>
  <si>
    <t>National Science Foundation (NSF)(National Science Foundation (NSF)); United States Bureau of Reclamation (USBR); Directorate For Geosciences; Division Of Earth Sciences(National Science Foundation (NSF)NSF - Directorate for Geosciences (GEO))</t>
  </si>
  <si>
    <t>The authors would like to thank the editor and reviewers for their thoughtful comments and suggestions on an earlier draft of this paper. This study is supported by the National Science Foundation (NSF, award no. EAR-1316536) and the United States Bureau of Reclamation (USBR, award no. R11AP81451).</t>
  </si>
  <si>
    <t>10.1007/s00704-013-1019-5</t>
  </si>
  <si>
    <t>WOS:000339905000008</t>
  </si>
  <si>
    <t>Huang, Weizhi; Qiao, Yunting; Jian, Maoqiu</t>
  </si>
  <si>
    <t>The global mean surface temperature has experienced different warming stages, but there is less work on discussion of the regional climate changes under the background of different global warming rates. This study investigated the surface temperature (ST)-related trends in the East Asian summer monsoon (EASM) and underlying mechanisms during three warming stages, with a view to develop a new understanding of the responses of the EASM to global warming. Based on the statistical method of piecewise linear regression (PLR) to ST anomaly time series, the ST variation process from 1958 to 2014 has been divided into three stages with different linear trends: 1958-1975 (hiatus), 1976-1997 (acceleration) and 1998-2014 (slowdown). During the first stage, accompanied by two anomalous lower-level cyclones, a weakening trend of the southerly winds over eastern China is observed. The enhanced cyclone over the Yellow Sea, with local ST cooling, is associated with the CGT-like (circumglobal teleconnection) pattern, while the other one over the Philippines can be attributed to the local sea surface temperature (SST) warming. The ST-related anomalous EASM circulation exhibits an enhanced lower-level anticyclone over the northern Philippine Sea during the second stage. The warming around Lake Baikal and the phase change of the East Atlantic/Western Russia (EAWR) pattern can weaken upper-level East Asian jet stream (EAJS) and then provide a favourable condition for the descent related to the lower-level anticyclonic anomaly. As for the third stage, the anomalous ST and related EASM circulation both display a dipole pattern. Through influencing the meridional thermal contrast and distribution of convergence over East Asia (EA), the interaction between anomalous ST and EASM circulation may be the major mechanism that results in the increased (decreased) ST and enhanced barotropic anticyclone (cyclone) over southern (northern) EA.</t>
  </si>
  <si>
    <t>[Huang, Weizhi; Qiao, Yunting; Jian, Maoqiu] Sun Yat Sen Univ, Ctr Monsoon &amp; Environm Res, Sch Atmospher Sci, Guangzhou, Peoples R China; [Huang, Weizhi; Qiao, Yunting; Jian, Maoqiu] Sun Yat Sen Univ, Guangdong Prov Key Lab Climate Change &amp; Nat Disas, Guangzhou, Peoples R China; [Huang, Weizhi; Qiao, Yunting; Jian, Maoqiu] Southern Marine Sci &amp; Engn Guangdong Lab, Zhuhai, Peoples R China</t>
  </si>
  <si>
    <t>Sun Yat Sen University; Sun Yat Sen University; Southern Marine Science &amp; Engineering Guangdong Laboratory</t>
  </si>
  <si>
    <t>National Key Research and Development Program of China; National Natural Science Foundation of China(National Natural Science Foundation of China (NSFC)); National Guangdong Province Key Laboratory for Climate Change and Natural Disaster Studies; Jiangsu Collaborative Innovation Center for Climate Change</t>
  </si>
  <si>
    <t>National Key Research and Development Program of China, Grant/Award Number: 2016YFA0600601; National Natural Science Foundation of China, Grant/Award Number: 41575069; National Guangdong Province Key Laboratory for Climate Change and Natural Disaster Studies, Grant/Award Number: 2020B1212060025; Jiangsu Collaborative Innovation Center for Climate Change</t>
  </si>
  <si>
    <t>10.1002/joc.7153</t>
  </si>
  <si>
    <t>WOS:000647867100001</t>
  </si>
  <si>
    <t>Corporal-Lodangco, Irenea L.; Leslie, Lance M.; Lamb, Peter J.</t>
  </si>
  <si>
    <t>This study investigates the El Nino-Southern Oscillation (ENSO) contribution to Philippine tropical cyclone (TC) variability, for a range of quarterly TC metrics. Philippine TC activity is found to depend on both ENSO quarter and phase. TC counts during El Nino phases differ significantly from neutral phases in all quarters, whereas neutral and La Nina phases differ only in January-March and July-September. Differences in landfalls between neutral and El Nino phases are significant in January-March and October-December and in January-March for neutral and La Nina phases. El Nino and La Nina landfalls are significantly different in April-June and October-December. Philippine neutral and El Nino TC genesis cover broader longitude-latitude ranges with similar long tracks, originating farther east in the western North Pacific. In El Nino phases, the mean eastward displacement of genesis locations and more recurving TCs reduce Philippine TC frequencies. Proximity of La Nina TC genesis to the Philippines and straight-moving tracks in April-June and October-December increase TC frequencies and landfalls. Neutral and El Nino accumulated cyclone energy (ACE) values are above average, except in April-June of El Nino phases. Above-average quarterly ACE in neutral years is due to increased TC frequencies, days, and intensities, whereas above-average El Nino ACE in July-September is due to increased TC days and intensities. Below-average La Nina ACE results from fewer TCs and shorter life cycles. Longer TC durations produce slightly above-average TC days in July-September El Nino phases. Fewer TCs than neutral years, as well as shorter TC durations, imply less TC days in La Nina phases. However, above-average TC days occur in October-December as a result of higher TC frequencies.</t>
  </si>
  <si>
    <t>[Corporal-Lodangco, Irenea L.; Leslie, Lance M.] Univ Oklahoma, Sch Meteorol, 120 David L Boren Blvd, Norman, OK 73072 USA; [Corporal-Lodangco, Irenea L.; Leslie, Lance M.; Lamb, Peter J.] Univ Oklahoma, Cooperat Inst Mesoscale Meteorol Studies, Norman, OK 73072 USA</t>
  </si>
  <si>
    <t>University of Oklahoma System; University of Oklahoma - Norman; University of Oklahoma System; University of Oklahoma - Norman</t>
  </si>
  <si>
    <t>NOAA-OU Cooperative Institute for Mesoscale Meteorological Studies (CIMMS)</t>
  </si>
  <si>
    <t>This research was supported by the NOAA-OU Cooperative Institute for Mesoscale Meteorological Studies (CIMMS). The authors thank Dr. Michael Richman for assisting with the significance test analysis.</t>
  </si>
  <si>
    <t>10.1175/JCLI-D-14-00723.1</t>
  </si>
  <si>
    <t>WOS:000371302300002</t>
  </si>
  <si>
    <t>Mandapaka, Pradeep V.; Lo, Edmond Y. M.</t>
  </si>
  <si>
    <t>Extreme precipitation and associated flooding cause severe damage to society and the environment. Future climate projections suggest an intensification of precipitation extremes in many regions. However, there is an increasing need for climate change impact assessment at higher spatial resolution, particularly for regions with complex geography such as Southeast Asia (SEA). In this study, we analysed the NASA Earth Exchange 0.25 degrees resolution daily precipitation projections from an ensemble of 20 climate models under two emission scenarios RCP4.5 and RCP8.5. The variability in future precipitation projections is analysed and quantified for six geographical subregions, two climatological regions (wet and dry), and the low-elevation coastal zones in SEA. Various aspects of precipitation structure are studied using indices that characterize precipitation amount, number of heavy precipitation days, extreme precipitation amount, and maximum daily precipitation at annual and seasonal scales. The results show substantial increases in mean and extreme precipitation in many parts of SEA by the end of the 21st century under both emission scenarios, thus increasing the region's vulnerability to precipitation-driven hazards. The projected centennial increase in total annual precipitation relative to the baseline period of 1970-1999 when averaged over all land grid cells is about 15% under RCP8.5 scenario, with larger values (similar to 20%) over mainland SEA and Philippines and smaller values (similar to 6%) in Java island. The projected changes in extreme precipitation are stronger compared to the total annual precipitation under both emission scenarios. The New Guinea and Java regions show the largest and smallest increases in annual maximum daily precipitation, with ensemble mean values of 30 and 17%, respectively, under RCP8.5 scenario. The results also reveal large inter-model spread in projected changes, particularly during boreal winter and summer months.</t>
  </si>
  <si>
    <t>[Mandapaka, Pradeep V.; Lo, Edmond Y. M.] Nanyang Technol Univ, Inst Catastrophe Risk Management, Block N1,Level B1b,50 Nanyang Ave, Singapore 639798, Singapore; [Lo, Edmond Y. M.] Nanyang Technol Univ, Sch Civil &amp; Environm Engn, Singapore, Singapore</t>
  </si>
  <si>
    <t>Singapore ETH Center (Future Resilient Systems)</t>
  </si>
  <si>
    <t>Singapore ETH Center, Grant/Award Number: Future Resilient Systems</t>
  </si>
  <si>
    <t>10.1002/joc.5724</t>
  </si>
  <si>
    <t>WOS:000452430000013</t>
  </si>
  <si>
    <t>Lu, Mong-Ming; Sui, Chung-Hsiung; Wu, Ching-Hsuan; Solis, Ana Liza Solmoro; Cheng, Ming-Dean</t>
  </si>
  <si>
    <t>Taiwan and Philippine (TWPH) (117 129 degrees E, 5 26 degrees N) is a region with most frequent and intense tropical cyclone (TC) influence in the world. This paper documents the climatology and variability of TWPH TC activity with specific attention to the difference in the TCs formed over the western North Pacific (WNP) and over the South China Sea (SCS). The spatial characteristics of TWPH TCs are analyzed based on the accumulated cyclone kinetic energy (ACE) in four sub-areas where distinctly different TC seasonality and variability is found. Different from over the broad Northwest Pacific Basin (0 60 degrees N, 100 degrees E 180 degrees) where the WNP-born TC frequency dropped sharply in late-1990s and the SCS-born TC frequency slightly increased in mid-1990s, over TWPH three distinct epochs are identified. A weak variability epoch occurred during 1979 1996, a persistent low-ACE epoch during 1997 2002, and a more variable epoch during 2003 2018. The second epoch is most noteworthy. The unusually weak TC activity during this period in particular over the Philippines was associated with anomalously strong anticyclone over the SCS and the Philippine Sea during the East Asian summer monsoon season. The strong anticyclonic circulation appeared as a descending leg of the enhanced East Asian summer monsoon during summer (July to September). During autumn and early winter (September to December) the Philippine Sea anticyclone was interpreted as the descending Rossby wave response to the suppressed convection over tropical western Pacific. The anomalous anticyclone strengthened the low-level confluent flow and convection over the SCS. The findings are useful to real-time TWPH TC activity monitoring and analysis.</t>
  </si>
  <si>
    <t>[Lu, Mong-Ming; Sui, Chung-Hsiung; Wu, Ching-Hsuan] Natl Taiwan Univ, Dept Atmospher Sci, Taipei, Taiwan; [Solis, Ana Liza Solmoro] Philippine Atmospher Geophys &amp; Astron Serv Adm, Manila, Philippines; [Cheng, Ming-Dean] Cent Weather Bur, Taipei, Taiwan</t>
  </si>
  <si>
    <t>Ministry of Science and Technology, Taiwan(Ministry of Science and Technology, Taiwan)</t>
  </si>
  <si>
    <t>This study is supported by the Ministry of Science and Technology, Taiwan, Grant MOST 110-2111-M-002-013-, MOST 108-2111-M-002-009, MOST 109-2111-M-002-005, and MOST 105-2923-M-002-012-MY3.</t>
  </si>
  <si>
    <t>10.3319/TAO.2020.11.30.01</t>
  </si>
  <si>
    <t>WOS:000789616000006</t>
  </si>
  <si>
    <t>Bhuiyan, Tariqur Rahman; Er, Ah Choy; Muhamad, Nurfashareena; Pereira, Joy Jacqueline</t>
  </si>
  <si>
    <t>Small-scale flash flood events are climate-related disasters which can put multiple aspects of the system at risk. The consequences of flash floods in densely populated cities are increasingly becoming problematic around the globe. However, they are largely ignored in disaster impact assessment studies, especially in assessing socioeconomic loss and damage, which can provide a significant insight for disaster risk reduction measures. Using a structured questionnaire survey, this study applied a statistical approach and developed a structural equation model (SEM) for assessing several socioeconomic dimensions including physical impacts, mobility disruption, lifeline facilities, health and income-related impacts. The study reveals that respondents have experienced a stronger impact on direct tangible elements such as household contents and buildings as well as direct intangible elements with beta coefficients 0.703, 0.576 and 0.635, respectively, at p &lt; 0:001 level. The direct intangible impacts affect mobility disruption with beta coefficients equal to 0.701 at p &lt; 0:001 level which then further cause adversity to income-generating activities with beta 0.316 at significant p &lt; 0:001 as well. The overall model fit indices show highly acceptable scores of SRMR 0.068, RMSEA 0.055 and PClose 0.092. Thus, the SEM has successfully incorporated the socioeconomic dimensions of disaster impact and explained the impact phenomena reliably. This modeling approach will allow inclusion of various variables from different disciplines to assess hazard impact, vulnerability and resilience.</t>
  </si>
  <si>
    <t>[Bhuiyan, Tariqur Rahman; Muhamad, Nurfashareena; Pereira, Joy Jacqueline] Univ Kebangsaan Malaysia, Inst Environm &amp; Dev LESTARI, Southeast Asia Disaster Prevent Res Initiat SEAD, Bangi 43600, Selangor, Malaysia; [Er, Ah Choy] Univ Kebangsaan Malaysia, Fac Social Sci &amp; Human, Res Ctr Dev Social &amp; Environm, Bangi 43600, Selangor, Malaysia</t>
  </si>
  <si>
    <t>Research and Innovation Bridges Programme of the Newton-Ungku Omar Fund</t>
  </si>
  <si>
    <t>The project entitled Disaster Resilient Cities: Forecasting Local Level Climate Extremes and Physical Hazards for Kuala Lumpur (XX-2017-002) supported by the Research and Innovation Bridges Programme of the Newton-Ungku Omar Fund.</t>
  </si>
  <si>
    <t>10.1007/s11069-021-04887-3</t>
  </si>
  <si>
    <t>WOS:000668441400001</t>
  </si>
  <si>
    <t>Wang, Tianju; Zhong, Zhong; Sun, Yuan; Hu, Yijia</t>
  </si>
  <si>
    <t>The climate in China is extremely abnormal in July 2020, which is largely attributed to the anomalous activities of the Western Pacific Subtropical High (WPSH). In the present study, statistical analysis and diagnostic calculation of individual terms of the complete form of vorticity equation are conducted to investigate features of meridional movement of WPSH in July 2020, and the mechanism for the anomalous meridional movement of the WPSH is also explored. Results indicate that in July 2020, the western segment of the WPSH ridge line persistently remained to the south of its climatological position, especially in the lower troposphere. Meanwhile, the eastern segment of the ridge line continuously stayed to the north of its normal position. Such a configuration leads to a large meridional span of the WPSH ridge line and is directly responsible for the super long Meiyu season in eastern China in the summer of 2020. The persistent southward shift of the WPSH ridge line in its western segment is attributed to the maintenance of strong positive vorticity anomalies to the north of the WPSH ridge line. Whereas the abnormally frequent southward invasion of cold air and the activities of troughs in the mid- and high-latitude regions are the main reasons for the maintenance of the vorticity anomalies to the north of the WPSH ridge line. In addition, the anomalously southward WPSH combined with the Indian ocean SST anomalies inhibited the development of tropical convection in the South China Sea-Philippines, which subsequently weakened the vorticity anomalies to the south of the WPSH ridge line and made the P-J teleconnection pattern exhibiting in abnormally negative phase, and resulting in anomalous cyclonic circulation and negative geopotential height developed in the middle and lower troposphere over southern Japan, which further caused the WPSH centroid locating southward and restricted the northward movement of the WPSH.</t>
  </si>
  <si>
    <t>[Wang, Tianju; Zhong, Zhong; Sun, Yuan; Hu, Yijia] Natl Univ Def Technol, Coll Meteorol &amp; Oceanog, 109 Deya Rd, Changsha 410005, Peoples R China; [Zhong, Zhong] Nanjing Univ, Jiangsu Collaborat Innovat Ctr Climate Change, Nanjing, Peoples R China; [Zhong, Zhong] Hohai Univ, State Key Lab Hydrol Water Resources &amp; Hydraul En, Nanjing, Peoples R China</t>
  </si>
  <si>
    <t>National University of Defense Technology - China; Nanjing University; Hohai University</t>
  </si>
  <si>
    <t>National Natural Science Foundation of China(National Natural Science Foundation of China (NSFC)); National Key Research and Development Project</t>
  </si>
  <si>
    <t>This work was sponsored by the National Natural Science Foundation of China (Grant No. 42075035) and the National Key Research and Development Project (Grant No. 2018YFC1505803).</t>
  </si>
  <si>
    <t>10.1007/s00704-022-04075-8</t>
  </si>
  <si>
    <t>WOS:000795029700001</t>
  </si>
  <si>
    <t>Khouakhi, Abdou; Villarini, Gabriele</t>
  </si>
  <si>
    <t>Long-term global coverage of historical 6-h best track tropical cyclone (TC) records and hourly sea-level time series are used to examine the relative TC contribution to annual maximum sea levels (AMSLs). Analyses are performed at 177 tide gauge (TG) stations with at least 25 years of complete data since 1970. We associate an AMSL (before and after removing the astronomical tide) with a TC if the centre of circulation of the TC passed within a given distance from the station and a given time window. Spatial and temporal sensitivity analyses are performed with varying time windows (+/- 6 and +/- 12 h) and buffer radii (400 and 500 km) around each TG station. Results indicate that TCs play a prominent role in determining the spatial distribution of sea-level maxima in active TC regions, with some locations experiencing more than 75% of annual maxima due to these storms. The fraction of TC sea-level maxima is particularly high along the coasts of Taiwan, southern China, the Philippines, the eastern United States, the Gulf of Mexico, the Bay of Bengal and western Mexico. Analysis of nontidal residual maxima (the total sea-level signal minus the harmonic tidal contribution) reveals an increase in the measured fractions of sea-level maxima attributed to TCs in the majority of the stations. These results further support the notion that TCs are responsible for major extreme sea levels and indicate the notable influence of tides on AMSLs. Given the major role that the El Nino-Southern Oscillation (ENSO) plays in TC activity, we also examine the relationship between TC-driven extreme sea levels and ENSO using logistic regression. We identify regional differences in the link between ENSO and TC-induced AMSL, with higher probabilities of TC-induced AMSL during La Nina in the North Atlantic, and during El Nino in eastern Asia.</t>
  </si>
  <si>
    <t>[Khouakhi, Abdou; Villarini, Gabriele] Univ Iowa, IIHR Hydrosci &amp; Engn, 100 C Maxwell Stanley Hydraul Lab, Iowa City, IA 52242 USA</t>
  </si>
  <si>
    <t>University of Iowa</t>
  </si>
  <si>
    <t>USACE Institute for Water Resources</t>
  </si>
  <si>
    <t>The authors acknowledge the financial support from the USACE Institute for Water Resources. The hourly water-level data used in the analysis were downloaded from the database of the University of Hawaii Sea Level Center (http://uhslc.soest.hawaii.edu/data//). TC data were obtained from the International Best Track Archive for Climate Stewardship (IBTrACS, http://www.ncdc.noaa.gov/ihtracs/).</t>
  </si>
  <si>
    <t>10.1002/joc.4704</t>
  </si>
  <si>
    <t>WOS:000392415700041</t>
  </si>
  <si>
    <t>Galavi, Hadi; Kamal, Md Rowshon; Mirzaei, Majid; Ebrahimian, Mahboubeh</t>
  </si>
  <si>
    <t>Hydrological models are commonly used to quantify the hydrological impacts of climate change using general circulation model (GCM) simulations as input. However, application of the model results with respect to future changes in streamflow scenarios remains limited by the large uncertainties stemming from various sources. Therefore, this study aimed to explore uncertainties involved in climate change impact assessment in Hulu Langat Basin, Malaysia, and define the contribution of uncertainty sources to the final uncertainty level. Hydrological model parameters, GCMs, and emission scenario uncertainties were considered the main uncertainty contributors in local-scale impact studies. The equidistant quantile matching method is used to bias-correct simulations of 19 GCMs under two emission scenarios of RCP4.5 and RCP8.5. The Soil and Water Assessment Tool (SWAT) hydrological model is next run by the bias-corrected GCM data to generate a wide spectrum of future streamflow scenarios. Projected monthly streamflow pattern under RCP8.5 showed a different temporal pattern from the observed one. Hydrological model parameter uncertainty was proven to be a larger uncertainty contributor than emission scenario during baseline climate. GCM and emission scenario uncertainties escalated as progressed in time and GCM uncertainty showed larger increments. The monthly pattern of effect of each uncertainty source varied when comparing the two periods of 2030s and 2080s. Therefore, for a superior management of water resources, a study of climate change impacts and uncertainty sources on a smaller scale than the decadal or annual scales can be more informative to the decision makers.</t>
  </si>
  <si>
    <t>[Galavi, Hadi; Ebrahimian, Mahboubeh] Univ Zabol, Fac Water &amp; Soil, Zabol, Iran; [Kamal, Md Rowshon] Univ Putra Malaysia, Fac Engn, Serdang, Malaysia; [Mirzaei, Majid] Univ Malaya, Dept Civil Engn, Fac Engn, Kuala Lumpur, Malaysia</t>
  </si>
  <si>
    <t>Universiti Putra Malaysia; Universiti Malaya</t>
  </si>
  <si>
    <t>Ministry of Science, Technology and Innovation (MOSTI)(Ministry of Energy, Science, Technology, Environment and Climate Change (MESTECC), Malaysia); Ministry of Education (MOE), Malaysia</t>
  </si>
  <si>
    <t>The authors would like to express their sincere appreciation to the Ministry of Science, Technology and Innovation (MOSTI) and the Ministry of Education (MOE), Malaysia, for their funding of this project.</t>
  </si>
  <si>
    <t>10.1007/s00704-018-2669-0</t>
  </si>
  <si>
    <t>WOS:000475737500088</t>
  </si>
  <si>
    <t>Isia, Ismallianto; Hadibarata, Tony; Hapsari, Ratih Indri; Jusoh, Muhammad Noor Hazwan; Bhattacharjya, Rajib Kumar; Shahedan, Noor Fifinatasha</t>
  </si>
  <si>
    <t>Social vulnerability assessment to flood hazard depends upon multiple factors that can vary across the different indicators. However, there is limited knowledge on specific indicators suitable for assessing social vulnerability on Sarawak. This study systematically analyzed important components of vulnerability and mapped them by weight for the 12 different divisions. Indices focusing on components of the two different dimensions of vulnerability (physical exposure and resistances) were identified based on the literature. Data on these different indices were then collected through relevant government agencies. Components of vulnerability dimensions were assessed and significantly contributing components were identified by Principal Component Analysis (PCA). An entropy method was used to weight the dimensions of vulnerability for the different divisions. Vulnerability was estimated based on the Iyengar and Sudarshan methodology and the data were used to produce a vulnerability map based on a proposed Social Vulnerability Index (SVI). The results indicated that divisions of Kuching, Miri, Sibu and Bintulu were more vulnerable (score over than 0.81) than those in other divisions. Greater vulnerability was mainly due to high exposure to extreme events and less adaptive capacity of resistance, which can affect agricultural production negatively, in combination with high population density in communities. The map clearly shows which areas are more susceptible, indicating that the government's adaptation measures should vary depending on the available resources, urgency, and means of survival needed to achieve resilience against climate change.</t>
  </si>
  <si>
    <t>[Isia, Ismallianto; Hadibarata, Tony; Jusoh, Muhammad Noor Hazwan; Shahedan, Noor Fifinatasha] Curtin Univ Malaysia, Environm Engn Program, CDT 250, Miri 98009, Sarawak, Malaysia; [Hapsari, Ratih Indri] State Polytech Malang, Dept Civil Engn, Jalan Soekarno Hatta 9, Malang 65141, Indonesia; [Bhattacharjya, Rajib Kumar] Indian Inst Technol Guwahati, Gauhati 781039, Assam, India</t>
  </si>
  <si>
    <t>Curtin University Malaysia; State Polytechnic of Malang; Indian Institute of Technology System (IIT System); Indian Institute of Technology (IIT) - Guwahati</t>
  </si>
  <si>
    <t>Curtin Malaysia Postgraduate Research scheme (CMPRS) under Curtin University Malaysia</t>
  </si>
  <si>
    <t>The authors would like to acknowledge the Curtin Malaysia Postgraduate Research scheme (CMPRS) under the Curtin University Malaysia for providing research fund to conduct this research.</t>
  </si>
  <si>
    <t>OCT 15</t>
  </si>
  <si>
    <t>10.1016/j.ijdrr.2023.104052</t>
  </si>
  <si>
    <t>WOS:001098637700001</t>
  </si>
  <si>
    <t>Shan JiKun; Liang XiaoYun; Wu TongWen; Liu XiangWen; Li QiaoPing</t>
  </si>
  <si>
    <t>Chinese</t>
  </si>
  <si>
    <t>The Asian-Pacific Oscillation (APO) is a zonal teleconnection pattern of the eddy temperature field in the middle and high troposphere over the extra-tropical Asian-Pacific region. Its anomalous change is closely related to the Asian and Pacific summer monsoon. Based on the monthly European Center for Medium-Range Weather Forecast reanalysis data ERA-40 and numerical simulation of the BCC_CSM1.1(m) model in Beijing Climate Center, this paper evaluates the ability of BCC_CSM1.1(m) model in simulating the summer APO spatial distribution, evolution of APO index and the climate differences between the higher and lower APO index years. Results show that BCC_CSM1.1(m) can well simulate the out relationship in the upper-tropospheric eddy temperature between Asia and North Pacific mid-latitudes in Northern Hemisphere summer, and the model is also able to successfully simulate the interannual variability of APO index, but fails to catch the significantly decreasing trend in 1960s-1970s. Furthermore, BCC_CSM1.1(m) can successfully reproduce the Asian and Pacific summer monsoon climate changes corresponding to the APO index variation. With higher APO index conditions, the summer South Asian high and the North Pacific trough are stronger, while the westerly jet stream over Asia and the easterly jet stream over South Asia both strengthen in the upper troposphere. Meanwhile, the Asian low and the North Pacific subtropical high are stronger in the lower troposphere. The anomalous southerlies prevail at 40 degrees E-50 degrees E longitudes and the mid-latitudes of East Asia, and the anomalous westerlies prevail over South Asia. Summer rainfall increases in South Asia and northern of East Asia, while it decreases from the Yangtze River Basin to Japan and the Philippines region, and vice versa.</t>
  </si>
  <si>
    <t>[Shan JiKun] Nanjing Univ Informat Sci &amp; Technol, Coll Atmospher Sci, Nanjing 210044, Jiangsu, Peoples R China; [Liang XiaoYun; Wu TongWen; Liu XiangWen; Li QiaoPing] China Meteorol Adm, Natl Climate Ctr, Beijing 100081, Peoples R China</t>
  </si>
  <si>
    <t>0001-5733</t>
  </si>
  <si>
    <t>CHINESE J GEOPHYS-CH</t>
  </si>
  <si>
    <t>Chinese J. Geophys.-Chinese Ed.</t>
  </si>
  <si>
    <t>10.6038/cjg2018K0553</t>
  </si>
  <si>
    <t>WOS:000422703100010</t>
  </si>
  <si>
    <t>Ng, Jing Lin; Abd Aziz, Samsuzana; Huang, Yuk Feng; Wayayok, Aimrun; Rowshon, M. K.</t>
  </si>
  <si>
    <t>A tropical country like Malaysia is characterized by intense localized precipitation with temperatures remaining relatively constant throughout the year. A stochastic modeling of precipitation in the flood-prone Kelantan River Basin is particularly challenging due to the high intermittency of precipitation events of the northeast monsoons. There is an urgent need to have long series of precipitation in modeling the hydrological responses. A single-site stochastic precipitation model that includes precipitation occurrence and an intensity model was developed, calibrated, and validated for the Kelantan River Basin. The simulation process was carried out separately for each station without considering the spatial correlation of precipitation. The Markov chains up to the fifth-order and six distributions were considered. The daily precipitation data of 17 rainfall stations for the study period of 1954-2013 were selected. The results suggested that second- and third-order Markov chains were suitable for simulating monthly and yearly precipitation occurrences, respectively. The fifth-order Markov chain resulted in overestimation of precipitation occurrences. For the mean, distribution, and standard deviation of precipitation amounts, the exponential, gamma, log-normal, skew normal, mixed exponential, and generalized Pareto distributions performed superiorly. However, for the extremes of precipitation, the exponential and log-normal distributions were better while the skew normal and generalized Pareto distributions tend to show underestimations. The log-normal distribution was chosen as the best distribution to simulate precipitation amounts. Overall, the stochastic precipitation model developed is considered a convenient tool to simulate the characteristics of precipitation in the Kelantan River Basin.</t>
  </si>
  <si>
    <t>[Ng, Jing Lin; Abd Aziz, Samsuzana; Wayayok, Aimrun; Rowshon, M. K.] Univ Putra Malaysia, Dept Biol &amp; Agr Engn, Fac Engn, Serdang 43400, Selangor, Malaysia; [Huang, Yuk Feng] Univ Tunku Abdul Rahman, Lee Kong Chian Fac Engn &amp; Sci, Dept Civil Engn, Kuala Lumpur, Malaysia</t>
  </si>
  <si>
    <t>Ministry of Education Malaysia (MOE)</t>
  </si>
  <si>
    <t>The authors are appreciative of and thankful to the Malaysian Meteorological Department (MMD) for providing the daily precipitation data and the Ministry of Education Malaysia (MOE) for the financial support. The authors also acknowledge and sincerely appreciate the valuable comments of the reviewers.</t>
  </si>
  <si>
    <t>10.1007/s00704-017-2202-x</t>
  </si>
  <si>
    <t>WOS:000436245600038</t>
  </si>
  <si>
    <t>Omotosho, T. V.; Mandeep, J. S.; Abdullah, M.</t>
  </si>
  <si>
    <t>Cloud cover statistics and their diurnal variation have been obtained from in situ and satellite measurements for three equatorial locations. Cloud liquid water content, 0 degrees C isotherm height and cloud attenuation have also been obtained from radiosonde measurement using the so-called Salonen model at Kuala Lumpur (Malaysia). The results show a strong seasonal variation of cloud cover and cloud liquid water content on the two monsoon seasons. The Liquid Water Content (LWC) obtained from radiosonde and the Tropical Rainfall Measuring Mission (TRMM) Microwave Imager (TMI) is higher during the Northeast Monsoon season, which corresponds to the period of higher percentage cloud cover and high rainfall accumulation. The International Telecommunication Union - Region (ITU-R) model underestimates the cumulative distribution of LWC values at the present station. The relationship of the cloud attenuation, derived from the profiles of liquid water density and temperature within the cloud, shows an underestimate by the data obtained from the ITU-R model. The cloud attenuation at Kuala Lumpur is somewhat underestimated by the ITU-R model up to about 1.2 dB at Ka (30 GHz) and 3.4 dB at V (50 GHz) bands. The results of the specific attenuation can be used for the estimation of cloud attenuation at microwave and millimetre wave over earth-space paths. The present data are important for planning and design of satellite communications at Ka and V bands on the Earth-space path in the equatorial region.</t>
  </si>
  <si>
    <t>[Omotosho, T. V.] Covenant Univ, Coll Sci &amp; Technol, Dept Phys, Ota, Nigeria; [Omotosho, T. V.; Mandeep, J. S.; Abdullah, M.] Univ Kebangsaan Malaysia, Inst Space Sci, Ukm Bangi, Malaysia; [Omotosho, T. V.; Mandeep, J. S.; Abdullah, M.] Univ Kebangsaan Malaysia, Dept Elect Elect &amp; Syst Engn, Ukm Bangi, Malaysia</t>
  </si>
  <si>
    <t>Covenant University; Universiti Kebangsaan Malaysia; Universiti Kebangsaan Malaysia</t>
  </si>
  <si>
    <t>Malaysian Government through Universiti Kebangsaan Malaysia under the Science Fund</t>
  </si>
  <si>
    <t>The authors wish to acknowledge the Institute of Space Science, Universiti Kebangsaan Malaysia. This research is jointly funded by the Malaysian Government through Universiti Kebangsaan Malaysia under the Science Fund 04-01-02-SF0599, UKM-GUP.NBT-08-28-115 and UKM-DLP-2011-003.</t>
  </si>
  <si>
    <t>10.1002/met.1417</t>
  </si>
  <si>
    <t>WOS:000339954700032</t>
  </si>
  <si>
    <t>Hassan, Zulkarnain; Shamsudin, Supiah; Harun, Sobri</t>
  </si>
  <si>
    <t>Climate change is believed to have significant impacts on the water basin and region, such as in a runoff and hydrological system. However, impact studies on the water basin and region are difficult, since general circulation models (GCMs), which are widely used to simulate future climate scenarios, do not provide reliable hours of daily series rainfall and temperature for hydrological modeling. There is a technique named as downscaling techniques, which can derive reliable hour of daily series rainfall and temperature due to climate scenarios from the GCMs output. In this study, statistical downscaling models are used to generate the possible future values of local meteorological variables such as rainfall and temperature in the selected stations in Peninsular of Malaysia. The models are: (1) statistical downscaling model (SDSM) that utilized the regression models and stochastic weather generators and (2) Long Ashton research station weather generator (LARS-WG) that only utilized the stochastic weather generators. The LARS-WG and SDSM models obviously are feasible methods to be used as tools in quantifying effects of climate change condition in a local scale. SDSM yields a better performance compared to LARS-WG, except SDSM is slightly underestimated for the wet and dry spell lengths. Although both models do not provide identical results, the time series generated by both methods indicate a general increasing trend in the mean daily temperature values. Meanwhile, the trend of the daily rainfall is not similar to each other, with SDSM giving a relatively higher change of annual rainfall compared to LARS-WG.</t>
  </si>
  <si>
    <t>[Hassan, Zulkarnain; Harun, Sobri] Univ Teknol Malaysia, Fac Civil Engn FKA, Skudai 81310, Johor, Malaysia; [Shamsudin, Supiah] Univ Teknol Malaysia Kuala Lumpur, Razak Sch Engn &amp; Adv Technol, Kuala Lumpur 54100, Malaysia</t>
  </si>
  <si>
    <t>Ministry of Higher Education Malaysia(Ministry of Education, Malaysia); Universiti Teknologi Malaysia</t>
  </si>
  <si>
    <t>This work had been financially supported by the Ministry of Higher Education Malaysia, under EScience Fund vote 79385 and Universiti Teknologi Malaysia. The authors would like to thank Malaysia Meteorological Department for providing the data and technical support. Thanks to all software developers, especially to Dawson C. W. (SDSM 4.2) and Semenov M. A. (LARS-WG) for their valuable support and prompt feedbacks through e-mail contacts.</t>
  </si>
  <si>
    <t>10.1007/s00704-013-0951-8</t>
  </si>
  <si>
    <t>WOS:000333121800019</t>
  </si>
  <si>
    <t>Cruz-Rico, Jorge; Rivas, David; Tejeda-Martinez, Adalberto</t>
  </si>
  <si>
    <t>Herein, we present an analysis of the variability of surface air temperature at Tampico in the southern coast of Tamaulipas, northeastern Mexico, during the period 1961-2009. Several indices were used for the analysis which include the yearly highest and lowest records of maximum and minimum daily temperatures, the start and duration of the annual warm period, the temperature of the yearly warmest month, and the annual thermal oscillation. Linear trends indicate that winter temperatures are increasing (roughly 1 degrees C decade(-1)), whereas summer temperatures have remained practically unchanged. The annual warm period starts on days 83-108 of every year and lasts 180-240 days, but there is also an apparent periodicity of 15-18 years in the occurrence of the shortest warm periods. After mid-1970s, the warm periods have decreased roughly 6 days per decade, but the temperature of the annual warmest month has increased roughly 0.50 degrees C decade(-1), this indicates that warm periods (spring-summer) are becoming shorter but warmer. Large-scale climatic patterns also affect the low-frequency thermal variability at Tampico: the Atlantic Multidecadal Oscillation modulates the summer temperature, while El Nino variability modulates a fraction of the annual thermal oscillation via mainly delayed signals passing through the Caribbean. The higher frequency variability observed as numerous anomalous years in the temperature series may be explained mostly by dynamical factors such as a decreased southerly heat flux and/or an increased northerly heat flux (like in the year 1974), or a reduction of the annual warm period and precipitation in the northeastern Mexican coast associated with the El Nino activity (like in the year 1998). However, some cold periods may be attributable to vulcanic eruptions like those of the Chichonal (in Mexico) and the Pinatubo (in Philippines).</t>
  </si>
  <si>
    <t>[Cruz-Rico, Jorge; Rivas, David] CICESE, Dept Oceanog Biol, Ensenada 22860, Baja California, Mexico; [Tejeda-Martinez, Adalberto] Univ Veracruzana, Grp Climatol Aplicada, Xalapa 91000, Veracruz, Mexico</t>
  </si>
  <si>
    <t>CICESE - Centro de Investigacion Cientifica y de Educacion Superior de Ensenada; Universidad Veracruzana</t>
  </si>
  <si>
    <t>Project COTACYT FOMIX-Tamaulipas; CONACYT(Consejo Nacional de Ciencia y Tecnologia (CONACyT))</t>
  </si>
  <si>
    <t>This research was funded by Project COTACYT FOMIX-Tamaulipas #149333 through an undergraduate scholarship to JCR. Project management by Dr Rogelio Ortega-Izaguirre to grant this scholarship is thankfully acknowledged. DR was funded by Project CONACYT CB-2009-128940-F. Part of the results in this paper were obtained during a visit of JCR to CICESE, which was also funded by Project CONACYT CB-2009-128940-F. The data of TSI were kindly provided by Willie Soon (Solar and Stellar Physics Division-Harvard-Smithsonian Center for Astrophysics, United States) and Victor Velasco (Instituto de Geofisica-UNAM, Mexico). We also thank two anonymous reviewers for their comments and suggestions to an earlier version of this manuscript.</t>
  </si>
  <si>
    <t>10.1002/joc.4200</t>
  </si>
  <si>
    <t>WOS:000360917500003</t>
  </si>
  <si>
    <t>Chen, Junming; Xia, Lan; Lyu, Junmei; Li, Lun</t>
  </si>
  <si>
    <t>In summer, the Yangtze River valley (YRV) in central-eastern China frequently suffers consecutive extreme rainfall (CER) events, causing floods and huge damages. On the daily timescale, our previous study has shown that the Pacific-Japan (PJ) teleconnection is related to the CER events over the YRV, and is a source for long-term (lead time of about 10 days) forecasts of CER events. To facilitate extended-range (lead time of about 20 days) prediction of CER, in the present study, we use the band-pass filter for the PJ teleconnection to keep only the prolonged atmospheric circulation information at the intraseasonal timescale and try to identify more advanced precursors for the CER events over the YRV. Power spectrum analysis was implemented on 9-day sliding mean of the precipitation anomalies. It is found that summer precipitation in YRV has significant 10-40-day oscillations, and the CER events over the YRV are affected by the intraseasonal oscillation (ISO) of the PJ teleconnection. When the ISO of the PJ teleconnection enters its positive phase, it is favorable for CER events to occur. Dynamic diagnoses and model experiments demonstrate that the ISO of the PJ teleconnection is attributed to the intraseasonal convective activities and diabatic heating around the Philippines, which generate significant northward energy dispersion and propagation of Rossby waves up to 16 days prior to occurrences of the CER events in the YRV. The ISO of the PJ teleconnection and the convective activities in the tropical South Asia provide significant and earlier precursors for extended-range forecasts of the CER events along the YRV.</t>
  </si>
  <si>
    <t>[Chen, Junming; Lyu, Junmei; Li, Lun] China Meteorol Adm CMA, Chinese Acad Meteorol Sci, State Key Lab Severe Weather, Beijing 100081, Peoples R China; [Xia, Lan] Yunnan Univ, Dept Atmospher Sci, Kunming 650500, Peoples R China; [Chen, Junming] CMA Xiongan Atmospher Boundary Layer Key Lab, Xiongan New Area 071799, Peoples R China; [Li, Lun] Nanjing Univ Informat Sci &amp; Technol, Collaborat Innovat Ctr Forecast &amp; Evaluat Meteorol, Nanjing 210044, Peoples R China</t>
  </si>
  <si>
    <t>China Meteorological Administration; Chinese Academy of Meteorological Sciences (CAMS); Yunnan University; Nanjing University of Information Science &amp; Technology</t>
  </si>
  <si>
    <t>Strategic Priority Research Program of Chinese Academy of Sciences(Chinese Academy of Sciences); National Key Research and Development Program of China; Basic Research Fund of Chinese Academy of Meteorological Sciences; National Natural Science Foundation of China(National Natural Science Foundation of China (NSFC)); Jiangsu Collaborative Innovation Center for Climate Change</t>
  </si>
  <si>
    <t>Supported by the Strategic Priority Research Program of Chinese Academy of Sciences (XDA20100300), National Key Research and Development Program of China (2019YFC1509101 and 2021YFC2802504), Basic Research Fund of Chinese Academy of Meteorological Sciences (2021Z007), National Natural Science Foundation of China (41375091 and 41205056), and Jiangsu Collaborative Innovation Center for Climate Change.</t>
  </si>
  <si>
    <t>10.1007/s13351-023-2165-z</t>
  </si>
  <si>
    <t>WOS:001032031700004</t>
  </si>
  <si>
    <t>Manzanas, R.; Lucero, A.; Weisheimer, A.; Gutierrez, J. M.</t>
  </si>
  <si>
    <t>Statistical downscaling methods are popular post-processing tools which are widely used in many sectors to adapt the coarse-resolution biased outputs from global climate simulations to the regional-to-local scale typically required by users. They range from simple and pragmatic Bias Correction (BC) methods, which directly adjust the model outputs of interest (e.g. precipitation) according to the available local observations, to more complex Perfect Prognosis (PP) ones, which indirectly derive local predictions (e.g. precipitation) from appropriate upper-air large-scale model variables (predictors). Statistical downscaling methods have been extensively used and critically assessed in climate change applications; however, their advantages and limitations in seasonal forecasting are not well understood yet. In particular, a key problem in this context is whether they serve to improve the forecast quality/skill of raw model outputs beyond the adjustment of their systematic biases. In this paper we analyze this issue by applying two state-of-the-art BC and two PP methods to downscale precipitation from a multimodel seasonal hindcast in a challenging tropical region, the Philippines. To properly assess the potential added value beyond the reduction of model biases, we consider two validation scores which are not sensitive to changes in the mean (correlation and reliability categories). Our results show that, whereas BC methods maintain or worsen the skill of the raw model forecasts, PP methods can yield significant skill improvement (worsening) in cases for which the large-scale predictor variables considered are better (worse) predicted by the model than precipitation. For instance, PP methods are found to increase (decrease) model reliability in nearly 40% of the stations considered in boreal summer (autumn). Therefore, the choice of a convenient downscaling approach (either BC or PP) depends on the region and the season.</t>
  </si>
  <si>
    <t>[Manzanas, R.; Gutierrez, J. M.] Univ Cantabria, CSIC, Inst Phys Cantabria IFCA, Meteorol Group, E-39005 Santander, Spain; [Lucero, A.] PAGASA, Quezon City, Philippines; [Weisheimer, A.] Univ Oxford, NCAS, Dept Phys, Oxford OX1 3PU, England; [Weisheimer, A.] European Ctr Medium Range Weather Forecasts ECMWF, Reading RG2 9AX, Berks, England</t>
  </si>
  <si>
    <t>Consejo Superior de Investigaciones Cientificas (CSIC); Universidad de Cantabria; CSIC - Instituto de Fisica de Cantabria (IFCA); University of Oxford; European Centre for Medium-Range Weather Forecasts (ECMWF)</t>
  </si>
  <si>
    <t>European Commission(European Union (EU)European Commission Joint Research Centre); SPECS project; EUPORIAS project; project MULTI-SDM (MINECO/FEDER); NERC(UK Research &amp; Innovation (UKRI)Natural Environment Research Council (NERC)); Natural Environment Research Council(UK Research &amp; Innovation (UKRI)Natural Environment Research Council (NERC))</t>
  </si>
  <si>
    <t>This study was partially supported by the SPECS and EUPORIAS projects, funded by the European Commission through the Seventh Framework Programme for Research under grant agreements 308378 and 308291, respectively. JMG acknowledges partial support from the project MULTI-SDM (CGL2015-66583-R, MINECO/FEDER). Also, the authors are grateful to PAGASA for the data provided.</t>
  </si>
  <si>
    <t>10.1007/s00382-017-3668-z</t>
  </si>
  <si>
    <t>WOS:000425328700025</t>
  </si>
  <si>
    <t>Mishra, Bhogendra; Busetto, Lorenzo; Boschetti, Mirco; Laborte, Alice; Nelson, Andrew</t>
  </si>
  <si>
    <t>Information on when and where rice is planted and harvested is important for crop management under a changing climate and for monitoring crop production for early warning and market information systems. The diversity of plant genetic, crop management, and environmental conditions leads to a wide variation in the number of rice crops per year and the dates of crop establishment and harvesting across Asia. Asia-wide rice crop calendars exist (e.g., RiceAtlas) but are based on heterogeneous data sources with varying levels of detail and are challenging to update. Earth observations can contribute to consistent and replicable crop calendars. Here we demonstrate and validate a method for generating a rice crop calendar across Asia. Our analysis at administrative unit-level is based on pixel-level analysis with the PhenoRice algorithm using MODIS imagery (2003-16) to estimate start of season (SoS) and end of season (EoS) dates. PhenoRice outputs were post-processed to generate representative statistics on the number of rice crop seasons per year and their SoS/EoS dates per administrative unit across Asia, called RICA (a RIce crop Calendar for Asia). RICA SoS and EoS dates across all seasons correlated strongly with RiceAtlas crop establishment and harvesting dates (R2 of 0.88 and 0.82 respectively, n = 1,186). The mean absolute errors were around 26 and 33 days for SoS and EoS, respectively. A detailed assessment in the Philippines where data in RiceAtlas are particularly accurate had even better results (R2 of 0.93 and 0.85 respectively, n = 131). Comparisons to other published rice calendars also suggested that RICA captured rice cropping season dates well. Our study results in a unique and validated method to estimate rice crop calendar information on continental scale from remote sensing data.</t>
  </si>
  <si>
    <t>[Mishra, Bhogendra; Nelson, Andrew] Univ Twente, Dept Nat Resources, ITC Fac Geoinformat Sci &amp; Earth Observat, Enschede, Netherlands; [Mishra, Bhogendra] Sci Hub, Kathmandu, Nepal; [Busetto, Lorenzo; Boschetti, Mirco] Italian Natl Res Council, Inst Electromagnet Sensing Environm, Via Bassini 15, I-20133 Milan, Italy; [Laborte, Alice] Int Rice Res Inst, Los Banos, Philippines</t>
  </si>
  <si>
    <t>University of Twente; Consiglio Nazionale delle Ricerche (CNR); Istituto Per Il Rilevamento Elettromagnetico Dell'Ambiente (IREA-CNR); CGIAR; International Rice Research Institute (IRRI)</t>
  </si>
  <si>
    <t>10.1016/j.jag.2021.102471</t>
  </si>
  <si>
    <t>WOS:000697100100003</t>
  </si>
  <si>
    <t>Martin, Gill M.; Levine, Richard C.; Rodriguez, Jose M.; Vellinga, Michael</t>
  </si>
  <si>
    <t>Despite the importance of monsoon rainfall to over half of the world's population, many climate models of the current generation struggle to capture some of the major features of the various monsoon systems. Studies of the development of errors in several tropical regions have shown that they start to develop very quickly, within the first few days of a model simulation, and can then persist to climate timescales. Understanding the sources of such errors requires the combination of various modelling techniques and sensitivity experiments of varying complexity. Here, we demonstrate how such analysis can shed light on the way in which monsoon errors develop, their local and remote drivers and feedbacks. We make use of the seamless modelling approach adopted by the Met Office, whereby different applications of the Met Office Unified Model (MetUM) use essentially the same model configuration (dynamical core and physical parameterisations) across a range of spatial and temporal scales. Using the Asian summer monsoon (ASM) as an example, we show that error patterns in circulation and rainfall over the ASM region in the MetUM are similar between multidecadal climate simulations and seasonal hindcasts initialised in spring. Analysis of the development of these errors on both short-range and seasonal timescales following model initialisation suggests that both the Maritime Continent and the oceans around the Philippines play a role in the development of East Asian summer monsoon errors, with the Indian summer monsoon region providing an additional contribution, while the errors over the Indian summer monsoon region itself appear to arise locally. Regional modelling with various lateral boundary locations helps to separate local and remote contributions to the errors, while regional relaxation experiments shed light on the influence of errors developing within particular areas on the region as a whole. (C) Crown copyright 2021</t>
  </si>
  <si>
    <t>[Martin, Gill M.; Levine, Richard C.; Rodriguez, Jose M.; Vellinga, Michael] Met Off, Exeter EX1 3PB, Devon, England</t>
  </si>
  <si>
    <t>Met Office - UK</t>
  </si>
  <si>
    <t>Newton Fund (UK-China Research &amp; Innovation Partnership Fund through the Met Office Climate Science for Service Partnership (CSSP) China); (Weather and Climate Science for Service Partnership (WCSSP) India)</t>
  </si>
  <si>
    <t>This research has been supported by the Newton Fund (UK-China Research &amp; Innovation Partnership Fund through the Met Office Climate Science for Service Partnership (CSSP) China and the Weather and Climate Science for Service Partnership (WCSSP) India).</t>
  </si>
  <si>
    <t>1991-959X</t>
  </si>
  <si>
    <t>1991-9603</t>
  </si>
  <si>
    <t>GEOSCI MODEL DEV</t>
  </si>
  <si>
    <t>Geosci. Model Dev.</t>
  </si>
  <si>
    <t>FEB 23</t>
  </si>
  <si>
    <t>10.5194/gmd-14-1007-2021</t>
  </si>
  <si>
    <t>WOS:000622998100001</t>
  </si>
  <si>
    <t>Zou, Liwei; Zhou, Tianjun; Tang, Jianping; Liu, Hailong</t>
  </si>
  <si>
    <t>Regional coupled modeling is one of the frontiers of regional climate modeling, but intercomparison has not been well coordinated. In this study, a community regional climate model, WRF4, with a resolution of 15 km, was coupled with a high-resolution (0.1 degrees) North Pacific Ocean model (LICOM_np). The performance of the regional coupled model, WRF4_LICOM, was compared to that of another regional coupled model, RegCM4_LICOM, which was a coupling of version 4 of the Regional Climate Model (RegCM4) with LICOM_np. The analysis focused on the 2005 western North Pacific summer monsoon rainfall. The results showed that the regional coupled models with either RegCM4 or WRF4 as their atmospheric model component simulated the broad features over the WNP reasonably well. Quantitative intercomparison of the regional coupled simulations exhibited different biases for different climate variables. RegCM4_LICOM exhibited smaller biases in its simulation of the averaged June-July-August SST and rainfall, while WRF4_LICOM better captured the tropical cyclone (TC) intensity, the percentage contributions of rainfall induced by TCs to the total rainfall, and the diurnal cycle of rainfall and stratiform percentages, especially over land areas. The different behaviors in rainfall simulated by the two models were partly ascribed to the behaviors in the simulated western North Pacific subtropical high (WNPSH). The stronger (weaker) WNPSH in WRF4_LICOM (RegCM4_LICOM) was driven by overestimated (underestimated) diabatic heating, which peaked at approximately 450 hPa over the region around the Philippines in association with different condensation-radiation processes. Coupling of WRF4 with LIOCM is a crucial step towards the development of the next generation of regional earth system models at the Chinese Academy of Sciences.</t>
  </si>
  <si>
    <t>[Zou, Liwei; Zhou, Tianjun; Liu, Hailong] Chinese Acad Sci, State Key Lab Numer Modeling Atmospher Sci &amp; Geop, Inst Atmospher Phys, Beijing 100029, Peoples R China; [Zou, Liwei; Zhou, Tianjun] Chinese Acad Sci, Chinese Acad Sci Ctr Excellence Tibetan Plateau E, Beijing 100101, Peoples R China; [Tang, Jianping] Nanjing Univ, Sch Atmospher Sci, Nanjing 210023, Peoples R China; [Zhou, Tianjun; Liu, Hailong] Univ Chinese Acad Sci, Coll Earth &amp; Planetary Sci, Beijing 100049, Peoples R China</t>
  </si>
  <si>
    <t>Chinese Academy of Sciences; Institute of Atmospheric Physics, CAS; Chinese Academy of Sciences; Nanjing University; Chinese Academy of Sciences; University of Chinese Academy of Sciences, CAS</t>
  </si>
  <si>
    <t>National Key Research and Development Program of China; National Natural Science Foundation of China(National Natural Science Foundation of China (NSFC)); Jiangsu Collaborative Innovation Center for Climate Change</t>
  </si>
  <si>
    <t>The comments from the reviewers, which significantly improved the manuscript, are greatly appreciated. All the observational datasets used in this study are listed in the references, and the model results used have been archived in fig-share (https://doi.org/10.6084/m9.figshare.9917459.v1).This work was jointly supported by the National Key Research and Development Program of China (Grant No. 2018YFA0606003), the National Natural Science Foundation of China (Grant Nos. 41875132 and 41575105), and the Jiangsu Collaborative Innovation Center for Climate Change.</t>
  </si>
  <si>
    <t>10.1007/s00376-020-9268-6</t>
  </si>
  <si>
    <t>WOS:000552173600001</t>
  </si>
  <si>
    <t>Vu Duy Vinh; Ouillon, Sylvain; Nguyen Minh Hai</t>
  </si>
  <si>
    <t>Based on the Mann-Kendall test and Sen's slope method, this study investigates the monthly, seasonal, and annual sea surface temperature (SST) trends in the coastal area of Hai Phong (West of Tonkin Gulf) based on the measurements at Hon Dau Station from 1995 to 2020. The results show a sea surface warming trend of 0.02 degrees C/year for the period 1995-2020 (significant level alpha = 0.1) and of 0.093 degrees C/year for the period 2008-2020 (significant level alpha = 0.05). The monthly SSTs in June and September increased by 0.027 degrees C/year and 0.036 degrees C/year, respectively, for the period 1995-2020, and by 0.080 degrees C/year and 0.047 degrees C/year, respectively, for the period 2008-2020. SST trends in winter, summer, and other months were either different for the two periods or not significant enough. This may be due to the impact of ENSO, which caused interannual SST variability in the Hai Phong coastal with two intrinsic mode functions (IMF) signals a period of similar to 2 (IMF3) and similar to 5.2 years cycle (IMF4). A combination of these signals had a maximum correlation of 0.22 with ONI (Oceanic Nino Index) delayed by 8 months. ENSO events took similar to 8 months to affect SST at Hai Phong coastal area for 1995-2020 and caused a variation of SST within 1.2 degrees C.</t>
  </si>
  <si>
    <t>[Vu Duy Vinh; Nguyen Minh Hai] VAST, Inst Marine Environm &amp; Resources, Haiphong City 04216, Vietnam; [Ouillon, Sylvain] Univ Toulouse, CNRS, CNES, UPS,IRD,UMR LEGOS, 14 Ave Edouard Belin, F-31400 Toulouse, France; [Ouillon, Sylvain] Univ Sci &amp; Technol Hanoi USTH, Dept Water Environm Oceanog, VAST, Hanoi 100000, Vietnam; [Nguyen Minh Hai] VAST, Grad Univ Sci &amp; Technol, Hanoi, Vietnam</t>
  </si>
  <si>
    <t>Vietnam Academy of Science &amp; Technology (VAST); Universite de Toulouse; Universite Toulouse III - Paul Sabatier; Centre National de la Recherche Scientifique (CNRS); Institut de Recherche pour le Developpement (IRD); Laboratoire d'Etudes en Geophysique et oceanographie spatiales; Vietnam Academy of Science &amp; Technology (VAST); University of Science &amp; Technology of Hanoi (USTH); Vietnam Academy of Science &amp; Technology (VAST)</t>
  </si>
  <si>
    <t>This study is benefited from the support of VAST05.05/21-22, NDT.97.BE/20 and DT.MT.2017.792 projects. This paper also contributes to the LOTUS International Joint Laboratory (http://lotus.usth.edu.vn) .</t>
  </si>
  <si>
    <t>10.15625/2615-9783/16874</t>
  </si>
  <si>
    <t>WOS:000767348300005</t>
  </si>
  <si>
    <t>Zhu, Yaohua; Fang, Guohong; Wei, Zexun; Wang, Yonggang; Teng, Fei; Qu, Tangdong</t>
  </si>
  <si>
    <t>We have proposed a five-layer-scheme to investigate the volume transport through the South China Sea (SCS) based on the updated Simple Ocean Data Assimilation (SODA2.2.4) product. By demonstrating horizontal transport in each layer, we have revealed different formation mechanisms for the meridional overturning circulation (MOC) in winter and summer in the SCS. Our analysis suggests three meridional circulation systems in the SCS: (1) the seasonal monsoon-driven circulation in the surface layer, i. e., southward circulation in winter and northward in summer, (2) the compensatory transport-induced seasonal intermediate MOC in the central SCS, and (3) the persistent deep MOC in the southern SCS all year round. By examining vertical velocity distribution, we have identified that the major overturning process of the intermediate MOC is located along the continental slope east and southeast of Vietnam, while the major overturning process of the deep MOC is located along the continental slope northwest of Borneo. The downwelling in the intermediate MOC in winter and upwelling in the deep MOC all year round bring different water masses to the intermediate and subintermediate layers to be mixed in the SCS. We found no evidence to suggest that the strength and extent of the MOC south of 188N are related to inter-ocean volume transport. The surface layer transport in the Luzon Strait has been decreasing since the 1960s. However, the causes of the meridionally staggered and interdecadal alternating acceleration/ slowdown of the meridional stream function difference are unknown.</t>
  </si>
  <si>
    <t>[Zhu, Yaohua; Fang, Guohong; Wei, Zexun; Wang, Yonggang; Teng, Fei] State Ocean Adm, Inst Oceanog 1, Key Lab Marine Sci &amp; Numer Modeling, Qingdao, Peoples R China; [Zhu, Yaohua; Fang, Guohong; Wei, Zexun; Wang, Yonggang; Teng, Fei] Qingdao Natl Lab Marine Sci &amp; Technol, Lab Reg Oceanog &amp; Numer Modeling, Qingdao, Peoples R China; [Qu, Tangdong] Univ Calif Los Angeles, Joint Inst Reg Earth Syst Sci &amp; Engn, Los Angeles, CA USA</t>
  </si>
  <si>
    <t>First Institute of Oceanography, Ministry of Natural Resources; Laoshan Laboratory; University of California System; University of California Los Angeles</t>
  </si>
  <si>
    <t>National Basic Research Program Grant of China(National Basic Research Program of China); NSFC-Shandong Joint Fund for Marine Science Research Centers; National High Technology Research and Development Program of China(National High Technology Research and Development Program of China); National Program on Global Change and Air-Sea Interaction</t>
  </si>
  <si>
    <t>This study was supported by the National Basic Research Program Grant of China (project 2011CB403502), NSFC-Shandong Joint Fund for Marine Science Research Centers (grant U1406404), the National High Technology Research and Development Program of China (project 2013AA09A506), and the National Program on Global Change and Air-Sea Interaction (project GASI-03-01-01-04). We are grateful to two anonymous reviewers for constructive comments and suggestions on an earlier version of this manuscript. We also would like to thank Shu Qi for drawing part of the figures on an earlier version of the manuscript. The SODA2.2.4 is available from http://soda.tamu.edu.</t>
  </si>
  <si>
    <t>10.1002/2015JC011443</t>
  </si>
  <si>
    <t>WOS:000383466500015</t>
  </si>
  <si>
    <t>Chi Lang Le Phuc; Hoang Son Nguyen; Cham Dao Dinh; Ngoc Bay Tran; Quoc Bao Pham; Xuan Cuong Nguyen</t>
  </si>
  <si>
    <t>The central region of Vietnam has a tropical monsoon climate but often undergoes heat waves due to uncontrolled urbanization, foehn winds, and climate change. Water bodies are considered effective candidates for heat mitigation in cities through the water cooling island (WCI) effect. Quantifying the WCI capacity of water areas and related factors is necessary for sites with advantages of surface water. The current attempt used the WCI effect range (L-max), temperature drop amplitude (Delta T-max), and temperature gradient (Gtemp) to investigate the cooling effect of 20 lakes in the Thanh Noi region, Hue City. Data derived from high-resolution Google Earth, Landsat-8 Satellite Imagery Data, and ground truth. The results show that the average water temperature of the 20 studied lakes was about 36.61 degrees C, lower than the average temperature in the area with an urban heat island (UHI) of about 2.82 degrees C. The mean L-max was 150 m, Delta T-max was 1.52 degrees C, and Gtemp was 10.16 degrees C /km or 0.01 degrees C/m. Climate characteristics and human impacts had reduced the ability of the lakes to create WCI during the period when the lake water level was low. The factors that influenced the WCI significantly were the landscape shape index (LSI), the proportion of green (PG), and the percentage of impervious surfaces (PI). Most lakes with relatively simple LSI, high PG, and low PI obtained high WCI, suggesting that structural and landscape characteristics played a critical role in urban cooling.</t>
  </si>
  <si>
    <t>[Chi Lang Le Phuc; Hoang Son Nguyen] Hue Univ, Univ Educ, Hue City, Vietnam; [Hoang Son Nguyen] Hue Univ, Open Educ &amp; Informat Technol, 05 Ha Noi, Hue City, Vietnam; [Cham Dao Dinh] Vietnam Acad Sci &amp; Technol, Inst Geog, 18 Hoang Quoc Viet, Hanoi 100000, Vietnam; [Cham Dao Dinh] Grad Univ Sci &amp; Technol, Vietnam Acad Sci &amp; Technol, 18 Hoang Quoc Viet, Hanoi 100000, Vietnam; [Ngoc Bay Tran] Huong Thuy High Sch, Huong Thuy Dist, Thua Thien Hue, Vietnam; [Quoc Bao Pham] Univ Silesia Katowice, Fac Nat Sci, Inst Earth Sci, Bedzinska St 60, PL-41200 Sosnowiec, Poland; [Xuan Cuong Nguyen] Duy Tan Univ, Ctr Adv Chem, Inst Res &amp; Dev, Da Nang 550000, Vietnam; [Xuan Cuong Nguyen] Duy Tan Univ, Fac Environm Chem Engn, Da Nang 550000, Vietnam</t>
  </si>
  <si>
    <t>Hue University; Hue University; Vietnam Academy of Science &amp; Technology (VAST); Vietnam Academy of Science &amp; Technology (VAST); University of Silesia in Katowice; Duy Tan University; Duy Tan University</t>
  </si>
  <si>
    <t>10.1007/s00704-022-04085-6</t>
  </si>
  <si>
    <t>WOS:000795755000001</t>
  </si>
  <si>
    <t>Cotton, Laura J.; Pearson, Paul N.; Renema, Willem</t>
  </si>
  <si>
    <t>Important long-ranging groups of larger benthic foraminifera (LBF) are known to have become extinct during a period of global cooling and climate disruption at the Eocene-Oligocene transition (EOT) but the precise timing and mechanisms are uncertain. Recent study showed unexpectedly that the LBF extinction in Tanzania occurs very close to the Eocene/Oligocene boundary, as recognised by the extinction of the planktonic foraminiferal Family Hantkeninidae, rather than at the later period of maximum global ice growth and sea-level fall, as previously thought. Here we investigate the same phase of extinction in the Melinau Limestone of Sarawak, on the island of Borneo, Malaysia one of the most complete carbonate successions spanning the Eocene to Lower Miocene. Assemblages of LBF from the Melinau Limestone were studied extensively by Geoffrey Adams during the 1960s-80s, confirming a major extinction during the EOT, but the section lacked independent means of correlation. By analysing rock samples originally studied by Adams and now in the Natural History Museum, London, we provide new bulk stable isotope (delta C-13 and delta O-18) records. This enables us to identify, albeit tentatively, the level of maximum stable isotope excursion and show that the LBF extinction event in the Melinau Limestone occurs below this isotope excursion, supporting the results from Tanzania and indicating that the extinction of LBF close to the Eocene/Oligocene boundary may be a global phenomenon. (C) 2013 Elsevier Ltd. All rights reserved.</t>
  </si>
  <si>
    <t>[Cotton, Laura J.; Pearson, Paul N.] Cardiff Univ, Sch Earth &amp; Ocean Sci, Cardiff CF10 3AT, S Glam, Wales; [Renema, Willem] Nat Biodivers Ctr, NL-2300 RA Leiden, Netherlands</t>
  </si>
  <si>
    <t>Cardiff University; Naturalis Biodiversity Center</t>
  </si>
  <si>
    <t>NERC-funded project; NERC(UK Research &amp; Innovation (UKRI)Natural Environment Research Council (NERC)); Natural Environment Research Council(UK Research &amp; Innovation (UKRI)Natural Environment Research Council (NERC))</t>
  </si>
  <si>
    <t>This work was conducted as part of the NERC-funded project NE/I005870/1. The authors would like to thank the NHM, London, especially Dr. Giles Miller, for the loan of samples, Prof. V. Paul Wright for discussions and Dr. Julia Becker for technical assistance (isotope analysis). We also thank two anonymous reviewers for their helpful comments which improved the manuscript.</t>
  </si>
  <si>
    <t>1367-9120</t>
  </si>
  <si>
    <t>1878-5786</t>
  </si>
  <si>
    <t>J ASIAN EARTH SCI</t>
  </si>
  <si>
    <t>J. Asian Earth Sci.</t>
  </si>
  <si>
    <t>JAN 5</t>
  </si>
  <si>
    <t>10.1016/j.jseaes.2013.09.025</t>
  </si>
  <si>
    <t>WOS:000330604900006</t>
  </si>
  <si>
    <t>Mau Dinh Le; Vlasova, Galina; Dung Thi Thuy Nguyen; Hoan Sy Pham; Tuan Van Nguyen</t>
  </si>
  <si>
    <t>Nha Trang Bay is a semi-envelop coastal basin. It is located on the west coast of the South China Sea as well as in the south of the central part of the Vietnamese coast. The climate of the bay belongs to the sub-equatorial zone or to the zone of equatorial-tropical monsoons. Determination of the meteorological characteristics of an ocean region, especially for nearshore bay waters, plays a very important role in the sustainable development of the social-economical system of Vietnam. This paper presents a spatial and temporal long-term analysis of several meteorological characteristics in Nha Trang Bay, such as wind, tropical cyclones, air temperature, air humidity, and rainfall. The meteorological data were collected from the Nha Trang meteorological station during 1977-2015 (wind data until 2020). The data for typhoons were extracted from the National Weather Service (USA) and the Japan Meteorological Agency during 1945-2015. Statistical methods for collecting and analyzing data to estimate the statistical parameters of meteorological characteristics were used in the study. A study of results shows that the meteorological characteristics in the Nha Trang Bay are a seasonal variation of the East Asian monsoon (northeastern-NE and southwestern-SW monsoons). The winds in Nha Trang Bay are the seasonal change, influenced by the NE monsoon from October to April and the SW monsoon from June to August. May and September are the transition periods. Nha Trang Bay has a temperate tropical climate because the temperature regime of the bay ranges from less than 25 degrees C in the winter and more than 28 degrees C in the summer. Extreme conditions, including typhoon activity and heavy rainfall (coinciding with high humidity), occurred in October, November, and December.</t>
  </si>
  <si>
    <t>[Mau Dinh Le; Dung Thi Thuy Nguyen; Hoan Sy Pham; Tuan Van Nguyen] Vietnam Acad Sci &amp; Technol, Inst Oceanog, Nha Trang, Vietnam; [Mau Dinh Le] Grad Univ Sci &amp; Technol, Vietnam Acad Sci &amp; Technol, Hanoi, Vietnam; [Vlasova, Galina] RAS, VI Ilichev Pacific Oceanol Inst, Far Eastern Branch, Vladivostok, Russia</t>
  </si>
  <si>
    <t>Vietnam Academy of Science &amp; Technology (VAST); Vietnam Academy of Science &amp; Technology (VAST); Ilichev Pacific Oceanological Institute; Russian Academy of Sciences</t>
  </si>
  <si>
    <t>Vietnam Academy of Science and Technology (VAST); Il'ichev Pacific Oceanological Institute (POI) FEB RAS Structure and dynamics of the Vietnam waters and their variability due to modern climatic tendencies; Vietnam National project on Study some interaction processes between Sea-Atmosphere-Land and environmental variation corresponding to the context of global climate change within the framework of the IOC/WESTPAC program; POI FEB RAS</t>
  </si>
  <si>
    <t>The authors gratefully acknowledge the support of the joint project between the Vietnam Academy of Science and Technology (VAST) and Il'ichev Pacific Oceanological Institute (POI) FEB RAS Structure and dynamics of the Vietnam waters and their variability due to modern climatic tendencies (Project No: VAST19-020 and QTRU02.04/19-20). And Vietnam National project on Study some interaction processes between Sea-Atmosphere-Land and environmental variation corresponding to the context of global climate change within the framework of the IOC/WESTPAC program (Project No: DTDL.CN-28/17). This work also was carried out with the financial support of the state budgetary theme Investigation of the main processes that determine the state and variability of the oceanological characteristics of the marginal seas of Asia and the adjacent regions of the Pacific and Indian Oceans of POI FEB RAS (Project No:121021700341-2). The main author, the Senior Researcher Dr. Mau Le Dinh, is also thankful to the Vietnam Academy of Science and Technology (VAST) for supporting his scientific activities for the year 2021 (Code: NCVCC17.04/21-21). The authors are also thankful to all colleagues for their kind help and encouragement throughout the preparation of this paper.</t>
  </si>
  <si>
    <t>10.2205/2022ES000791</t>
  </si>
  <si>
    <t>WOS:000925688700003</t>
  </si>
  <si>
    <t>Kuo, Yi-Chun; Tseng, Yu-Heng</t>
  </si>
  <si>
    <t>Studies have suggested that the ocean dynamics in the South China Sea (SCS) play a crucial role in local air-sea processes and the regional weather or climate system. We used a high-resolution regional coupled model to investigate the impact of the El Nino Southern Oscillation (ENSO) on the atmospheric and oceanic processes in the SCS during ENSO decaying winter-spring. The coupled model demonstrates the important roles of mesoscale features in the regional air-sea interaction induced by the anomalous ENSO conditions. During El Nino, the Kuroshio intrusion into the SCS is enhanced which further modifies the upper and middle layer circulation of the SCS. The reduced planetary vorticity transport during El Nino results in a weakened cyclonic circulation and thinner mixed layer in the southern SCS. The modulations of the cyclonic circulation in the southern SCS, Vietnam offshore jet, and the coastal current during ENSO event enhance oceanic advection that favors an ocean-forcing energy exchange to the atmosphere across the air-sea interface. The relative importance of atmospheric and oceanic forcing on the SST change during the ENSO evolution is verified using a heat budget analysis for different regions of SCS. In the El Nino following spring, the advective term due to anomalous Ekman drift dominates the cooling process in the northern and eastern SCS. These thermal structure changes in the SCS are contributed by the wind-current-topography interactions.</t>
  </si>
  <si>
    <t>[Kuo, Yi-Chun; Tseng, Yu-Heng] Natl Taiwan Univ, Inst Oceanog, Taipei, Taiwan</t>
  </si>
  <si>
    <t>The constructive comments from the anonymous reviewers are greatly appreciated. This study is supported by the Ministry of Science and Technology (MOST), Taiwan. Grant # 107 -2611 -M -002-013-M Y4 and 108 -2111 -M-002 -006 -MY3.</t>
  </si>
  <si>
    <t>10.1016/j.ocemod.2020.101655</t>
  </si>
  <si>
    <t>WOS:000550870000003</t>
  </si>
  <si>
    <t>Li, Yuanlong; Han, Weiqing; Wilkin, John L.; Zhang, Weifeng G.; Arango, Hernan; Zavala-Garay, Javier; Levin, Julia; Castruccio, Frederic S.</t>
  </si>
  <si>
    <t>The summertime eastward jet (SEJ) located around 12 degrees N, 110 degrees E-113 degrees E, as the offshore extension of the Vietnam coastal current, is an important feature of the South China Sea (SCS) surface circulation in boreal summer. Analysis of satellite-derived sea level and sea surface wind data during 1992-2012 reveals pronounced interannual variations in its surface strength (S-SEJ) and latitudinal position (Y-SEJ). In most of these years, the JAS (July, August, and September)-mean S-SEJ fluctuates between 0.17 and 0.55 m s(-1), while Y-SEJ shifts between 10.7 degrees N and 14.3 degrees N. These variations of the SEJ are predominantly contributed from the geostrophic current component that is linked to a meridional dipole pattern of sea level variations. This sea level dipole pattern is primarily induced by local wind changes within the SCS associated with the El Nino-Southern Oscillation (ENSO). Enhanced (weakened) southwest monsoon at the developing (decaying) stage of an El Nino event causes a stronger (weaker) SEJ located south (north) of its mean position. Remote wind forcing from the tropical Pacific can also affect the sea level in the SCS via energy transmission through the Philippine archipelago, but its effect on the SEJ is small. The impact of the oceanic internal variability, such as eddy-current interaction, is assessed using an ocean general circulation model (OGCM). Such impact can lead to considerable year-to-year changes of sea level and the SEJ, equivalent to approximate to 20% of the observed variation. This implies the complexity and prediction difficulty of the upper ocean circulation in this region.</t>
  </si>
  <si>
    <t>[Li, Yuanlong; Han, Weiqing] Univ Colorado, Dept Atmospher &amp; Ocean Sci, Boulder, CO 80309 USA; [Wilkin, John L.; Arango, Hernan; Zavala-Garay, Javier; Levin, Julia] Rutgers State Univ, Inst Marine &amp; Coastal Sci, New Brunswick, NJ 08903 USA; [Zhang, Weifeng G.] Woods Hole Oceanog Inst, Dept Appl Ocean Phys &amp; Engn, Woods Hole, MA 02543 USA; [Castruccio, Frederic S.] Natl Ctr Atmospher Res, Climate &amp; Global Dynam Div, Boulder, CO 80307 USA</t>
  </si>
  <si>
    <t>University of Colorado System; University of Colorado Boulder; Rutgers University System; Rutgers University New Brunswick; Woods Hole Oceanographic Institution; National Center Atmospheric Research (NCAR) - USA</t>
  </si>
  <si>
    <t>ONR(United States Department of DefenseUnited States NavyOffice of Naval Research); NSF CAREER(National Science Foundation (NSF)NSF - Office of the Director (OD)); Division Of Ocean Sciences; Directorate For Geosciences(National Science Foundation (NSF)NSF - Directorate for Geosciences (GEO))</t>
  </si>
  <si>
    <t>This research was supported by the ONR grant N00014-12-1-03-23 and the NSF CAREER Award 0847605. Two anonymous reviewers provided useful comments and suggestions for improving our work. We appreciate the help from Office of Information Technology (OIT) of University of Colorado and the National Center for Atmospheric Research (NCAR) CISL for providing computational support. AVISO sea level product is downloaded from http://www.aviso.oceanobs.com/; CCMP sea surface wind data are downloaded from http://podaac.jpl.nasa.gov/; OSCAR ocean current data are available at http://podaac.jpl.nasa.gov/; NOAA OISST V2 data are taken from http://www.esrl.noaa.gov/; Nino-3.4 index is provided by the Climate Prediction Center of NOAA through http://www.cpc.ncep.noaa.gov.</t>
  </si>
  <si>
    <t>10.1002/2014JC010206</t>
  </si>
  <si>
    <t>WOS:000345499700040</t>
  </si>
  <si>
    <t>Lee, Seung Kyu; Truong An Dang</t>
  </si>
  <si>
    <t>Long Xuyen Quadrangle is one of the important agricultural areas of the Mekong Delta of Vietnam accounting for 25% of rice production. In recent years, the area faces drought and salinization problems, as part of climate change impact and sea level rise. These are the main causes that led to the crop water deficits for agricultural production. Therefore, this work was conducted to predict crop water requirement (CWR) based on consideration of other related meteorological factors and further redefine the crop planting calendar (CPC) for three main cropping seasons including winter-spring (WS), summer-autumn (SA) and autumn-spring (AS) using the Cropwat crop model based on the current climate conditions and future climate change scenarios. Meteorological data for the baseline period (2006-2016) and future corresponding to timescales 2020s, 2055s and 2090s of Representative Concentration Pathways (RCP)4.5 and RCP8.5 scenarios are used to predict CWR and CPC for the study area. The results showed that WS and SA crops needed more irrigation water than AS crop and the highest irrigation water requirement of the WS and SA crops occurred on developmental stage, while the AW crop appeared on growth, developmental and late stage for the baseline and timescales of RCP4.5 and RCP8.5 scenarios. Calculation results of the shift of CPC indicated that the CWR of the AW crop decreased lowest approximately 6.6-20.6% for timescales of RCP4.5 scenario and 20.6-25.5% for RCP8.5 scenario compared with the baseline.</t>
  </si>
  <si>
    <t>[Lee, Seung Kyu] Ton Duc Thang Univ, Sustainable Management Nat Resources &amp; Environm R, Fac Environm &amp; Labour Safety, 19 Nguyen Huu Tho Str,Tan Phong Ward,Dist 7, Ho Chi Minh City, Vietnam; [Truong An Dang] VNUHCM Univ Sci, 227 Nguyen Van Cu Str,5 Dist, Ho Chi Minh City, Vietnam</t>
  </si>
  <si>
    <t>Ton Duc Thang University; Vietnam National University Hochiminh City</t>
  </si>
  <si>
    <t>SPRINGER INTERNATIONAL PUBLISHING AG</t>
  </si>
  <si>
    <t>10.1007/s11600-018-0176-4</t>
  </si>
  <si>
    <t>WOS:000448505400020</t>
  </si>
  <si>
    <t>Vu, M. T.; Raghavan, S. V.; Liu, J.; Liong, S-Y</t>
  </si>
  <si>
    <t>This study demonstrates a methodology to construct short-duration rainfall intensity-duration-frequency (IDF) curves and to quantify the variability in the rainfall intensities for different return periods with respect to the changing climate. A dynamical downscaling approach using the regional climate model (RCM) Weather Research and Forecasting (WRF) has been used to assess present and future climates using the downscaling of an ensemble of three global climate models (GCMs) (CSIRO-ACCESS1.3, MPI-ESM-MR ECHAM6 and NIES-MIROC5) under the Coupled Model Intercomparison Project phase 5 (CMIP5). Furthermore, a statistical approach using the well-known simple scaling method has been applied to extend the 6-hourly WRF precipitation output to the finer temporal scale of 10min. The short-duration IDF curves were then constructed for the present and future climates under two representative concentration pathway (RCP) scenarios RCP4.5 and RCP8.5. A preliminary examination for this case study over Bac Ninh, an industrial area in the northern Vietnam, shows that there is a substantial increase in short-duration rainfall intensity in the future with respect to the baseline climate. The highest increase is towards the end of the century (2071-2100) ranging from 56 to 61% for a 10- and 100-year return period for 24-hr duration, respectively, while the increase is about 40-45% for the 10-min duration. These results strongly suggest that severe flooding in the future climate over the study region may be likely. The study results might be useful for policymakers and infrastructure planning and for insurance companies around the study area.</t>
  </si>
  <si>
    <t>[Vu, M. T.; Raghavan, S. V.; Liu, J.; Liong, S-Y] NUS, Trop Marine Sci Inst, Singapore, Singapore; [Liu, J.; Liong, S-Y] Willis Towers Watson, London, England; [Vu, M. T.] Clemson Univ, Glenn Dept Civil Engn, Clemson, SC USA</t>
  </si>
  <si>
    <t>National University of Singapore; Clemson University</t>
  </si>
  <si>
    <t>10.1002/joc.5451</t>
  </si>
  <si>
    <t>WOS:000437834500004</t>
  </si>
  <si>
    <t>Wang, Ce; Liang, Xinquan; Foster, David A.; Liang, Xirong; Tong, Chuanxin; Liu, Ping</t>
  </si>
  <si>
    <t>The Yinggehai-Song Hong Basin has received a large amount of terrigenous sediment from different continental blocks since the Paleogene. The Yingdong slope, which is located on the eastern side of this basin, is an important potential gas province, but the provenance of the marine sediments in this area are poorly understood. The detrital zircon U-Pb geochronology of sedimentary rocks from the lower Miocene to Quaternary is examined in this study to investigate the temporal and spatial variations in provenance since the early Miocene. The U-Pb ages of detrital zircon range from 3078 to 30 Ma, suggesting that sediment input is derived from multiple sources. Detailed analyses of these components indicate that both the Red River and Hainan are likely the major sources of the sediments on the Yingdong slope, with additional minor contributions from central Vietnam (eastern Indochina block) and possibly the Songpan-Garze block. Variations in the dominant detrital zircon populations within strati-graphic successions display an increasing contribution from the Red River since the middle Miocene. This resulted from the progradation of the Red River Delta in the northern basin and may have also been influenced by regional surface uplift and associated climate changes in East Asia. This study shows that the Red River has had a relatively stable provenance since at least the early Miocene, indicating that any large-scale drainage capture of the Red River should have occurred before circa 23 Ma.</t>
  </si>
  <si>
    <t>[Wang, Ce; Liang, Xinquan; Liang, Xirong] Chinese Acad Sci, Guangzhou Inst Geochem, State Key Lab Isotope Geochem, Guangzhou, Guangdong, Peoples R China; [Foster, David A.] Univ Florida, Dept Geol Sci, Gainesville, FL USA; [Tong, Chuanxin; Liu, Ping] China Natl Offshore Oil Corp Ltd, Zhanjiang Branch, Zhanjiang, Peoples R China</t>
  </si>
  <si>
    <t>Chinese Academy of Sciences; Guangzhou Institute of Geochemistry, CAS; State University System of Florida; University of Florida; China National Offshore Oil Corporation (CNOOC)</t>
  </si>
  <si>
    <t>National Natural Science Foundation of China(National Natural Science Foundation of China (NSFC)); China Postdoctoral Science Foundation-Chinese Academy of Sciences Joint Foundation for Excellent Postdoctoral Fellows; China Postdoctoral Science Foundation(China Postdoctoral Science Foundation); Natural Science Foundation of Guangdong Province of China(National Natural Science Foundation of Guangdong Province)</t>
  </si>
  <si>
    <t>We would like to acknowledge Peter Clift, Long Van Hoang, Upendra Baral, Chao Lei, two anonymous reviewers, and AAPG Editor Barry J. Katz for their helpful comments and constructive suggestions. We acknowledge the China National Offshore Oil Corporation, Zhanjiang Branch, for assisting with this research and supplying the samples. This research was funded by the National Natural Science Foundation of China (41702115 and 41576040), China Postdoctoral Science Foundation-Chinese Academy of Sciences Joint Foundation for Excellent Postdoctoral Fellows (2016LH00022), China Postdoctoral Science Foundation (2016M602551), and Natural Science Foundation of Guangdong Province of China (2017A030313250).</t>
  </si>
  <si>
    <t>AMER ASSOC PETROLEUM GEOLOGIST</t>
  </si>
  <si>
    <t>TULSA</t>
  </si>
  <si>
    <t>1444 S BOULDER AVE, PO BOX 979, TULSA, OK 74119-3604 USA</t>
  </si>
  <si>
    <t>0149-1423</t>
  </si>
  <si>
    <t>1558-9153</t>
  </si>
  <si>
    <t>AAPG BULL</t>
  </si>
  <si>
    <t>AAPG Bull.</t>
  </si>
  <si>
    <t>JUL 15</t>
  </si>
  <si>
    <t>10.1306/11211817270</t>
  </si>
  <si>
    <t>WOS:000475472700001</t>
  </si>
  <si>
    <t>Van Tha, Hoang; Iqbal, Shahid; Czarniecka, Urszula; Wysocka, Anna; Pha, Phan Dong; Cuong, Nguyen Quoc; Van Ha, Vu; Tuan, Dang Minh</t>
  </si>
  <si>
    <t>During the Miocene-Pleistocene, generally sub-tropical to tropical warm and humid paleoclimate prevailed in Southeast Asia with a gradual cooling trend. The Truc Thon clay (TTC) mine presents interesting outcrops for sedimentological and provenance analysis. The present study uses results of geological investigation in 16 outcrops and wells at the clay mine Truc Thon. The TTC has lens-shaped geometry, filled with two clay bodies, including grey-white clay and multicolor clay. Bulk mineralogy indicates the predominance of quartz and a relatively high amount of pyrophyllite. Clay mineralogy shows the presence of main kaolinite, followed by illite and mixed-layer illite-smectite. These may interpret a warm, humid paleoclimatic condition in the source areas. Illite may be inherited from basement rocks. The bulk rock geochemistry supports intense chemical weathering with the Chemical Index of Alteration (CIA) in the TTC ranged ca. 80.6-98 (average = 90.4). In combination with the geochemical proxies and the mineralogical composition of the TTC, the chemical weathering intensity indicated warm/hot, semi-humid/humid tropical paleoclimate in the source area. A combination of mineralogical and geochemical analyses with regional geological features show that the Hon Gai Triassic rocks are the main source for the TTC. Source materials are originally related to silicic rocks of granitic-granodioritic composition. Paleoclimatic conditions favored intense chemical weathering of the Hon Gai Triassic rocks and surrounding rocks, creating a ceramic mine of great industrial value.</t>
  </si>
  <si>
    <t>[Van Tha, Hoang; Cuong, Nguyen Quoc; Van Ha, Vu; Tuan, Dang Minh] VAST, Inst Geol Sci, Hanoi, Vietnam; [Iqbal, Shahid] Quaid i Azam Univ, Dept Earth Sci, Islamabad 45320, Pakistan; [Czarniecka, Urszula] Univ Oslo, Dept Geosci, POB 1047 Blindern, N-0316 Oslo, Norway; [Wysocka, Anna] Univ Warsaw, Fac Geol, Zwirki &amp; Wigury 93, Warsaw, Poland; [Pha, Phan Dong] VAST, lnst Marine Geol &amp; Geophys, Hanoi, Vietnam</t>
  </si>
  <si>
    <t>Vietnam Academy of Science &amp; Technology (VAST); Quaid I Azam University; University of Oslo; University of Warsaw; Vietnam Academy of Science &amp; Technology (VAST)</t>
  </si>
  <si>
    <t>This paper is supported by the project code VAST05.01/19-20. We express our gratitude to Dr. Bui Van Thom, Assoc. Prof. Doan Dinh Lam, and MSc. Nguyen Minh Quang for their consultations and help in the field work</t>
  </si>
  <si>
    <t>10.15625/2615-9783/16572</t>
  </si>
  <si>
    <t>WOS:000753084800001</t>
  </si>
  <si>
    <t>Pathiraja, Sahani; Anghileri, Daniela; Burlando, Paolo; Sharma, Ashish; Marshall, Lucy; Moradkhani, Hamid</t>
  </si>
  <si>
    <t>Rapid population and economic growth in Southeast Asia has been accompanied by extensive land use change with consequent impacts on catchment hydrology. Modeling methodologies capable of handling changing land use conditions are therefore becoming ever more important and are receiving increasing attention from hydrologists. A recently developed data-assimilation-based framework that allows model parameters to vary through time in response to signals of change in observations is considered for a medium-sized catchment (2880 km(2)) in northern Vietnam experiencing substantial but gradual land cover change. We investigate the efficacy of the method as well as the importance of the chosen model structure in ensuring the success of a time-varying parameter method. The method was used with two lumped daily conceptual models (HBV and HyMOD) that gave good-quality streamflow predictions during pre-change conditions. Although both time-varying parameter models gave improved streamflow predictions under changed conditions compared to the time-invariant parameter model, persistent biases for low flows were apparent in the HyMOD case. It was found that HyMOD was not suited to representing the modified baseflow conditions, resulting in extreme and unrealistic time-varying parameter estimates. This work shows that the chosen model can be critical for ensuring the time-varying parameter framework successfully models streamflow under changing land cover conditions. It can also be used to determine whether land cover changes (and not just meteorological factors) contribute to the observed hydrologic changes in retrospective studies where the lack of a paired control catchment precludes such an assessment.</t>
  </si>
  <si>
    <t>[Pathiraja, Sahani] Univ Potsdam, Inst Math, Potsdam, Germany; [Pathiraja, Sahani; Sharma, Ashish; Marshall, Lucy] Univ New South Wales, Sch Civil &amp; Environm Engn, Water Res Ctr, Sydney, NSW, Australia; [Anghileri, Daniela; Burlando, Paolo] ETH, Inst Environm Engn, Zurich, Switzerland; [Moradkhani, Hamid] Univ Alabama, Dept Civil Construct &amp; Environm Engn, Tuscaloosa, AL USA</t>
  </si>
  <si>
    <t>University of Potsdam; University of New South Wales Sydney; Swiss Federal Institutes of Technology Domain; ETH Zurich; University of Alabama System; University of Alabama Tuscaloosa</t>
  </si>
  <si>
    <t>Australian Research Council as part of the Discovery Project(Australian Research Council); Future Fellowship(Australian Research Council); Deutsche Forschungsgemeinschaft (DFG)(German Research Foundation (DFG))</t>
  </si>
  <si>
    <t>This study was funded by the Australian Research Council as part of the Discovery Project DP140102394. Lucy Marshall is additionally supported through a Future Fellowship FT120100269. The research of Sahani Pathiraja has been partially funded by the Deutsche Forschungsgemeinschaft (DFG) through the grant CRC 1294 Data Assimilation.</t>
  </si>
  <si>
    <t>10.5194/hess-22-2903-2018</t>
  </si>
  <si>
    <t>WOS:000432362700002</t>
  </si>
  <si>
    <t>Fajar, Silvia Jannatul; Suryanata, Putu Billy; Wahidah, Wahidah; Hafidz, Abd; Bijaksana, Satria; Dahrin, Darharta; Iskandar, Irwan</t>
  </si>
  <si>
    <t>Sediment from Lake Towuti has been extensively studied to reconstruct past climate and environmental changes. One of the remaining questions is the source of magnesium (Mg) and calcium (Ca) in the northern part of Lake Towuti. In this study, the source of high Mg and Ca content is examined by analysing surface sediment from the Lampenisu River (LR) and Mahalona River (MR) that merge before entering Lake Towuti. Twelve surface sediments from MR, LR, and the confluence of the two rivers (LMR) were subjected to geochemical (XRF), mineralogical (XRD), and rock magnetic (susceptibility and hysteresis parameter) analyses. The result shows that the Mg and Ca content in LR samples are higher than in MR samples. LR samples have a higher susceptibility and a lower frequency dependent susceptibility than MR samples. XRD analyses on extracted magnetic grains show the presence of minerals with a sodalite crystal structure, possibly valleyite in LR but not in MR samples. If valleyite indeed occurs in LR samples, it may contribute to their relatively high Ca content. At the same time, the high content of Mg in LR samples is likely due to the serpentinized peridotite rocks. LR is thereby considered to be the source of high Mg and Ca content in the northern portion of Lake Towuti. This study shows the importance of sediment-source identification in big lakes such as Lake Towuti, where the influx could come from several rivers around the lake.</t>
  </si>
  <si>
    <t>[Fajar, Silvia Jannatul; Suryanata, Putu Billy; Hafidz, Abd; Bijaksana, Satria; Dahrin, Darharta; Iskandar, Irwan] Inst Telmol Bandung, Fac Min &amp; Petr Engn, Jalan Ganesa 10, Bandung 40132, Indonesia; [Wahidah, Wahidah] Univ Mulawarman, Fac Math &amp; Nat Sci, Jalan Barong Tongkok, Gn Kelua 75119, Samarinda, Indonesia</t>
  </si>
  <si>
    <t>Universitas Mulawarman</t>
  </si>
  <si>
    <t>Institut Teknologi Bandung</t>
  </si>
  <si>
    <t>Institut Teknologi Bandung financially funded Silvia Jannatul Fajar to carry out this research through its research grant (grant numbers 144/IT1.B07.1/TA.00/2021).</t>
  </si>
  <si>
    <t>UNIV ZAGREB, FAC MINING, GEOLOGY &amp; PETROLEUM ENGINEERING</t>
  </si>
  <si>
    <t>ZAGREB</t>
  </si>
  <si>
    <t>PIEROTTIJEVA 6, ZAGREB, 10000, CROATIA</t>
  </si>
  <si>
    <t>0353-4529</t>
  </si>
  <si>
    <t>1849-0409</t>
  </si>
  <si>
    <t>RUD-GEOL-NAFT ZB</t>
  </si>
  <si>
    <t>Rud.-Geol.-Naft. Zb.</t>
  </si>
  <si>
    <t>10.17794/rgn.2022.5.12</t>
  </si>
  <si>
    <t>WOS:000924954600012</t>
  </si>
  <si>
    <t>Zhao, Junhu; Zhou, Jie; Xiong, Kaiguo; Feng, Guolin</t>
  </si>
  <si>
    <t>Sea surface temperature anomaly (SSTA) is a major signal for prediction of summer precipitation in East Asia. The relationship between SSTA in the tropical oceans and summer precipitation in East Asia has been documented in many studies. However, the relationship between SSTA and late summer (July-August) precipitation (JAP) over Northeast China (NEC) on the interannual timescale has received little attention. In this study, we examine the relationship between Indian Ocean Basin warming (IOBW) anomalies in spring and the JAP in NEC since the early 1960s. A significant positive correlation is found between the spring IOBW index and JAP over NEC. The positive spring IOBW anomaly is followed by an anomalous anticyclone from Northwest Pacific to the Korean Peninsula. This anomalous anticyclone favors a significantly strong and northward western Pacific subtropical high (WPSH), which facilitates anomalous southerly winds over NEC and the transport of more water vapor into this region. Further analysis indicates that the spring IOBW anomalies have important impacts on the vertical air motion in the tropics and subtropics during the summer. Significant anomalous upward (downward) motion covering Indonesia (Northwest Pacific to the southern Korean Peninsula) occurs when the IOBW is in its positive phase, which favors the northward movement of the WPSH in late summer and more precipitation over NEC in July-August. Modulation of the atmospheric circulation by this mechanism further influences the JAP over NEC.</t>
  </si>
  <si>
    <t>[Zhao, Junhu] China Meteorol Adm, Natl Climate Ctr, Lab Climate Studies, Beijing 100081, Peoples R China; [Zhao, Junhu; Feng, Guolin] Yangzhou Univ, Coll Phys Sci &amp; Technol, Yangzhou 225002, Jiangsu, Peoples R China; [Zhou, Jie] Chongqing Climate Ctr, Chongqing Meteorol Serv, Chongqing 401147, Peoples R China; [Xiong, Kaiguo] Wuhan Reg Climate Ctr, Wuhan 430074, Peoples R China</t>
  </si>
  <si>
    <t>China Meteorological Administration; Yangzhou University</t>
  </si>
  <si>
    <t>Supported by the National Key Research and Development Program of China (2018YFA0606301) and National Natural Science Foundation of China (41875093, 41705074, and 41530531).</t>
  </si>
  <si>
    <t>10.1007/s13351-019-9026-9</t>
  </si>
  <si>
    <t>WOS:000507495300005</t>
  </si>
  <si>
    <t>Setyawan, Chandra; Lee, Chin-Yu; Prawitasari, Miky</t>
  </si>
  <si>
    <t>Increasing land occupancy for farming without conservation principles, particularly in the Indonesian island of Java, is resulting in a severe erosion problem. This study investigated the characteristics of soil erosion and the spatial contribution of land use and land slope on erosion under the tropical climate in a watershed scale. The Revised Universal Soil Loss Equation model with locally source parameters assessment in a Geographic Information Systems was used for soil erosion calculation. Erosion (in unit t ha(-1) yr(-1)) and land slope were classified into five classes. Meanwhile, the types of land use were classified into six types. The results showed critical erosions largely occurred in steeply sloping areas, where the main source of erosion was farmland. We found that land cultivation practices have more potential to increase soil erosion in slopes steeper than 15%, and the large amount of erosions were generated from some small areas of the watershed. This study also demonstrated the land slope and erosion correlation equations for five land slope classes, which detected that the largest effect of land slope on erosion was recognized in the low sloping areas. These findings indicated erosion studies in various land slope zones were necessary to understand the uniqueness of erosion in specific land slope areas. The present study provides a fundamental knowledge of land slope zonations for erosion control planning particularly in high-risk erosion areas.</t>
  </si>
  <si>
    <t>[Setyawan, Chandra; Prawitasari, Miky] Natl Pingtung Univ Sci &amp; Technol, Int Coll, Dept Trop Agr &amp; Int Cooperat, Pingtung 91201, Taiwan; [Lee, Chin-Yu] Natl Pingtung Univ Sci &amp; Technol, Coll Engn, Dept Soil &amp; Water Conservat, Pingtung 91201, Taiwan; [Setyawan, Chandra] Univ Gadjah Mada, Fac Agr Technol, Dept Agr &amp; Biosyst Engn, Yogyakarta 55281, Indonesia</t>
  </si>
  <si>
    <t>National Pingtung University Science &amp; Technology; National Pingtung University Science &amp; Technology; Gadjah Mada University</t>
  </si>
  <si>
    <t>Ministry of Science and Technology (MOST) Republic of China, Taiwan; National Pingtung University of Science and Technology, Taiwan; Universitas Gadjah Mada, Indonesia</t>
  </si>
  <si>
    <t>We would like to thank the Main Office of Serayu Opak River (Balai Besar Wilayah Sungai Serayu Opak), Ministry of Public Works, Indonesia, and the Water Resources Management Office of Progo Bogowonto Luk Ulo (Balai PSDA Progo Bogowonto Luk Ulo), Central Java Province, Indonesia, for providing data of this study. Our acknowledgment was also addressed to Ministry of Science and Technology (MOST) Republic of China, Taiwan, for the support through MOST scholarship program and all my colleagues in National Pingtung University of Science and Technology, Taiwan, and Universitas Gadjah Mada, Indonesia, for all their support during this study.</t>
  </si>
  <si>
    <t>10.1007/s11069-019-03725-x</t>
  </si>
  <si>
    <t>WOS:000499657300016</t>
  </si>
  <si>
    <t>Good, Stephen P.; Guan, Kaiyu; Caylor, Kelly K.</t>
  </si>
  <si>
    <t>Interannual variation in precipitation totals is a critical factor governing the year-to-year availability of water resources, yet the connection between interannual precipitation variability and underlying event- and season-scale precipitation variability remains unclear. In this study, tropical and midlatitude precipitation characteristics derived from extensive station records and high-frequency satellite observations were analyzed to attribute the fraction of interannual variability arising as a result of individual variability in precipitation event intensity, frequency, and seasonality, as well as the cross-correlation between these factors at the global scale. This analysis demonstrates that variability in the length of the wet season is the most important factor globally, causing 52% of the total interannual variability, while variation in the intensity of individual rainfall events contributes 31% and variability in interstorm wait times contributes only 17%. Spatial patterns in the contribution of each of these intra-annual rainfall characteristics are informative, with regions such as Indonesia and southwestern North America primarily influenced by seasonality, while regions such as the eastern United States, central Africa, and the upper Amazon basin are strongly influenced by storm intensity and frequency. A robust cross-correlation between climate characteristics is identified in the equatorial Pacific, revealing an increased interannual variability over what is expected based on the variability of individual events. This decomposition of interannual variability identifies those regions where accurate representation of daily and seasonal rainfall statistics is necessary to understand and correctly model rainfall variability at longer time scales.</t>
  </si>
  <si>
    <t>[Good, Stephen P.] Oregon State Univ, Dept Biol &amp; Ecol Engn, Corvallis, OR 97331 USA; [Guan, Kaiyu] Stanford Univ, Dept Earth Syst Sci, Stanford, CA 94305 USA; [Guan, Kaiyu] Univ Illinois, Dept Nat Resources &amp; Environm Sci, Urbana, IL USA; [Caylor, Kelly K.] Princeton Univ, Dept Civil &amp; Environm Engn, Princeton, NJ 08544 USA</t>
  </si>
  <si>
    <t>Oregon State University; Stanford University; University of Illinois System; University of Illinois Urbana-Champaign; Princeton University</t>
  </si>
  <si>
    <t>National Science Foundation(National Science Foundation (NSF)); Princeton Environmental Institute; NASA Earth and Space Science Fellowship; Center for High Performance Computing at the University of Utah</t>
  </si>
  <si>
    <t>This material is based in part upon work supported by the National Science Foundation under Grants BCS-1026334, BCS-1115009, EF-01241286, and SES-1360421, and the Princeton Environmental Institute. K.G. acknowledges the NASA Earth and Space Science Fellowship. The support and resources from the Center for High Performance Computing at the University of Utah is also gratefully acknowledged.</t>
  </si>
  <si>
    <t>10.1175/JCLI-D-14-00653.1</t>
  </si>
  <si>
    <t>WOS:000367431200001</t>
  </si>
  <si>
    <t>Brugnara, Y.; Auchmann, R.; Broennimann, S.; Allan, R. J.; Auer, I.; Barriendos, M.; Bergstrom, H.; Bhend, J.; Brazdil, R.; Compo, G. P.; Cornes, R. C.; Dominguez-Castro, F.; van Engelen, A. F. V.; Filipiak, J.; Holopainen, J.; Jourdain, S.; Kunz, M.; Luterbacher, J.; Maugeri, M.; Mercalli, L.; Moberg, A.; Mock, C. J.; Pichard, G.; Reznickova, L.; van der Schrier, G.; Slonosky, V.; Ustrnul, Z.; Valente, M. A.; Wypych, A.; Yin, X.</t>
  </si>
  <si>
    <t>The eruption of Mount Tambora (Indonesia) in April 1815 is the largest documented volcanic eruption in history. It is associated with a large global cooling during the following year, felt particularly in parts of Europe and North America, where the year 1816 became known as the year without a summer. This paper describes an effort made to collect surface meteorological observations from the early instrumental period, with a focus on the years of and immediately following the eruption (1815-1817). Although the collection aimed in particular at pressure observations, correspondent temperature observations were also recovered. Some of the series had already been described in the literature, but a large part of the data, recently digitised from original weather diaries and contemporary magazines and newspapers, is presented here for the first time. The collection puts together more than 50 sub-daily series from land observatories in Europe and North America and from ships in the tropics. The pressure observations have been corrected for temperature and gravity and reduced to mean sea level. Moreover, an additional statistical correction was applied to take into account common error sources in mercury barometers. To assess the reliability of the corrected data set, the variance in the pressure observations is compared with modern climatologies, and single observations are used for synoptic analyses of three case studies in Europe. All raw observations will be made available to the scientific community in the International Surface Pressure Databank.</t>
  </si>
  <si>
    <t>[Brugnara, Y.; Auchmann, R.; Broennimann, S.] Oeschger Ctr Climate Change Res, Bern, Switzerland; [Brugnara, Y.; Auchmann, R.; Broennimann, S.] Univ Bern, Inst Geophys, Bern, Switzerland; [Allan, R. J.] Met Off, Hadley Ctr, Exeter, Devon, England; [Auer, I.] ZAMG, Cent Inst Meteorol &amp; Geodynam, Vienna, Austria; [Barriendos, M.] Univ Barcelona, Dept Modern Hist, Barcelona, Spain; [Bergstrom, H.] Uppsala Univ, Dept Earth Sci, Uppsala, Sweden; [Bhend, J.] MeteoSwiss, Fed Off Meteorol &amp; Climatol, Zurich, Switzerland; [Brazdil, R.; Reznickova, L.] Masaryk Univ, Inst Geog, Brno, Czech Republic; [Brazdil, R.; Reznickova, L.] Acad Sci Czech Republ, Global Change Res Ctr, Brno, Czech Republic; [Compo, G. P.] Univ Colorado, Cooperat Inst Res Environm Sci, Div Phys Sci, Earth Syst Res Lab,Natl Ocean &amp; Atmospher Adm, Boulder, CO 80309 USA; [Cornes, R. C.] Univ E Anglia, CRU, Sch Environm Sci, Norwich NR4 7TJ, Norfolk, England; [Dominguez-Castro, F.] Univ Extremadura, Dept Phys, Badajoz, Spain; [Dominguez-Castro, F.] Escuela Politec Nacl, Dept Ingn Civil &amp; Ambiental, Quito, Ecuador; [van Engelen, A. F. V.; van der Schrier, G.] Royal Netherlands Meteorol Inst, KNMI, NL-3730 AE De Bilt, Netherlands; [Filipiak, J.] Univ Gdansk, Inst Geog, PL-80952 Gdansk, Poland; [Holopainen, J.] Univ Helsinki, Dept Geosci &amp; Geog, Helsinki, Finland; [Jourdain, S.] Meteo France, Direct Climatol, Toulouse, France; [Kunz, M.] Karlsruhe Inst Technol, Inst Meteorol &amp; Climate Res IMK, D-76021 Karlsruhe, Germany; [Luterbacher, J.] Univ Giessen, Dept Geog Climatol Climate Dynam &amp; Climat, D-35390 Giessen, Germany; [Maugeri, M.] Univ Milan, Dept Phys, Milan, Italy; [Mercalli, L.] SMI, Turin, Italy; [Moberg, A.] Stockholm Univ, Dept Phys Geog, S-10691 Stockholm, Sweden; [Moberg, A.] Stockholm Univ, Bolin Ctr Climate Res, S-10691 Stockholm, Sweden; [Mock, C. J.] Univ S Carolina, Dept Geog, Columbia, SC 29208 USA; [Pichard, G.] Univ Aix Marseille, Dept Hist, Marseille, Aix En Provence, France; [Slonosky, V.] McGill Univ, Ctr Interdisciplinary Studies Montreal, Montreal, PQ, Canada; [Ustrnul, Z.; Wypych, A.] Jagiellonian Univ, Dept Climatol, Krakow, Poland; [Valente, M. A.] Univ Lisbon, Inst Dom Luiz, Fac Ciencias, P-1699 Lisbon, Portugal; [Yin, X.] ERT Inc, Asheville, NC USA</t>
  </si>
  <si>
    <t>University of Bern; University of Bern; Met Office - UK; Hadley Centre; University of Barcelona; Uppsala University; Federal Office of Meteorology &amp; Climatology (MeteoSwiss); Masaryk University Brno; Czech Academy of Sciences; Global Change Research Centre of the Czech Academy of Sciences; University of Colorado System; University of Colorado Boulder; National Oceanic Atmospheric Admin (NOAA) - USA; University of East Anglia; Universidad de Extremadura; Escuela Politecnica Nacional Ecuador; Royal Netherlands Meteorological Institute; Fahrenheit Universities; University of Gdansk; University of Helsinki; Meteo France; Helmholtz Association; Karlsruhe Institute of Technology; Justus Liebig University Giessen; University of Milan; Stockholm University; Stockholm University; University of South Carolina System; University of South Carolina Columbia; Aix-Marseille Universite; McGill University; Jagiellonian University; Universidade de Lisboa</t>
  </si>
  <si>
    <t>Atmospheric Circulation Reconstructions over the Earth (ACRE) initiative; Swiss National Science Foundation (SNF) Sinergia project FUPSOL-II(Swiss National Science Foundation (SNSF)); EU Horizon EUSTACE project; SNF project TWIST; EU FP7(European Union (EU)); Met Office Hadley Centre Climate Program (HCCP); Grant Agency of the Czech Republic(Grant Agency of the Czech RepublicNorwegian Agency for Development Cooperation - NORAD); Ministry of Education, Youth and Sports of the Czech Republic(Ministry of Education, Youth &amp; Sports - Czech Republic); Polish National Science Centre; Prometeo Project, Secretariat of Higher Learning, Science, Technology and Innovation; Swiss National Science Foundation (SNF)(Swiss National Science Foundation (SNSF))</t>
  </si>
  <si>
    <t>This work was supported by the Atmospheric Circulation Reconstructions over the Earth (ACRE) initiative (www.met-acre.org), the Swiss National Science Foundation (SNF) Sinergia project FUPSOL-II (Grant CRSII2-147659) and the EU Horizon 2020 EUSTACE project (Grant Agreement no. 640171). Renate Auchmann was supported by the SNF project TWIST (200021_146599/1), Rob Allan by the EU FP7 ERA-CLIM2 (European Reanalysis of Global Climate Observations 2) project and the Met Office Hadley Centre Climate Program (HCCP), Rudolf Brazdil by the Grant Agency of the Czech Republic for the project no. P209/11/0956, Ladislava Reznickova by the Ministry of Education, Youth and Sports of the Czech Republic within the National Sustainability Program I (NPU I, grant no. L01415), Janusz Filipiak by the Polish National Science Centre (grant no. 2012/07/B/ST10/04214) and Fernando Dominguez-Castro by the Prometeo Project, Secretariat of Higher Learning, Science, Technology and Innovation. Support for the Twentieth Century Reanalysis Project data set is provided by the US Department of Energy, Office of Science Innovative and Novel Computational Impact on Theory and Experiment (DOE INCITE) program, and Office of Biological and Environmental Research (BER), and by the National Oceanic and Atmospheric Administration Climate Program Office. We are grateful to the many people who helped in the collection of manuscripts and metadata, including the personnel of the archives and libraries that we visited or contacted. The contributions and suggestions of James P. Bowen, William Brown, Michele Brunetti, Dario Camuffo, Martin Jacques-Coper, A. Jose Leonardo, Raphael Neukom, Matthias Rothlisberger, Arturo Sanchez-Lorenzo, Alexander Stickler and Clive Wilkinson, in particular, were much appreciated. We also thank the three anonymous reviewers for their useful feedback. Twentieth Century Reanalysis data were provided by the NOAA/OAR/ESRL PSD, Boulder, Colorado, USA, from their website at http://www.esrl.noaa.gov/psd/. MERRA data were provided by the NASA Global Modeling and Assimilation Office (GMAO) and the NASA GES DISC.</t>
  </si>
  <si>
    <t>10.5194/cp-11-1027-2015</t>
  </si>
  <si>
    <t>WOS:000360642800001</t>
  </si>
  <si>
    <t>Mashiyi, Sipho; Weesakul, Sutat; Vojinovic, Zoran; Torres, Arlex Sanchez; Babel, Mukand S.; Ditthabumrung, Sirapee; Ruangpan, Laddaporn</t>
  </si>
  <si>
    <t>Societies face an increasing number of challenges due to climate change - including enhanced hydro-meteorological risk (HMR). Typically, HMRs are exacerbated by rapid urban development, ecosystem degradation, and water use changes. All though data is scarce and scattered, evidencebased case studies have shown that implementing Nature-based Solutions (NBS) can reduce HMR. With further influence from anthropogenic climate change and continuing ecosystem degradation, HMH are projected to increase in frequency and severity. Consequently, NBS implemented for HMR reduction will have to be robust enough to deal with HMHs that exceed their design criteria and/or expected performance. However, currently available literature does not adequately outline processes that aid in designing and evaluating of robust NBS for HMR reduction. In response to this gap in literature, this study developed a process for designing and evaluating robust NBS for water. In the present study, robust design of a NBS for water is illustrated using an existing flood risk management system and NBS (100-year-old traditional irrigation furrows) in an agricultural area situated within the floodplain of the Chao Phraya River basin in the Pathum Thani province, Thailand. The robustness of the existing NBS for water is then evaluated through robust design and quantified through the construction of a responsive curve. Once the robustness of the existing NBS for water is quantified, an iterative process is used to enhance individual characteristics of the flood risk management system - resulting in efficient use of the flood water storage capacity offered by the existing NBS.</t>
  </si>
  <si>
    <t>[Mashiyi, Sipho; Weesakul, Sutat; Babel, Mukand S.] Asian Inst Technol, Pathum Thani, Thailand; [Mashiyi, Sipho; Vojinovic, Zoran; Torres, Arlex Sanchez; Ruangpan, Laddaporn] IHE Delft Inst Water Educ, Delft, Netherlands; [Weesakul, Sutat; Ditthabumrung, Sirapee] Hydro Informat Inst, Bangkok, Thailand</t>
  </si>
  <si>
    <t>Asian Institute of Technology; IHE Delft Institute for Water Education</t>
  </si>
  <si>
    <t>Netherlands Ministry of Foreign Affairs; European Union(European Union (EU))</t>
  </si>
  <si>
    <t>&amp; nbsp;Netherlands Ministry of Foreign Affairs for awarding me the Orange Knowledge Programme (OKP) scholarship. The research lead-ing to these results has received partial direct or indirect funding from the European Union's Horizon 2020 Research and Innovation Programme under grant agreement No 776866 for the research project RECONECT. The study reflects only the authors'views, and the European Union is not liable for any use that may be made of the information contained herein. The research leading to these results has received partial direct funding from Ehlobo Consulting ( www.ehloboconsulting.co.za)</t>
  </si>
  <si>
    <t>10.1016/j.ijdrr.2023.103787</t>
  </si>
  <si>
    <t>WOS:001020365000001</t>
  </si>
  <si>
    <t>Du, Zhenrong; Yu, Le; Yang, Jianyu; Coomes, David; Kanniah, Kasturi; Fu, Haohuan; Gong, Peng</t>
  </si>
  <si>
    <t>The world's forests are experiencing rapid changes due to land use and climate change. However, a detailed map of global forest gain at fine spatial and temporal resolutions is still missing. To fill this gap, we developed an automatic framework for mapping annual forest gain globally using Landsat time series, the Landsat-based detection of trends in disturbance and recovery (LandTrendr) algorithm, and the Google Earth engine platform. First, stable forest samples collected based on the first all-season sample set and an automated sample migrate method were used to determine annual normalized burn ratio (NBR) thresholds for forest gain detection. Second, with the NBR time series from 1982 to 2021 and LandTrendr algorithm, we produced a dataset of global forest gain year from 1983 to 2021 based on a set of decision rules. Our results reveal that over 60% gains occurred in Russia, Canada, the United States, Indonesia, and China, and approximately half of global forest gain occurred between 2001 and 2010. The forest gain map developed in this study exhibited good consistency with statistical inventories and independent regional and global products. Our dataset can be useful for policy-relevant research on the global carbon cycle, and our method provides an efficient and transferable approach for monitoring other types of land cover dynamics.</t>
  </si>
  <si>
    <t>[Du, Zhenrong; Yang, Jianyu] China Agr Univ, Coll Land Sci &amp; Technol, Beijing 100083, Peoples R China; [Du, Zhenrong; Yang, Jianyu] Minist Nat Resources Peoples Republ China, Key Lab Agr Land Qual, Beijing 100083, Peoples R China; [Du, Zhenrong; Yu, Le] Tsinghua Univ, Dept Earth Syst Sci, Key Lab Earth Syst Modeling, Minist Educ, Beijing 100084, Peoples R China; [Yu, Le; Gong, Peng] Tsinghua Univ, Ecol Field Stn East Asia Migratory Birds, Minist Educ, Beijing 100084, Peoples R China; [Coomes, David] Univ Cambridge, Conservat Res Inst, Cambridge CB2 3EA, England; [Coomes, David] Univ Cambridge, Dept Plant Sci, Cambridge CB2 3EA, England; [Kanniah, Kasturi] Univ Teknol Malaysia, Res Inst Sustainable Environm, Ctr Environm Sustainabil &amp; Water Secur IPASA, Johor Baharu 81310, Malaysia; [Kanniah, Kasturi] Univ Teknol Malaysia, Fac Geoinformat &amp; Real Estate, Johor Baharu 81310, Malaysia; [Gong, Peng] Univ Hong Kong, Dept Geog, Dept Earth Sci, Hong Kong, Peoples R China; [Gong, Peng] Univ Hong Kong, Inst Climate &amp; Carbon Neutral, Hong Kong, Peoples R China</t>
  </si>
  <si>
    <t>China Agricultural University; Ministry of Natural Resources of the People's Republic of China; Tsinghua University; Tsinghua University; University of Cambridge; University of Cambridge; Universiti Teknologi Malaysia; Universiti Teknologi Malaysia; University of Hong Kong; University of Hong Kong</t>
  </si>
  <si>
    <t>10.1109/JSTARS.2023.3267796</t>
  </si>
  <si>
    <t>WOS:000986585000004</t>
  </si>
  <si>
    <t>Alexander, Cici; Korstjens, Amanda H.; Hankinson, Emma; Usher, Graham; Harrison, Nathan; Nowak, Matthew G.; Abdullah, Abdullah; Wich, Serge A.; Hill, Ross A.</t>
  </si>
  <si>
    <t>Emergent trees, which are taller than surrounding trees with exposed crowns, provide crucial services to several rainforest species especially to endangered primates such as gibbons and siamangs (Hylobatidae). Hylobatids show a preference for emergent trees as sleeping sites and for vocal displays, however, they are under threat from both habitat modifications and the impacts of climate change. Traditional plot-based ground surveys have limitations in detecting and mapping emergent trees across a landscape, especially in dense tropical forests. In this study, a method is developed to detect emergent trees in a tropical rainforest in Sumatra, Indonesia, using a photogrammetric point cloud derived from RGB images collected using an Unmanned Aerial Vehicle (UAV). If a treetop, identified as a local maximum in a Digital Surface Model generated from the point cloud, was higher than the surrounding treetops (Trees_EM), and its crown was exposed above its neighbours (Trees_SL; assessed using slope and circularity measures), it was identified as an emergent tree, which might therefore be selected preferentially as a sleeping tree by hylobatids. A total of 54 out of 63 trees were classified as emergent by the developed algorithm and in the field. The algorithm is based on relative height rather than canopy height (due to a lack of terrain data in photogrammetric point clouds in a rainforest environment), which makes it equally applicable to photogrammetric and airborne laser scanning point cloud data.</t>
  </si>
  <si>
    <t>[Alexander, Cici; Korstjens, Amanda H.; Hankinson, Emma; Harrison, Nathan; Hill, Ross A.] Bournemouth Univ, Dept Life &amp; Environm Sci, Talbot Campus, Poole BH12 5BB, Dorset, England; [Usher, Graham; Nowak, Matthew G.] PanEco Fdn, Sumatran Orangutan Conservat Programme, Chileweg 5, CH-8415 Berg Irchel, Switzerland; [Nowak, Matthew G.] Southern Illinois Univ, Dept Anthropol, 1000 Faner Dr, Carbondale, IL 62901 USA; [Abdullah, Abdullah] Syiah Kuala Univ, Dept Biol, Banda Aceh 23111, Indonesia; [Wich, Serge A.] Liverpool John Moores Univ, Sch Nat Sci &amp; Psychol, Liverpool L3 3AF, Merseyside, England; [Wich, Serge A.] Univ Amsterdam, Inst Biodivers &amp; Ecosyst Dynam, Sci Pk 904, NL-1098 Amsterdam, Netherlands; [Alexander, Cici] Aarhus Univ, AIAS, Hoegh Guldbergs Gade 6B, DK-8000 Aarhus C, Denmark</t>
  </si>
  <si>
    <t>Bournemouth University; Southern Illinois University System; Southern Illinois University; Universitas Syiah Kuala; Liverpool John Moores University; University of Amsterdam; Aarhus University</t>
  </si>
  <si>
    <t>EU Marie Sklodowska-Curie Actions (H2020-MSCA-IF-2014)(European Union (EU)); Chester Zoo; US Fish and Wildlife Services(US Fish &amp; Wildlife Service); Bornean Orangutan Society Canada; United States Fish and Wildlife Service(US Fish &amp; Wildlife Service); Indianapolis Zoological Association; Philadelphia Zoological Association; Indonesian State Ministry for Research and Technology; Ministry of Environment and Forestry of the Republic of Indonesia(Ministry of Research and Technology of the Republic of Indonesia (RISTEK)); Gunung Leuser National Park; Marie Curie Actions (MSCA)(Marie Curie Actions)</t>
  </si>
  <si>
    <t>FOREST 3D-ECOCARB received funding through EU Marie Sklodowska-Curie Actions (H2020-MSCA-IF-2014) under grant agreement no [657607], and is part of LEAP: Landscape Ecology and Primatology (https://go-leap.wixsite.com/home). Chester Zoo and the US Fish and Wildlife Services funded the aerial data collection through a grant to SW. Funding for SOCP's activities at Sikundur were through the Bornean Orangutan Society Canada (to MGN), United States Fish and Wildlife Service (to MGN), Indianapolis Zoological Association (to MGN and SAW), and Philadelphia Zoological Association (to MGN and SAW). We thank the following institutions for supporting our work: Indonesian State Ministry for Research and Technology, Ministry of Environment and Forestry of the Republic of Indonesia, and Gunung Leuser National Park.</t>
  </si>
  <si>
    <t>10.1016/j.jag.2018.05.024</t>
  </si>
  <si>
    <t>WOS:000445715300009</t>
  </si>
  <si>
    <t>Russo, Simone; Dosio, Alessandro; Graversen, Rune G.; Sillmann, Jana; Carrao, Hugo; Dunbar, Martha B.; Singleton, Andrew; Montagna, Paolo; Barbola, Paulo; Vogt, Juergen V.</t>
  </si>
  <si>
    <t>An extreme heat wave occurred in Russia in the summer of 2010. It had serious impacts on humans and natural ecosystems, it was the strongest recorded globally in recent decades and exceeded in amplitude and spatial extent the previous hottest European summer in 2003. Earlier studies have not succeeded in comparing the magnitude of heat waves across continents and in time. This study introduces a new Heat Wave Magnitude Index that can be compared over space and time. The index is based on the analysis of daily maximum temperature in order to classify the strongest heat waves that occurred worldwide during the three study periods 1980-1990, 1991-2001, and 2002-2012. In addition, multimodel ensemble outputs from the Coupled Model Intercomparison Project Phase 5 are used to project future occurrence and severity of heat waves, under different Representative Concentration Pathways, adopted by the Intergovernmental Panel on Climate Change for its Fifth Assessment Report (AR5). Results show that the percentage of global area affected by heat waves has increased in recent decades. Moreover, model predictions reveal an increase in the probability of occurrence of extreme and very extreme heat waves in the coming years, in particular, by the end of this century, under the most severe IPCC AR5 scenario, events of the same severity as that in Russia in the summer of 2010 will become the norm and are projected to occur as often as every 2 years for regions such as southern Europe, North America, South America, Africa, and Indonesia.</t>
  </si>
  <si>
    <t>[Russo, Simone; Dosio, Alessandro; Carrao, Hugo; Dunbar, Martha B.; Barbola, Paulo; Vogt, Juergen V.] Commiss European Communities, Joint Res Ctr, I-21020 Ispra, Italy; [Russo, Simone] Inst Environm Protect &amp; Res, Rome, Italy; [Graversen, Rune G.] Univ Tromso, Dept Phys &amp; Technol, Tromso, Norway; [Sillmann, Jana] Ctr Int Climate &amp; Environm Res, Oslo, Norway; [Singleton, Andrew] Norwegian Meteorol Inst, Oslo, Norway; [Montagna, Paolo] CNR, Ist Sci Marine, I-40126 Bologna, Italy</t>
  </si>
  <si>
    <t>European Commission Joint Research Centre; EC JRC ISPRA Site; Italian Institute for Environmental Protection &amp; Research (ISPRA); UiT The Arctic University of Tromso; Norwegian Meteorological Institute; Consiglio Nazionale delle Ricerche (CNR); Istituto di Scienze Marine (ISMAR-CNR)</t>
  </si>
  <si>
    <t>NAPEX project through the Norwegian Research Council(Research Council of Norway)</t>
  </si>
  <si>
    <t>We acknowledge the World Climate Research Program's Working Group on coupled modeling, which is responsible for CMIP5 model outputs. The data for this paper are available in the CMIP5 archive (http://cmip-pcmdi.llnl.gov/cmip5/data_portal.html). J.S. is supported by the NAPEX project funded through the Norwegian Research Council. Finally, we thank M. Rixen for comments on earlier versions of the manuscript.</t>
  </si>
  <si>
    <t>NOV 27</t>
  </si>
  <si>
    <t>10.1002/2014JD022098</t>
  </si>
  <si>
    <t>WOS:000346345600005</t>
  </si>
  <si>
    <t>Prabnakorn, Saowanit; Maskey, Shreedhar; Suryadi, F. X.; de Fraiture, Charlotte</t>
  </si>
  <si>
    <t>When assessing drought risk, most studies focus on hazard and vulnerability, paying less attention to exposure. Here, we propose a comprehensive drought risk assessment scheme combining hazard, exposure, and vulnerability. At the Mun River Basin, 90% of rice cultivation is rain-fed and regularly encounters droughts resulting in the lowest yields in the country. The water deficit calculated with respect to rice water requirement is used to assess drought hazard and is estimated at monthly time steps. We use drought severity and frequency for hazard estimation and population and rice field characteristics for exposure. Vulnerability is represented by physical and socioeconomic factors and coping and adaptive capacity. Between 1984 and 2016, monthly precipitation during the rice-growing season was insufficient to meet rice water needs at all growth stages (July-November). The hazard is more severe in October and November, which can lead to significantly reduced yields. People and rice fields in the center part of the basin are more exposed to drought than in other parts. Extensive areas are under high and moderate vulnerability due to low coping capacity. The higher drought risks appear in the last 2 months of the growing season and decrease from north to south, while the risk map of total precipitation demonstrates that most of the areas have low and very low risk. This emphasizes the importance of monthly time series analysis to calculate agricultural drought hazard and risk. Consequently, we recommend using the hazard and risk maps for October and November instead of the total precipitation to develop solutions to improve rice yield.</t>
  </si>
  <si>
    <t>[Prabnakorn, Saowanit; Maskey, Shreedhar; Suryadi, F. X.; de Fraiture, Charlotte] IHE Delft Inst Water Educ, Dept Water Sci &amp; Engn, Westvest 7, NL-2611 AX Delft, Netherlands</t>
  </si>
  <si>
    <t>IHE Delft Institute for Water Education</t>
  </si>
  <si>
    <t>Royal Thai Government</t>
  </si>
  <si>
    <t>This research was supported by the Royal Thai Government. We are most grateful to the Royal Irrigation Department, the Office of Agricultural Economics, Ministry of Agriculture and Cooperatives, and the Land Development Department of Thailand for kindly providing data and information. Further, we would like to acknowledge the time and effort that the anonymous reviewers have put into assessing the previous version of the paper.</t>
  </si>
  <si>
    <t>10.1007/s11069-019-03681-6</t>
  </si>
  <si>
    <t>WOS:000482068400020</t>
  </si>
  <si>
    <t>Wiwoho, Bagus Setiabudi; Astuti, Ike Sari; Purwanto, Purwanto; Deffinika, Ifan; Alfarizi, Imam Abdul Gani; Sucahyo, Hetty Rahmawati; Gusti, Randhiki; Herwanto, Mochammad Tri; Herlambang, Gilang Aulia</t>
  </si>
  <si>
    <t>The agreement between meteorological data and societal perception is essential in supporting a robust policy making and its implementation. In humid tropic watersheds like Brantas, such consensus is important for water resources management and policies. This study exemplifies an effort to understand the long-term rainfall characteristics within the watershed and to build a common link among the differing data sources: CHIRPS rainfall satellite data, rain gauge data, and farmers perceptions. Six rainfall characteristics were derived using statistical measures from the scientific data and then were translated to a series of structured questionnaires given to small-scale farmers. A consensus matrix was built to examine the level of agreement among three data sources, supporting the spatial pattern of the meteorological data and farmers perception. Two rainfall attributes were classified with high agreement, four with moderate and one with low agreement. The agreements and discrepancies of rainfall characteristics were found in the study area. The discrepancies originated from the accuracy in translating scientific measurements to practical meanings for farmers, complexity of the farming system, the nature of phenomena in questions, and farmers' ability to record long-term climatic events. This study shows an implication that a combined approach to link scientific data and societal data is needed to support powerful climate policy making.</t>
  </si>
  <si>
    <t>[Wiwoho, Bagus Setiabudi; Astuti, Ike Sari; Purwanto, Purwanto; Deffinika, Ifan; Alfarizi, Imam Abdul Gani; Sucahyo, Hetty Rahmawati; Herlambang, Gilang Aulia] Univ Negeri Malang, Dept Geog, Malang 65145, Indonesia; [Gusti, Randhiki] Inst Pertanian Malang, Malang 65141, Indonesia; [Herwanto, Mochammad Tri] SMAN 1 Kediri, Kediri 64114, Indonesia</t>
  </si>
  <si>
    <t>Universitas Negeri Malang</t>
  </si>
  <si>
    <t>Universitas Negeri Malang PNBP</t>
  </si>
  <si>
    <t>AcknowledgementsThe research was funded by Universitas Negeri Malang PNBP KBK Research Grant 2021</t>
  </si>
  <si>
    <t>10.1007/s11069-023-05969-0</t>
  </si>
  <si>
    <t>WOS:000986516100001</t>
  </si>
  <si>
    <t>Ngai, Sheau Tieh; Juneng, Liew; Tangang, Fredolin; Chung, Jing Xiang; Supari, Supari; Salimun, Ester; Cruz, Faye; Ngo-Duc, Thanh; Phan-Van, Tan; Santisirisomboon, Jerasorn; Gunawan, Dodo</t>
  </si>
  <si>
    <t>Simulations of seven regional climate models (RCMs) from CORDEX-SEA were bias-corrected using the quantile mapping (QM) method to examine the possible ranges of future mean precipitation and extreme index changes over Southeast Asia (SEA). Eleven rainfall indices including total precipitation (PRCPTOT), maximum one day precipitation (RX1day), the maximum number of consecutive dry days (MCDD), intensity of very wet days (R95pTOT) and the frequency of heavy rainfall days (R20mm) were considered. The QM procedure largely reduced the biases and inter-model variations in the historical period. For future projections, some QM modi-fications can be found but these were season and location dependent. The projected large changes of mean seasonal precipitation, especially over Indochina, were slightly magnified after the correction. Generally, the projected bias-corrected ensemble mean (ENSMEAN) indicated increased mean rainfall during boreal winters in mainland SEA by as much as 30% depending on the projection periods. During the boreal summer, mean rainfall in the maritime continent was projected to decrease by as much as-30% in some areas in Indonesia. In sum-mary, the possible ranges of projected changes of extreme indices are dependent on the type of indices, scenarios and seasons. For JJA, the possible range over the entire region is between-40% and 60%. For DJF, the possible ranges are between-20% and 60% and -20%-20% over the mainland Indochina and Maritime Continent, respectively.</t>
  </si>
  <si>
    <t>[Ngai, Sheau Tieh; Juneng, Liew; Tangang, Fredolin; Chung, Jing Xiang; Supari, Supari; Salimun, Ester] Univ Kebangsaan Malaysia, Fac Sci &amp; Technol, Dept Earth Sci &amp; Environm, Bangi, Malaysia; [Chung, Jing Xiang] Univ Malaysia Terengganu, Fac Sci &amp; Marine Environm, Terengganu, Malaysia; [Supari, Supari] Indonesia Agcy Meteorol Climatol &amp; Geophys BMKG, Ctr Appl Climate, Jakarta, Indonesia; [Cruz, Faye] Manila Observ, Reg Climate Syst Lab, Quezon City, Philippines; [Ngo-Duc, Thanh] Univ Sci &amp; Technol Hanoi, Vietnam Acad Sci &amp; Technol, REMOSAT Lab, Hanoi, Vietnam; [Phan-Van, Tan] VNU Univ Sci, Dept Meteorol &amp; Climate Change, Hanoi, Vietnam; [Santisirisomboon, Jerasorn] Ramkhamhang Univ, Ctr Reg Climate Change &amp; Renewable Energy, Bangkok, Thailand; [Gunawan, Dodo] Agcy Meteorol Climatol &amp; Geophys BMKG, Ctr Climate Change Informat, Jakarta, Indonesia</t>
  </si>
  <si>
    <t>Universiti Kebangsaan Malaysia; Universiti Malaysia Terengganu; Indonesian Agency for Meteorology, Climatology &amp; Geophysics; Vietnam Academy of Science &amp; Technology (VAST); University of Science &amp; Technology of Hanoi (USTH); Vietnam National University Hanoi; Ramkhamhaeng University; Indonesian Agency for Meteorology, Climatology &amp; Geophysics</t>
  </si>
  <si>
    <t>Ministry of Higher Education (MOHE), Malaysia; Asia-Pacific Network (APN) for Global Change Research, Japan</t>
  </si>
  <si>
    <t>This research was funded by the Ministry of Higher Education (MOHE), Malaysia LRGS/1/2020/UKM/01/6/1 Project under the LRGS/1/2020/UKM/01/6 Programme. The CORDEX-SEA project was funded by the Asia-Pacific Network (APN) for Global Change Research, Japan [ARCP2013-17NMY-Tangang, ARCP2014-07CMY-Tangang, ARCP2015-04CMY-Tangang] .</t>
  </si>
  <si>
    <t>10.1016/j.wace.2022.100484</t>
  </si>
  <si>
    <t>WOS:000831133700003</t>
  </si>
  <si>
    <t>De Maisonneuve, Caroline Bouvet; Bergal-Kuvikas, Olga</t>
  </si>
  <si>
    <t>We review the current knowledge about Southeast Asian volcanoes and their eruption histories, and focus on identifying tephrochronologic markers representing major explosive eruptions in order to further future palaeoclimate and volcanological studies. Forty-one volcanic edifices in Southeast Asia have been classified as large calderas by Whelley et al. (2015) and thus have, or are likely to have, produced large explosive eruptions with a Volcanic Explosivity Index (VEI) of 6-8. Unfortunately, only 20 such eruptions have known ages, spanning from 1.2 Ma to 1991 ad, and fewer have geochemical data that can be used for tephrostratigraphic correlations. Volcanic products from different geodynamic regions and different sources can generally be distinguished on major element plots (e.g. K2O versus CaO) of matrix glass composition. However, the distinction of multiple eruptions from the same source often requires additional data such as trace element compositions of matrix glass and/or mineral compositions. Biotite, but also magnetite compositions (MgO and TiO2 content in particular) appear to be very discriminating. Up to nine tuffs in addition to the three to four Toba tuffs can be utilised as widespread tephrochronologic markers and span a range from 1.2 to 1.6 Ma to recent. As only a few Holocene major eruptions have been well characterised and dated, many large calderas are still unstudied, and many distal tephra layers are still lacking a source, more tephrochronologic markers can certainly be defined in the future.</t>
  </si>
  <si>
    <t>[De Maisonneuve, Caroline Bouvet] Nanyang Technol Univ, Earth Observ Singapore, Singapore, Singapore; [De Maisonneuve, Caroline Bouvet] Nanyang Technol Univ, Asian Sch Environm, Singapore, Singapore; [Bergal-Kuvikas, Olga] Russian Acad Sci, Far East Branch, Inst Volcanol &amp; Seismol, Petropavlovsk Kamchatski, Russia; [Bergal-Kuvikas, Olga] Inst Geol Ore Deposits Petrog Mineral &amp; Geochem, Moscow, Russia</t>
  </si>
  <si>
    <t>Nanyang Technological University; Nanyang Technological University; Institute of Volcanology &amp; Seismology, Far Eastern Branch, RAS; Russian Academy of Sciences; Russian Academy of Sciences; Institute of Geology of Ore Deposits, Petrography, Mineralogy &amp; Geochemistry</t>
  </si>
  <si>
    <t>Meteorological Service Singapore; Singapore National Research Foundation(National Research Foundation, Singapore); Nanyang Technological University(Nanyang Technological University)</t>
  </si>
  <si>
    <t>We thank guest editor Takehiko Suzuki and two anonymous reviewers for their constructive comments that greatly improved the manuscript. This work was funded by the Meteorological Service Singapore and the Singapore National Research Foundation (grant NRF-NRFF2016-04) to C. Bouvet de Maisonneuve. Our data are available at https://doi.org/10.21979/N9/ZB2NY5.This is under DR-NTU, a local instance of Dataverse, supported by Nanyang Technological University.</t>
  </si>
  <si>
    <t>10.1002/jqs.3181</t>
  </si>
  <si>
    <t>WOS:000504100300001</t>
  </si>
  <si>
    <t>Siemann, Amanda L.; Chaney, Nathaniel; Wood, Eric F.</t>
  </si>
  <si>
    <t>Sensible heat flux directly influences local and regional climate and can be estimated using remotely sensed satellite observations. Although significant efforts have been made to estimate sensitivity and uncertainty in energy flux estimates at the local and regional scales using both models and algorithms compatible with remotely sensed satellite data, few studies quantify the sensitivity or uncertainty at the global scale, enabling a global comparison among uncertainty drivers. This study uses the 10 percentile change from the mean value in the empirical cumulative distribution function for the distribution of each input data set to calculate the sensitivity of the unconstrained, terrestrial sensible heat flux to change in the input data sets and uses this sensitivity in a first-order analysis of the uncertainty in the sensible heat flux. The largest sensitivities to the Zilitinkevich empirical constant (C-zil) are in the Amazon, northern Australia, and the plains of North America, while the sensitivity of the sensible heat flux to the temperature gradient is largest in dry regions of shorter vegetation. The C-zil contributes most to the uncertainty of over 50-100W/m(2) in the Amazon and Indonesia, while the temperature gradient contributes most to the uncertainty elsewhere, producing an overall global average uncertainty of 24.8W/m(2). Future work should reduce the uncertainties in the temperature gradient and the C-zil to reduce the uncertainty in sensible heat flux estimates.</t>
  </si>
  <si>
    <t>[Siemann, Amanda L.; Chaney, Nathaniel; Wood, Eric F.] Princeton Univ, Dept Civil &amp; Environm Engn, Princeton, NJ 08544 USA</t>
  </si>
  <si>
    <t>Princeton University</t>
  </si>
  <si>
    <t>NOAA(National Oceanic Atmospheric Admin (NOAA) - USA)</t>
  </si>
  <si>
    <t>This work is supported by NOAA grant NA11OAR4310175. The data sets supporting these conclusions are available at http://hydrology.princeton.edu/similar to siemann/data/Sensitivity_Uncertainty/ and questions can be directed to the corresponding author, Amanda L. Siemann at siemann@princeton.edu.</t>
  </si>
  <si>
    <t>MAY 27</t>
  </si>
  <si>
    <t>10.1029/2017JD027785</t>
  </si>
  <si>
    <t>WOS:000435445600013</t>
  </si>
  <si>
    <t>An effect of urbanization as well as regional climate change on the urban rainfall level has been found in many cities. Bangkok is a megacity that has experienced a rapid growth and expansion in the past few decades, and this has led to parts of the population moving from the inner city to the urban fringes and suburbs. This research applied statistical analysis to study the variations in the annual and maximum 1-day rainfall levels from 1982 to 2010 in a Bangkok urban area of 100 km(2) that covers the inner city and western urban fringe. The trend in the temperature over this period was also investigated as a preliminary indicator of the effect of urbanization and revealed that the temperature in Bangkok was still increasing and at a far higher rate than in the rural area in the nearby province in the west (Nakhon Pathom). The moving average and Mann-Kendall analyses revealed that the annual rainfall level significantly increased in the urban fringe in the western part and slightly decreased in the inner city in the eastern part of the study area, while the maximum 1-day rainfall decreased all over the study area except for in the commercial area in the eastern part where the trend was unclear. However, frequency analysis between 1982-1996 and 1997-2010 in the commercial area revealed a long return period rainfall (5-10 years or more) increase compared with that in the other areas. The causes in the variation in both the annual and maximum 1-day rainfall are also preliminary investigated in this study.</t>
  </si>
  <si>
    <t>Research Endowment Fund, Chulalongkorn University</t>
  </si>
  <si>
    <t>The authors would like to thank the Research Endowment Fund, Chulalongkorn University for providing financial support. The TMD is thanked for providing the rainfall and temperature data. We are grateful for the thorough reviews by Prof. Dr. Abdullah M. Al-Amri, Editor-in-Chief of Arabian Journal of Geosciences, and anonymous reviewers. Their valuable comments significantly improved the earlier draft to this article.</t>
  </si>
  <si>
    <t>10.1007/s12517-014-1438-3</t>
  </si>
  <si>
    <t>WOS:000355336800067</t>
  </si>
  <si>
    <t>Buchori, Imam; Zaki, Abdurrahman; Pangi, Pangi; Sejati, Anang Wahyu; Pramitasari, Angrenggani; Liu, Yan</t>
  </si>
  <si>
    <t>Governments often take a top-down approach in their mitigation projects to deal with the risks of climate change in coastal areas. However, community participation may increase the effectiveness of a mitigation project. Places whose community has a different nature of place/social attachment can have a different community likelihood of participating in social activities, particularly its community-led adaptation strategies and involvement in government-led mitigation projects. Therefore, this research article explores the differences between how an urban community and a suburban community implement adaptation strategies and participate in government-led mitigation projects. We conducted a questionnaire survey to collect data from 100 urban and 100 suburban residents. The results were analyzed using descriptive statistics and corroborated by five key informants. The results indicate that the suburban community was more likely to implement community-led adaptation strategies due to its willingness to participate in social activities. The suburban community also had more significant participation in government-led mitigation projects and then positively affected the outcomes of the projects. Other factors like the role of villages' heads and the existence of facilitators also influenced the local community to participate in the projects. This study suggests that more significant community participation might increase the sense of belonging of the local community in government-led mitigation projects. Therefore, the local community would have a stronger willingness to maintain and contribute to the sustainability of the projects' results.</t>
  </si>
  <si>
    <t>[Buchori, Imam; Sejati, Anang Wahyu] Diponegoro Univ, Fac Engn, Dept Urban &amp; Reg Planning, Kota Semarang, Indonesia; [Zaki, Abdurrahman] Diponegoro Univ, Ctr Geomat Applicat Sustainable Dev Cent Lab &amp; Se, Kota Semarang, Indonesia; [Pangi, Pangi] Diponegoro Univ, Vocat Sch, Kota Semarang, Indonesia; [Pramitasari, Angrenggani] Podomoro Univ, Dept Urban &amp; Reg Planning, Jakarta, Indonesia; [Liu, Yan] Univ Queensland, Sch Earth &amp; Environm Sci, St Lucia, Qld, Australia</t>
  </si>
  <si>
    <t>Diponegoro University; Diponegoro University; Diponegoro University; University of Queensland</t>
  </si>
  <si>
    <t>World Class Research (WCR) Program of Universitas Diponegoro, Indonesia</t>
  </si>
  <si>
    <t>This article was resulted from the first-year research, part of a three-year research funded by the World Class Research (WCR) Program of Universitas Diponegoro, Indonesia (Grant Number 118-27/UN7.6.1/PP/2021). The authors would like to thank Ms. Desita Fatima Azziz and Ms. Puspita Dhian for their help in data compilation and the editor and anonymous reviewers for their constructive insights. Any flaw or weakness is the responsibility of the authors.</t>
  </si>
  <si>
    <t>10.1016/j.ijdrr.2022.103271</t>
  </si>
  <si>
    <t>WOS:000877592900018</t>
  </si>
  <si>
    <t>Hariadi, Mugni Hadi; van der Schrier, Gerard; Steeneveld, Gert-Jan; Sopaheluwakan, Ardhasena; Tank, Albert Klein; Roberts, Malcolm John; Moine, Marie-Pierre; Bellucci, Alessio; Senan, Retish; Tourigny, Etienne; Putrasahan, Dian</t>
  </si>
  <si>
    <t>Representing the rainy season of the maritime continent is a challenge for global and regional climate models. Here, we compare regional climate models (RCMs) based on the coupled model intercomparison project phase 5 (CMIP5) model generation with high-resolution global climate models with a comparable spatial resolution from the HighResMIP experiment. The onset and the total precipitation of the rainy season for both model experiments are compared against observational datasets for Southeast Asia. A realistic representation of the monsoon rainfall is essential for agriculture in Southeast Asia as a delayed onset jeopardizes the possibility of having three annual crops. In general, the coupled historical runs (Hist-1950) and the historical force atmosphere run (HighresSST) of the high-resolution model intercomparison project (HighResMIP) suite were consistently closer to the observations than the RCM of CMIP5 used in this study. We find that for the whole of Southeast Asia, the HighResMIP models simulate the onset date and the total precipitation of the rainy season over the region closer to the observations than the other model sets used in this study. High-resolution models in the HighresSST experiment showed a similar performance to their low-resolution equivalents in simulating the monsoon characteristics. The HighresSST experiment simulated the anomaly of the onset date and the total precipitation for different El Nino-southern oscillation conditions best, although the magnitude of the onset date anomaly was underestimated.</t>
  </si>
  <si>
    <t>[Hariadi, Mugni Hadi; van der Schrier, Gerard] Royal Netherlands Meteorol Inst KNMI, Utrechtseweg 297, NL-3731 GA De Bilt, Netherlands; [Hariadi, Mugni Hadi; Steeneveld, Gert-Jan; Tank, Albert Klein] Wageningen Univ, Meteorol &amp; Air Qual MAQ Sect, Wageningen, Netherlands; [Hariadi, Mugni Hadi; Sopaheluwakan, Ardhasena] Indonesian Agcy Meteorol Climatol &amp; Geophys BMKG, Jakarta, Indonesia; [Tank, Albert Klein; Roberts, Malcolm John] Met Off Hadley Ctr Climate Sci &amp; Serv, Exeter, Devon, England; [Moine, Marie-Pierre] Univ Toulouse, CNRS, CERFACS, CECI, Toulouse, France; [Bellucci, Alessio] Euro Mediterranean Ctr Climate Change CMCC, Lecce, Italy; [Senan, Retish] European Ctr Medium Range Weather Forecasts ECMWF, Reading, Berks, England; [Tourigny, Etienne] Barcelona Supercomp Ctr BSC, Barcelona, Spain; [Putrasahan, Dian] Max Planck Inst Meteorol MPI M, Hamburg, Germany</t>
  </si>
  <si>
    <t>Royal Netherlands Meteorological Institute; Wageningen University &amp; Research; Indonesian Agency for Meteorology, Climatology &amp; Geophysics; Met Office - UK; Hadley Centre; CERFACS; Universite de Toulouse; Centre National de la Recherche Scientifique (CNRS); Centro Euro-Mediterraneo sui Cambiamenti Climatici (CMCC); European Centre for Medium-Range Weather Forecasts (ECMWF); Universitat Politecnica de Catalunya; Barcelona Supercomputer Center (BSC-CNS)</t>
  </si>
  <si>
    <t>Indonesia Endowment Fund for Education (LPDP); H2020 Marie Sklodowska-Curie; European Union's Horizon 2020 Research and Innovation Programme; H2020 Societal Challenges Programme(Horizon 2020European Union (EU)H2020 Societal Challenges Programme); Marie Curie Actions (MSCA)(Marie Curie Actions)</t>
  </si>
  <si>
    <t>Indonesia Endowment Fund for Education (LPDP), Grant/Award Number: S-353/LPDP.3/2019; H2020 Marie Sklodowska-Curie, Grant/Award Number: 748750; European Union's Horizon 2020 Research and Innovation Programme, Grant/Award Number: 641727</t>
  </si>
  <si>
    <t>10.1002/joc.7404</t>
  </si>
  <si>
    <t>WOS:000712587400001</t>
  </si>
  <si>
    <t>Kynaston, David; Bhattacharya, Janok P.; Singer, Brad S.; Jicha, Brian R.</t>
  </si>
  <si>
    <t>This paper documents a tidally incised, mudstone-prone tributary valley fill linked to a trunk valley in the backwater limit of the Turonian Notom Delta of the Ferron Sandstone Member, Utah. High-resolution 3D photogrammetry models were used to correlate a 20-m-deep valley between 32 measured sections over a 1 km(2) area. A GPS survey and GIS geostatistical tools were used to restore the morphology of the tributary valley. The restored valley floor is interpreted as a surface of tidal erosion, based on the overlying facies and surface morphology. Morphological similarities exist between this tributary valley and modern analogs observed in northern Australia, the Memramcook tributary in the Bay of Fundy, and Pleistocene sediments in the Gulf of Thailand. Ar-40/(39) Ar dating of sanidine crystals using multi-collector mass spectrometry allow for a re-evaluation of depositional rates and timing of 32 fluvial aggradation cycles (FACs) and 9 fluvial-aggradation cycle sets (FAC sets) in this sequence. The new dates show that the entire sequence was deposited in 15 +/- 5 kyr, and show that Milankovitch cycles cannot account for the internal complexity of this fluvial stratigraphy, indicating likely autogenic control of the FAC sets. The lateral extent of FACs in floodplain deposits mapped in outcrop are correlated over tens to hundreds of meters, and scale to estimated channel widths reflecting the autogenic control. FAC sets can be correlated for up to 10 km along depositional strike, which suggest controls unrelated to the dynamics of individual channels and may show some elements of allogenic climate-driven processes.</t>
  </si>
  <si>
    <t>[Kynaston, David; Bhattacharya, Janok P.; Singer, Brad S.; Jicha, Brian R.] McMaster Univ, Sch Geog &amp; Earth Sci, 1280 Main St West, Hamilton, ON L8S 4K1, Canada</t>
  </si>
  <si>
    <t>McMaster University</t>
  </si>
  <si>
    <t>Susan Cunningham Research Chair at McMaster University, Quantitative Sedimentology Laboratories; BP; Ecopetrol; National Sciences and Engineering Research Council of Canada (NSERC)(Natural Sciences and Engineering Research Council of Canada (NSERC)); NSERC(Natural Sciences and Engineering Research Council of Canada (NSERC)); INPEX</t>
  </si>
  <si>
    <t>This paper was written with the generous support of the Susan Cunningham Research Chair at McMaster University, Quantitative Sedimentology Laboratories, with funding from BP, Ecopetrol, INPEX, and the National Sciences and Engineering Research Council of Canada (NSERC), and NSERC Discovery Grant RPG IN05780-14 to Dr. Bhattacharya. Extraction preparation of sanidine grains from bentonite samples for chronometric dating was done by Nick Randazzo and Greg Hemon.</t>
  </si>
  <si>
    <t>SEPM-SOC SEDIMENTARY GEOLOGY</t>
  </si>
  <si>
    <t>6128 EAST 38TH ST, STE 308, TULSA, OK 74135-5814 USA</t>
  </si>
  <si>
    <t>1527-1404</t>
  </si>
  <si>
    <t>1938-3681</t>
  </si>
  <si>
    <t>J SEDIMENT RES</t>
  </si>
  <si>
    <t>J. Sediment. Res.</t>
  </si>
  <si>
    <t>10.2110/jsr.2020.76</t>
  </si>
  <si>
    <t>WOS:000634541100003</t>
  </si>
  <si>
    <t>Kang, Suchul; Im, Eun-Soon; Eltahir, Elfatih A. B.</t>
  </si>
  <si>
    <t>In this study, future changes in rainfall due to global climate change are investigated over the western Maritime Continent based on dynamically downscaled climate projections using the MIT Regional Climate Model (MRCM) with 12km horizontal resolution. A total of nine 30-year regional climate projections driven by multi-GCMs projections (CCSM4, MPI-ESM-MR and ACCESS1.0) under multi-scenarios of greenhouse gases emissions (Historical: 1976-2005, RCP4.5 and RCP8.5: 2071-2100) from phase 5 of the Coupled Model Inter-comparison Project (CMIP5) are analyzed. Focusing on dynamically downscaled rainfall fields, the associated systematic biases originating from GCM and MRCM are removed based on observations using Parametric Quantile Mapping method in order to enhance the reliability of future projections. The MRCM simulations with bias correction capture the spatial patterns of seasonal rainfall as well as the frequency distribution of daily rainfall. Based on projected rainfall changes under both RCP4.5 and RCP8.5 scenarios, the ensemble of MRCM simulations project a significant decrease in rainfall over the western Maritime Continent during the inter-monsoon periods while the change in rainfall is not relevant during wet season. The main mechanism behind the simulated decrease in rainfall is rooted in asymmetries of the projected changes in seasonal dynamics of the meridional circulation along different latitudes. The sinking motion, which is marginally positioned in the reference simulation, is enhanced and expanded under global climate change, particularly in RCP8.5 scenario during boreal fall season. The projected enhancement of rainfall seasonality over the western Maritime Continent suggests increased risk of water stress for natural ecosystems as well as man-made water resources reservoirs.</t>
  </si>
  <si>
    <t>[Kang, Suchul] Ctr Environm Sensing &amp; Modeling CENSAM, Singapore MIT Alliance Res &amp; Technol SMART, Singapore, Singapore; [Im, Eun-Soon] Hong Kong Univ Sci &amp; Technol, Dept Civil &amp; Environm Engn, Div Environm &amp; Sustainabil, Kowloon, Acad Bldg 3594,Clear Water Bay, Hong Kong, Peoples R China; [Eltahir, Elfatih A. B.] MIT, Ralph M Parsons Lab, Cambridge, MA 02139 USA</t>
  </si>
  <si>
    <t>Singapore-MIT Alliance for Research &amp; Technology Centre (SMART); Hong Kong University of Science &amp; Technology; Massachusetts Institute of Technology (MIT)</t>
  </si>
  <si>
    <t>National Research Foundation Singapore under its Campus for Research Excellence and Technological Enterprise programme(National Research Foundation, Singapore); Korea Agency for Infrastructure Technology Advancement (KAIA) - Ministry of Land, Infrastructure and Transport</t>
  </si>
  <si>
    <t>This research is supported by the National Research Foundation Singapore under its Campus for Research Excellence and Technological Enterprise programme. The Center for Environmental Sensing and Modeling is an interdisciplinary research group of the Singapore MIT Alliance for Research and Technology. The corresponding author, E.-S. Im, was supported by the Korea Agency for Infrastructure Technology Advancement (KAIA) Grant funded by the Ministry of Land, Infrastructure and Transport (Grant 18AWMP-B083066-05).</t>
  </si>
  <si>
    <t>10.1007/s00382-018-4164-9</t>
  </si>
  <si>
    <t>WOS:000460619200043</t>
  </si>
  <si>
    <t>systematic downscaling-disaggregation study was conducted over Singapore Island, with an aim to generate high spatial and temporal resolution rainfall data under future climate-change conditions. The study consisted of two major components. The first part was to perform an inter-comparison of various alternatives of downscaling and disaggregation methods based on observed data. This included (i) single-site generalized linear model (GLM) plus K-nearest neighbor (KNN) (S-G-K) vs. multisite GLM (M-G) for spatial downscaling, (ii) HYETOS vs. KNN for single-site disaggregation, and (iii) KNN vs. MuDRain (Multivariate Rainfall Disaggregation tool) for multisite disaggregation. The results revealed that, for multisite downscaling, M-G performs better than S-G-K in covering the observed data with a lower RMSE value; for single-site disaggregation, KNN could better keep the basic statistics (i.e. standard deviation, lag-1 autocorrelation and probability of wet hour) than HYETOS; for multisite disaggregation, MuDRain outperformed KNN in fitting interstation correlations. In the second part of the study, an integrated downscaling-disaggregation framework based on M-G, KNN, and MuDRain was used to generate hourly rainfall at multiple sites. The results indicated that the downscaled and disaggregated rainfall data based on multiple ensembles from HadCM3 for the period from 1980 to 2010 could well cover the observed mean rainfall amount and extreme data, and also reasonably keep the spatial correlations both at daily and hourly timescales. The framework was also used to project future rainfall conditions under HadCM3 SRES A2 and B2 scenarios. It was indicated that the annual rainfall amount could reduce up to 5% at the end of this century, but the rainfall of wet season and extreme hourly rainfall could notably increase. (C) 2013 Elsevier B.V. All rights reserved.</t>
  </si>
  <si>
    <t>[Lu, Y.; Qin, X. S.] Nanyang Technol Univ, Sch Civil &amp; Environm Engn, Singapore 639798, Singapore; [Qin, X. S.] Nanyang Technol Univ, Earth Observ Singapore, Singapore 639798, Singapore</t>
  </si>
  <si>
    <t>Earth Observatory of Singapore (EOS) Project; Singapore's Ministry of Education (MOM) AcRF Tier 1 Project</t>
  </si>
  <si>
    <t>This research was supported by Earth Observatory of Singapore (EOS) Project (M4080707.B50, M4080891.B50, and M4430053.B50) and Singapore's Ministry of Education (MOM) AcRF Tier 1 Project (M4010973.030). The authors are thankful for the data support from National Environment Agency (NEA) of Singapore. The authors also much appreciate the reviewers and the editor for his/her insightful and valuable reviews.</t>
  </si>
  <si>
    <t>FEB 13</t>
  </si>
  <si>
    <t>10.1016/j.jhydrol.2013.11.027</t>
  </si>
  <si>
    <t>WOS:000331662800005</t>
  </si>
  <si>
    <t>Birhan, Megbar W.; Tariku, Shimelis</t>
  </si>
  <si>
    <t>Sun is the primary source of energy in space. It generates a magnetic field which released in solar flares or coronal mass ejections for 11-year solar cycle that causes the occurrence of space weather. Different researchers in different parts of the world indicated that space weather highly affects agriculture production. However, in Ethiopia context especially Chokie mountain basin the influence of space weather on agriculture was not documented. Hence, this paper was aimed at investigating the impact of space weather on agriculture products over Chokie mountain basin. Assessment of space weather impacts on agriculture product is quite useful to balance energy and food security over developing countries like Ethiopia. Space weather (sunspot number), precipitation, temperature, and agriculture data were used for this study. Descriptive quantitative design method was applied on the data of agriculture products and climate variables. Furthermore, regression models with the help of MATLAB software were applied for data analysis. The relation between crop yield (teff, wheat, and maize) with sunspot number, temperature, and precipitation were analyzed in each agro-ecological zones using 31 years (1990-2019) data over Chokie mountain basin. The results showed that correlation coefficients between sunspot number with annual average value of temperature, precipitation, maize, teff, and wheat were found 0.11, - 0.32, - 0.47, - 0.52, and - 0.59, respectively. Sunspot had highly negatively correlated with annual spatial average value of teff and wheat. Generally, the occurrence of space weather (sunspot) leads to reduction of wheat and teff over the study area. Hence, shifting cultivation strategy is needed for local community during the occurrence of 11-year solar cycles frequency.</t>
  </si>
  <si>
    <t>[Birhan, Megbar W.; Tariku, Shimelis] Debre Markos Univ, Coll Nat &amp; Computat Sci, Dept Phys, Debre Markos, Ethiopia</t>
  </si>
  <si>
    <t>Debre Markos University</t>
  </si>
  <si>
    <t>This work was supported by Debre Markos University.</t>
  </si>
  <si>
    <t>10.1007/s11600-021-00610-9</t>
  </si>
  <si>
    <t>WOS:000657572900001</t>
  </si>
  <si>
    <t>Chen, Song; Dipankar, Anurag</t>
  </si>
  <si>
    <t>With increasing interest in urban meteorology and related services, the need to appropriately represent the urban environment in climate/weather models is rising. These regional weather/climate models typically use a km-scale horizontal grid, which is insufficient to resolve the flow around buildings. Effects of the urban environment on the atmosphere above are represented through a bulk approach using the Urban Canopy Parametrization (UCP) schemes. Existing UCPs usually use the repeating canyon-roof representation that assumes homogeneous distribution of buildings within the grid box. It is commonly accepted that the assumption of homogeneity holds at km-scale grid resolution but whether it also holds at sub-km scale, where the regional models are increasingly approaching, is questionable. For this reason, among others, the resolution ranges from a few hundred metres to tens of metres (i.e. building-resolving scales) is termed the building grey zone in the existing literature. This work shows that the assumption of homogeneity indeed does not hold at the building grey zone for the city-state Singapore. To understand the possible influences of the use of UCPs at scales from the building grey zone to the conventional mesoscale, we use an urban-grid method that allows us to estimate the parametrized fluxes from a typical UCP at varying resolutions over the urban landcover while keeping the same atmospheric model grid. Numerical results show that different urban-grid resolutions yield variations in the near-surface temperature and wind to a maximum of 0.5 K and 1 m center dot s(-1). Their impact on the boundary-layer parameters is found to be limited. Although these near-surface variations are small, they are comparable to the near-surface scaling variables and are thus physically significant.</t>
  </si>
  <si>
    <t>[Chen, Song] Meteorol Serv Singapore, Ctr Climate Res Singapore, Singapore, Singapore; [Dipankar, Anurag] Swiss Fed Inst Technol, Inst Atmospher &amp; Climate Sci, Zurich, Switzerland</t>
  </si>
  <si>
    <t>Meteorological Service Singapore; Swiss Federal Institutes of Technology Domain; ETH Zurich</t>
  </si>
  <si>
    <t>10.1002/qj.4269</t>
  </si>
  <si>
    <t>WOS:000781414000001</t>
  </si>
  <si>
    <t>Li, Chaofan; Lu, Riyu; Dong, Buwen</t>
  </si>
  <si>
    <t>Identifying predictability and the corresponding sources for the western North Pacific (WNP) summer climate in the case of non-stationary teleconnections during recent decades benefits for further improvements of long-range prediction on the WNP and East Asian summers. In the past few decades, pronounced increases on the summer sea surface temperature (SST) and associated interannual variability are observed over the tropical Indian Ocean and eastern Pacific around the late 1970s and over the Maritime Continent and western-central Pacific around the early 1990s. These increases are associated with significant enhancements of the interannual variability for the lower-tropospheric wind over the WNP. In this study, we further assess interdecadal changes on the seasonal prediction of the WNP summer anomalies, using May-start retrospective forecasts from the ENSEMBLES multi-model project in the period 1960-2005. It is found that prediction of the WNP summer anomalies exhibits an interdecadal shift with higher prediction skills since the late 1970s, particularly after the early 1990s. Improvements of the prediction skills for SSTs after the late 1970s are mainly found around tropical Indian Ocean and the WNP. The better prediction of the WNP after the late 1970s may arise mainly from the improvement of the SST prediction around the tropical eastern Indian Ocean. The close teleconnections between the tropical eastern Indian Ocean and WNP summer variability work both in the model predictions and observations. After the early 1990s, on the other hand, the improvements are detected mainly around the South China Sea and Philippines for the lower-tropospheric zonal wind and precipitation anomalies, associating with a better description of the SST anomalies around the Maritime Continent. A dipole SST pattern over the Maritime Continent and the central equatorial Pacific Ocean is closely related to the WNP summer anomalies after the early 1990s. This teleconnection mode is quite predictable, which is realistically reproduced by the models, presenting more predictable signals to the WNP summer climate after the early 1990s.</t>
  </si>
  <si>
    <t>[Li, Chaofan] Chinese Acad Sci, Inst Atmospher Phys, Ctr Monsoon Syst Res, POB 9804, Beijing 100029, Peoples R China; [Lu, Riyu] Chinese Acad Sci, Inst Atmospher Phys, State Key Lab Numer Modelling Atmospher Sci &amp; Geo, Beijing 100029, Peoples R China; [Dong, Buwen] Univ Reading, Dept Meteorol, Natl Ctr Atmospher Sci Climate, Reading, Berks, England</t>
  </si>
  <si>
    <t>Chinese Academy of Sciences; Institute of Atmospheric Physics, CAS; Chinese Academy of Sciences; Institute of Atmospheric Physics, CAS; University of Reading; UK Research &amp; Innovation (UKRI); Natural Environment Research Council (NERC); NERC National Centre for Atmospheric Science</t>
  </si>
  <si>
    <t>National Natural Science Foundation of China(National Natural Science Foundation of China (NSFC)); UK National Centre for Atmospheric Science - Natural Environment Research Council; Natural Environment Research Council(UK Research &amp; Innovation (UKRI)Natural Environment Research Council (NERC))</t>
  </si>
  <si>
    <t>We thank the two anonymous reviewers for their comments and constructive suggestions. This work was supported by the National Natural Science Foundation of China (Grant Nos. 41305067 and 41320104007). BD is supported by the UK National Centre for Atmospheric Science, funded by the Natural Environment Research Council.</t>
  </si>
  <si>
    <t>10.1007/s00382-015-2711-1</t>
  </si>
  <si>
    <t>WOS:000373442900025</t>
  </si>
  <si>
    <t>Nguyen, Phuong-Loan; Min, Seung-Ki; Kim, Yeon-Hee</t>
  </si>
  <si>
    <t>Using the standardized precipitation evapotranspiration index, this study examines the combined effects of El Nino-Southern Oscillation (ENSO) and Pacific Decadal Oscillation (PDO) on global droughts in terms of magnitude, timing, and duration. The ENSO-affected drought hotspots are identified based on drought magnitude and probability of occurrence: five hotspots for El Nino (Amazon, India, central China, Indonesia, and eastern Australia) and four hotspots for La Nina (southeastern United States, southern South America, East Africa, and Southwest Asia). When ENSO and PDO are in phase, most of the hotspots exhibit an intensification and expansion of drought, more clearly at longer time scales (6-12 months), supporting previous studies. Interestingly, the in-phase PDO advances El Nino-induced drought onset by early summer of the previous year, whereas it delays the withdrawal of La Nina-induced drought until the end of the event year. This asymmetric response is found to be in part associated with the earlier start and later end of El Nino itself during warm PDO, which does not hold for the La Nina/cold PDO composites. Further analyses of the responses of precipitation (P) and potential evapotranspiration (PET) to different ENSO-PDO combinations suggest the important role of P reduction in determining drought magnitude and timing over most of the hotspots, with some contribution of enhanced PET to drier conditions over a few La Nina hotspots. It is also found that the PDO modulation of El Nino-induced drought occurs primarily through the eastern Pacific El Nino with a limited influence on the central Pacific El Nino.</t>
  </si>
  <si>
    <t>[Nguyen, Phuong-Loan] UNSW, Climate Change Res Ctr, Sydney, NSW, Australia; [Nguyen, Phuong-Loan] UNSW, ARC Ctr Excellence Climate Extremes, Sydney, NSW, Australia; [Min, Seung-Ki; Kim, Yeon-Hee] Pohang Univ Sci &amp; Technol, Div Environm Sci &amp; Engn, Pohang, South Korea</t>
  </si>
  <si>
    <t>University of New South Wales Sydney; University of New South Wales Sydney; Pohang University of Science &amp; Technology (POSTECH)</t>
  </si>
  <si>
    <t>Korea Meteorological Administration Research and Development Program(Korea Meteorological Administration (KMA)); National Research Foundation of Korea (NRF) - South Korean government (MSIT)(National Research Foundation of KoreaMinistry of Science &amp; ICT (MSIT), Republic of Korea)</t>
  </si>
  <si>
    <t>The authors thank Scott Power for useful comments on our initial results and two anonymous reviewers for their constructive comments on our manuscript. This work was supported by the Korea Meteorological Administration Research and Development Program under Grant KMI 2018-03610 and by a National Research Foundation of Korea (NRF) grant funded by the South Korean government (MSIT) (Grant 2017R1A2B2008951).</t>
  </si>
  <si>
    <t>10.1002/joc.6796</t>
  </si>
  <si>
    <t>WOS:000565577700001</t>
  </si>
  <si>
    <t>Li, Yuanlong; Han, Weiqing; Zhang, Lei; Wang, Fan</t>
  </si>
  <si>
    <t>The southeast Indian Ocean (SEIO) exhibits decadal variability in sea surface temperature (SST) with amplitudes of similar to 0.2-0.3 K and covaries with the central Pacific (r = -0.63 with Nino-4 index for 1975-2010). In this study, the generation mechanisms of decadal SST variability are explored using an ocean general circulation model (OGCM), and its impact on atmosphere is evaluated using an atmospheric general circulation model (AGCM). OGCM experiments reveal that Pacific forcing through the Indonesian Throughflow explains &lt;20% of the total SST variability, and the contribution of local wind stress is also small. These wind-forced anomalies mainly occur near the Western Australian coast. The majority of SST variability is attributed to surface heat fluxes. The reduced upward turbulent heat flux (Q(T); latent plus sensible heat flux), owing to decreased wind speed and anomalous warm, moist air advection, is essential for the growth of warm SST anomalies (SSTAs). The warming causes reduction of low cloud cover that increases surface shortwave radiation (SWR) and further promotes the warming. However, the resultant high SST, along with the increased wind speed in the offshore area, enhances the upward Q(T) and begins to cool the ocean. Warm SSTAs co-occur with cyclonic low-level wind anomalies in the SEIO and enhanced rainfall over Indonesia and northwest Australia. AGCM experiments suggest that although the tropical Pacific SST has strong effects on the SEIO region through atmospheric teleconnection, the cyclonic winds and increased rainfall are mainly caused by the SEIO warming through local air-sea interactions.</t>
  </si>
  <si>
    <t>[Li, Yuanlong; Wang, Fan] Chinese Acad Sci, Inst Oceanol, CAS Key Lab Ocean Circulat &amp; Waves, Qingdao, Shandong, Peoples R China; [Li, Yuanlong] CAS Ctr Excellence Quaternary Sci &amp; Global Change, Xian, Shaanxi, Peoples R China; [Li, Yuanlong; Wang, Fan] Chinese Acad Sci, Ctr Ocean Mega Sci, Qingdao, Shandong, Peoples R China; [Li, Yuanlong; Wang, Fan] Qingdao Natl Lab Marine Sci &amp; Technol, Funct Lab Ocean Dynam &amp; Climate, Qingdao, Shandong, Peoples R China; [Han, Weiqing; Zhang, Lei] Univ Colorado, Dept Atmospher &amp; Ocean Sci, Boulder, CO 80309 USA</t>
  </si>
  <si>
    <t>Chinese Academy of Sciences; Institute of Oceanology, CAS; Chinese Academy of Sciences; Laoshan Laboratory; University of Colorado System; University of Colorado Boulder</t>
  </si>
  <si>
    <t>National Natural Science Foundation of China (NSFC)(National Natural Science Foundation of China (NSFC)); National Program on Global Change and Air-Sea Interaction; NSF-AGS; NSF-OCE(National Science Foundation (NSF)NSF - Directorate for Geosciences (GEO)); Directorate For Geosciences; Division Of Ocean Sciences(National Science Foundation (NSF)NSF - Directorate for Geosciences (GEO))</t>
  </si>
  <si>
    <t>We thank three anonymous reviewers for providing helpful comments. This research is supported by National Natural Science Foundation of China (NSFC) Grants 41806001 and 41776001. F. Wang is supported by the National Program on Global Change and Air-Sea Interaction (Grant GASIIPOVAI-01-01). W. Han is supported by NSF-AGS 1446480 and NSF-OCE 1658132. HYCOM simulations are performed on the Yellowstone supercomputer of NCAR CISL. ECHAM simulations are performed on the INDOPAC machine of University of Colorado. HadISST data are available on the Met Office website https://www.metoffice.gov.uk/hadobs/hadisst/.ERA-Interim and ERA-20C data are downloaded from the ECMWF interface website (https://www.ecmwf.int/en/forecasts/datasets). Data analysis and graphing of this study were completed with a licensed MATLAB 2017a program.</t>
  </si>
  <si>
    <t>10.1175/JCLI-D-19-0180.1</t>
  </si>
  <si>
    <t>WOS:000482950800007</t>
  </si>
  <si>
    <t>Rossi, Eduardo; Bonadonna, Costanza; Degruyter, Wim</t>
  </si>
  <si>
    <t>Plume height is an important parameter routinely used to characterize and classify explosive eruptions. Though the strategies to estimate key eruption source parameters such as erupted volume and mass flow rate have evolved over the past few decades, the determination of plume height of past eruptions is still mostly based on empirical approaches that do not account for the new developments in plume modelling based on the interaction of plume and wind. Here we present a revised strategy for the retrieval of plume height from field data that accounts for key aspects of plume dynamics and particle sedimentation, which include: i) the effect of wind advection on the buoyant plume, ii) a new parameterization of the gravitational spreading of the umbrella cloud for distances smaller than the radius of the plume, iii) the effect of particle shape on particle sedimentation, iv) the effect of different atmospheric profiles in different climate zones, v) three-dimensional wind, temperature and pressure data, and vi) topography. In particular, as wind can affect the dynamics and height of the plume, new computed sedimentation patterns are more complex and result in non-linear relationships between downwind and crosswind deposition. Our method is tested against observations of the 2011 eruption of Shinmoedake (Japan), the 1980 eruption of Mount St Helens (USA), and the 1991 eruption of Pinatubo (Philippines). These are well-constrained examples of small, intermediate, and high intensity eruptions, respectively. Intensity scenarios are introduced to account for the non-unique relation between plume height and particle sedimentation resulting from wind advection of volcanic plumes. We further demonstrate that needle like and disk-like particle shapes can have downwind distances 36 to 70% larger than the equivalent spheres. In addition, we find that the effect of latitude on the determination of plume height is more significant for low and intermediate intensity scenarios with a discrepancy between 7 and 20%. (C) 2018 The Author(s). Published by Elsevier B.V.</t>
  </si>
  <si>
    <t>[Rossi, Eduardo; Bonadonna, Costanza] Univ Geneva, Dept Earth Sci, 13 Rue Maraichers, CH-1205 Geneva, Switzerland; [Degruyter, Wim] Cardiff Univ, Sch Earth &amp; Ocean Sci, Pk Pl, Cardiff CF10 3AT, S Glam, Wales</t>
  </si>
  <si>
    <t>University of Geneva; Cardiff University</t>
  </si>
  <si>
    <t>European Union(European Union (EU))</t>
  </si>
  <si>
    <t>The research leading to these results has received funding from the European Union Seventh Framework Programme (FP7/2007-2013) under the project NEMOH, grant agreement no. 289976. The authors are grateful to Sebastien Biass for his help in handling meteorological data. L. Mastin and D. Jessop are also thanked for their thorough review that largely improved the manuscript and T. Mather for her constructive editorial work.</t>
  </si>
  <si>
    <t>10.1016/j.epsl.2018.10.007</t>
  </si>
  <si>
    <t>WOS:000451355700001</t>
  </si>
  <si>
    <t>Xue, Wei; Ko, Jonghan</t>
  </si>
  <si>
    <t>Reliable estimations in evapotranspiration (ET) of paddy rice ecosystems by satellite products are critical because of their important roles in regional hydrological processes and climate change. However, the NASA MODIS ET products (MOD16A2) and its derivatives do not have good correlations with all global paddy rice ET observations. In this research, MOD16 model sensitivity analyses and parameter optimization strategies were conducted in order to solve the problem. Results suggested that underestimation of daily net radiation (R-n) in overcast conditions and less satisfactory reconstruction of field-scale leaf area index (LAI) growth trajectory from the start date of field flooding and transplanting (FFTD) to the end of growing seasons by MODIS coarse vegetation index were identified as two major causes. A Light and Temperature-Driven Growth model and a Phenology-based LAI temporal Smoothing method fusion algorithm (LTDG_PhenoS) and an improved R-n estimation method were introducted and evaluated in paddy rice fields in South Korea, Japan, China, Philippines, India, Spain, Italy, and the USA from 2002 to 2019. The LTDG_PhenoS algorithm considers Landsat and MODIS EVI observations and meteorological data as input variables and 30-m LAI daily time series as outcomes. Introducing the global cloudy index algorithm resulted in improved estimations of daily R(n )under all-sky conditions, with a significant decrease of root mean square error (RMSE) from 1.87 to 1.11 MJ m(-2) day(-1). The LTDG_PhenoS algorithm well reconstructed crop LAI growth dynamics from the FFTD to the end of rice growing seasons, with a substantial decline of RMSE from 1.49 to 0.27 m(2)/m(-2). The FFTD estimations by the LTDG_PhenoS algorithm had an R-2 of 0.97 and a small RMSE of less than 12-days. Daily ET rates estimated by novel algorithms had a substantial decline in RMSE from 2.88 to 0.90 mm day (-1).</t>
  </si>
  <si>
    <t>[Xue, Wei] Lanzhou Univ, Coll Ecol, State Key Lab Grassland Agroecosyst, Lanzhou 730000, Peoples R China; [Ko, Jonghan] Chonnam Natl Univ, Appl Plant Sci, 77 Youngbong ro, Gwangju 61186, South Korea</t>
  </si>
  <si>
    <t>Lanzhou University; Chonnam National University</t>
  </si>
  <si>
    <t>National Natural Science Foundation of China(National Natural Science Foundation of China (NSFC)); basic science research program through the National Research Foundation of Korea(National Research Foundation of Korea)</t>
  </si>
  <si>
    <t>We gratefully acknowledge the AsiaFluxDB and the AmeriFlux network for sharing its online ET data repository. This work was financially supported by the National Natural Science Foundation of China (32001129). Jonghan's research was financially supported by the basic science research program through the National Research Foun-dation of Korea (NRF-2021R1A2C2004459).</t>
  </si>
  <si>
    <t>10.1016/j.jhydrol.2022.128204</t>
  </si>
  <si>
    <t>WOS:000844339700004</t>
  </si>
  <si>
    <t>Zhang, Ling; Shi, Ruizi; Fraedrich, Klaus; Zhu, Xiuhua</t>
  </si>
  <si>
    <t>Based on the NCEP/NCAR reanalysis data, the COBE sea surface temperature (SST) and the GPCC precipitation, the influences of El Nino-South Oscillation (ENSO) on the variability of winter rainfall anomalies in Southeast China is analyzed under the synergistic effect of Indian Ocean Dipole (IOD). Winter precipitation and atmospheric circulation of the years of IOD concurring with ENSO are compared with single IOD or ENSO, to reveal the mechanism of synergistic effects on the variability of winter rainfall anomalies in Southeast China. The results show that the correlation between IOD/ENSO and the winter precipitation in Southeast China has increased since 1980s. These correlations were significant in years of IOD and ENSO co-occurrence compared to years of IOD or ENSO only, which is mainly due to the lagged atmospheric thermal and dynamic responses to an IOD forcing in synergy with ENSO. The positive IOD (PIOD) events can trigger and modify the anticyclone to the east of India, which transports moisture from the tropical Indian Ocean to Southeast China. In addition, El Nino events can strengthen the abnormal anticyclone over Philippines in winter, which is conducive to maintain the water vapor channel from the tropical western Pacific to Southeast China. Information flow analysis shows that the causalities between IOD and ENSO were enhanced after 1980s, causing the significant increase in the frequency of winter abnormal precipitation in the years of IOD and ENSO concurrence. Furthermore, the higher frequency of PIOD with El Nino (compared to negative IOD with La Nina) attained a ratio of 2:1 after the 1980s, enhancing the Southeast China winter precipitation events associated with IOD and ENSO and the generation of interdecadal variability. This study is helpful to understand the mechanisms of winter precipitation changes in Southeast China, and to improve the forecast accuracy of winter extreme precipitation events.</t>
  </si>
  <si>
    <t>[Zhang, Ling; Shi, Ruizi; Fraedrich, Klaus] Nanjing Univ Informat Sci &amp; Technol, Joint Int Res Lab Climate &amp; Environm Change ILCEC, Collaborat Innovat Ctr Forecast &amp; Evaluat Meteoro, Key Lab Meteorol Disaster,Minist Educ KLME, Nanjing 210044, Peoples R China; [Fraedrich, Klaus] Max Planck Inst Meteorol, D-20144 Hamburg, Germany; [Zhu, Xiuhua] Hamburg Univ, Ctr Earth Syst Res &amp; Sustainabil, D-20146 Hamburg, Germany</t>
  </si>
  <si>
    <t>Nanjing University of Information Science &amp; Technology; Max Planck Society; University of Hamburg</t>
  </si>
  <si>
    <t>National Key R&amp;D Program of China; National Natural Science Foundation of China(National Natural Science Foundation of China (NSFC)); Priority Academic Program Development of Jiangsu Higher Education Institutions (PAPD)</t>
  </si>
  <si>
    <t>This study acknowledges the supports of the National Key R&amp;D Program of China (2016YFA0601702), National Natural Science Foundation of China (D-8000-17-0137) and Priority Academic Program Development of Jiangsu Higher Education Institutions (PAPD).</t>
  </si>
  <si>
    <t>10.1007/s00382-021-05907-5</t>
  </si>
  <si>
    <t>WOS:000681512900001</t>
  </si>
  <si>
    <t>Yuan, Chaoxia; Wang, Deng</t>
  </si>
  <si>
    <t>By using the observation, reanalysis data and numerical simulation, the inter-decadal variations in El Nino-Southern Oscillation (ENSO) impacts on the eastern China (EC) precipitation during its developing autumn in the past 65 years have been investigated. Results show that ENSO is related to the significant dipole precipitation anomalies in EC in the early decades (1951-1981); El Nino/La Nina introduces more/less precipitation in the southern EC, but less/more in the northern EC. However, the significant dipole pattern disappears in the recent decades (1985-2015), mainly owing to loss of the significant positive influences of La Nina on the northern EC precipitation. Comparison of the atmospheric circulation anomalies in East Asia related to La Nina in the two periods shows that there are anticyclonic circulation anomalies in the northeastern Asia near Japan in the first period, while they shift to Mongolia in the second period. Hence, in the first period, the northern EC is under the influences of anomalous southwesterlies along the southwestern flank of the anticyclonic circulation anomalies that advect more moisture from the south to the northern EC and lead to more precipitation there. In contrast, in the second period, the northern EC is under the influences of anomalous northeasterlies along the southeastern edge of the anticyclonic circulation anomalies near Mongolia that impede the northwards transport of moisture and are not conducive to surplus precipitation. The westwards shift of the anticyclonic circulation anomalies may be closely related to the higher SST and thus convective anomalies related to La Nina in the tropical western North Pacific (WNP) east of the Philippines in the second than the first periods. The sensitivity experiment forced by the positive SST anomalies in the tropical WNP comparable to the observed in an atmospheric general circulation model can successfully simulate the anticyclonic circulation anomalies around Mongolia.</t>
  </si>
  <si>
    <t>[Yuan, Chaoxia; Wang, Deng] Nanjing Univ Informat Sci &amp; Technol, Key Lab Meteorol Disaster, Minist Educ, Collaborat Innovat Ctr Forecast &amp; Evaluat Meteoro, Nanjing 210044, Jiangsu, Peoples R China</t>
  </si>
  <si>
    <t>10.1002/joc.6156</t>
  </si>
  <si>
    <t>WOS:000492898900007</t>
  </si>
  <si>
    <t>Buentgen, Ulf; Smith, Sylvie Hodgson; Wagner, Sebastian; Krusic, Paul; Esper, Jan; Piermattei, Alma; Crivellaro, Alan; Reinig, Frederick; Tegel, Willy; Kirdyanov, Alexander; Trnka, Mirek; Oppenheimer, Clive</t>
  </si>
  <si>
    <t>The largest explosive volcanic eruption of the Common Era in terms of estimated sulphur yield to the stratosphere was identified in glaciochemical records 40 years ago, and dates to the mid-thirteenth century. Despite eventual attribution to the Samalas (Rinjani) volcano in Indonesia, the eruption date remains uncertain, and the climate response only partially understood. Seeking a more global perspective on summer surface temperature and hydroclimate change following the eruption, we present an analysis of 249 tree-ring chronologies spanning the thirteenth century and representing all continents except Antarctica. Of the 170 predominantly temperature sensitive high-frequency chronologies, the earliest hints of boreal summer cooling are the growth depressions found at sites in the western US and Canada in 1257 CE. If this response is a result of Samalas, it would be consistent with an eruption window of circa May-July 1257 CE. More widespread summer cooling across the mid-latitudes of North America and Eurasia is pronounced in 1258, while records from Scandinavia and Siberia reveal peak cooling in 1259. In contrast to the marked post-Samalas temperature response at high-elevation sites in the Northern Hemisphere, no strong hydroclimatic anomalies emerge from the 79 precipitation-sensitive chronologies. Although our findings remain spatially biased towards the western US and central Europe, and growth-climate response patterns are not always dominated by a single meteorological factor, this study offers a global proxy framework for the evaluation of paleoclimate model simulations.</t>
  </si>
  <si>
    <t>[Buentgen, Ulf; Smith, Sylvie Hodgson; Krusic, Paul; Piermattei, Alma; Crivellaro, Alan; Oppenheimer, Clive] Univ Cambridge, Dept Geog, Cambridge CB2 3EN, England; [Buentgen, Ulf; Esper, Jan; Trnka, Mirek] Czech Acad Sci, Global Change Res Inst CzechGlobe, Brno 60300, Czech Republic; [Buentgen, Ulf] Masaryk Univ, Fac Sci, Dept Geog, Brno 61137, Czech Republic; [Buentgen, Ulf] Swiss Fed Res Inst WSL, CH-8903 Birmensdorf, Switzerland; [Wagner, Sebastian] Helmholtz Zentrum Hereon, Inst Coastal Syst Anal &amp; Modeling, D-21502 Geesthacht, Germany; [Krusic, Paul] Stockholm Univ, Dept Phys Geog, S-10691 Stockholm, Sweden; [Esper, Jan; Reinig, Frederick] Johannes Gutenberg Univ Mainz, Dept Geog, D-55099 Mainz, Germany; [Crivellaro, Alan] Stefan Cel Mare Univ Suceava, Fac Forestry, Forest Biometr Lab, Suceava 720229, Romania; [Tegel, Willy] Albert Ludwig Univ Freiburg, Inst Forest Sci, Chair Forest Growth &amp; Dendroecol, Tennenbacherstr 4, D-79106 Freiburg, Germany; [Kirdyanov, Alexander] Siberian Fed Univ, Inst Ecol &amp; Geog, Krasnoyarsk 660041, Russia; [Kirdyanov, Alexander] SB RAS, Fed Res Ctr, VN Sukachev Inst Forest, Krasnoyarsk 660036, Russia</t>
  </si>
  <si>
    <t>University of Cambridge; Czech Academy of Sciences; Global Change Research Centre of the Czech Academy of Sciences; Masaryk University Brno; Swiss Federal Institutes of Technology Domain; Swiss Federal Institute for Forest, Snow &amp; Landscape Research; Helmholtz Association; Helmholtz-Zentrum Hereon; Stockholm University; Johannes Gutenberg University of Mainz; Stefan cel Mare University of Suceava; University of Freiburg; Siberian Federal University; Russian Academy of Sciences; Krasnoyarsk Science Center of the Siberian Branch of the Russian Academy of Sciences; Sukachev Institute of Forest, Siberian Branch, Russian Academy of Sciences</t>
  </si>
  <si>
    <t>SustES projectAdaptation strategies for sustainable ecosystem services and food security under adverse environmental conditions; ERC Advanced project Monostar(European Research Council (ERC))</t>
  </si>
  <si>
    <t>Two anonymous referees kindly commented on earlier versions of this manuscript. We are particularly thankful to all producers and contributors of tree-ring data, which were obtained via the ITRDB (https://www.ncei.noaa.gov/products/paleoclima tology/tree-ring), or compiled by Steffen Walz (who was responsible for data collection and preparation during an initial phase of this project). Ulf Buntgen and Jan Esper received support from the SustES projectAdaptation strategies for sustainable ecosystem services and food security under adverse environmental conditions (CZ.02.1.01/0.0/0.0/16_0 19/0000797), and the ERC Advanced project Monostar (AdG 882727).</t>
  </si>
  <si>
    <t>10.1007/s00382-022-06141-3</t>
  </si>
  <si>
    <t>WOS:000743022400001</t>
  </si>
  <si>
    <t>Yuan Yuan; Li Chongyin; Yang Song</t>
  </si>
  <si>
    <t>Using multiple datasets, this paper analyzes the characteristics of winter precipitation over southern China and its association with warm and cold phases of El Nino-Southern Oscillation during 1948-2011. The study proves that El Nino is an important external forcing factor resulting in above-normal winter precipitation in southern China. The study also reveals that the impact of La Nina on the winter precipitation in southern China has a decadal variability. During the winter of La Nina before 1980, the East Asian winter monsoon is stronger than normal with a deeper trough over East Asia, and the western Pacific subtropical high weakens with its high ridge retreating more eastward. Therefore, anomalous northerly winds dominate over southern China, leading to a cold and dry winter. During La Nina winter after 1980, however, the East Asian trough is weaker than normal, unfavorable for the southward invasion of the winter monsoon. The India-Burma trough is intensified, and the anomalous low-level cyclone excited by La Nina is located to the west of the Philippines. Therefore, anomalous easterly winds prevail over southern China, which increases moisture flux from the tropical oceans to southern China. Meanwhile, La Nina after 1980 may lead to an enhanced and more northward subtropical westerly jet over East Asia in winter. Since southern China is rightly located on the right side of the jet entrance region, anomalous ascending motion dominates there through the secondary vertical circulation, favoring more winter precipitation in southern China. Therefore, a cold and wet winter, sometimes with snowy and icy weathers, would occur in southern China during La Nina winter after 1980. Further analyses indicate that the change in the spatial distribution of sea surface temperature anomaly during the La Nina mature phase, as well as the decadal variation of the Northern Hemisphere atmospheric circulation, would be the important reasons for the decadal variability of the La Nina impact on the atmospheric circulation in East Asia and winter precipitation over southern China after 1980.</t>
  </si>
  <si>
    <t>[Yuan Yuan] Natl Climate Ctr, Lab Climate Studies CMA, Beijing 100081, Peoples R China; [Li Chongyin] Chinese Acad Sci, Inst Atmospher Phys, LASG, Beijing 100029, Peoples R China; [Li Chongyin] PLA Univ Sci &amp; Technol, Inst Meteorol, Nanjing 211101, Jiangsu, Peoples R China; [Yang Song] Sun Yat Sen Univ, Sch Environm Sci &amp; Engn, Guangzhou 510275, Guangdong, Peoples R China</t>
  </si>
  <si>
    <t>Chinese Academy of Sciences; Institute of Atmospheric Physics, CAS; Army Engineering University of PLA; Sun Yat Sen University</t>
  </si>
  <si>
    <t>National (Key) Basic Research and Development (973) Program of China(National Basic Research Program of China); National Natural Science Foundation of China(National Natural Science Foundation of China (NSFC)); China Meteorological Administration Special Public Welfare Research Fund</t>
  </si>
  <si>
    <t>Supported by the National (Key) Basic Research and Development (973) Program of China (2013CB430203), National Natural Science Foundation of China (41005038 and 41105053), China Meteorological Administration Special Public Welfare Research Fund (GYHY201306023 and GYHY200906016).</t>
  </si>
  <si>
    <t>10.1007/s13351-014-0106-6</t>
  </si>
  <si>
    <t>WOS:000334428700005</t>
  </si>
  <si>
    <t>Wieners, Claudia E.; de Ruijter, Will P. M.; Ridderinkhof, Wim; von der Heydt, Anna S.; Dijkstra, Henk A.</t>
  </si>
  <si>
    <t>A multichannel singular spectrum analysis (MSSA) applied simultaneously to tropical sea surface temperature (SST), zonal wind, and burstiness (zonal wind variability) reveals three significant oscillatory modes. They all show a strong ENSO signal in the eastern Pacific Ocean (PO) but also a substantial SST signal in the western Indian Ocean (IO). A correlation-based analysis shows that the western IO signal contains linearly independent information on ENSO. Of the three Indo-Pacific ENSO modes of the MSSA, one resembles a central Pacific (CP) El Nino, while the others represent eastern Pacific (EP) El Ninos, which either start in the central Pacific and grow eastward (EPe) or start near Peru and grow westward (EPw). A composite analysis shows that EPw El Ninos are preceded by cooling in the western IO about 15 months earlier. Two mechanisms are discussed by which the western IO might influence ENSO. In the atmospheric bridge mechanism, subsidence over the cool western IO in autumn (year 0) leads to enhanced convection above Indonesia, strengthening easterlies over the western PO, and the creation of a large warm water volume. This is essential for the creation of (EP) El Ninos in the following spring-summer. In the state-dependent noise mechanism, a cool western IO favors a strong in-traseasonal zonal wind variability over the western PO in early spring (year 1), which can partly be attributed to the Madden-Julian oscillation. This intraseasonal variability induces Kelvin waves, which in early spring lead to a strong warming of the eastern PO and can initiate EPw El Ninos.</t>
  </si>
  <si>
    <t>[Wieners, Claudia E.; de Ruijter, Will P. M.; Ridderinkhof, Wim; von der Heydt, Anna S.; Dijkstra, Henk A.] Univ Utrecht, Inst Marine &amp; Atmospher Res Utrecht, Dept Phys &amp; Astron, Princetonpl 5, NL-3584 CC Utrecht, Netherlands</t>
  </si>
  <si>
    <t>NSO User Support Program; Netherlands Organization for Scientific Research (NWO)(Netherlands Organization for Scientific Research (NWO))</t>
  </si>
  <si>
    <t>The first author (CW) is sponsored by the NSO User Support Program under Grant ALW-GO-AO/12-08, with financial support from the Netherlands Organization for Scientific Research (NWO). The authors thank the three anonymous reviewers for their interesting and helpful comments, which helped to improve the manuscript significantly.</t>
  </si>
  <si>
    <t>10.1175/JCLI-D-15-0262.1</t>
  </si>
  <si>
    <t>WOS:000377116500006</t>
  </si>
  <si>
    <t>Xu, Zhiqing; Fan, Ke</t>
  </si>
  <si>
    <t>This study investigates inter-model spreading of changes in East Asian winter monsoon circulation and the underlying reasons under 1.5 and 2.0 degrees C global warming for Representative Concentration Pathway 8.5. Results show that the spatial patterns of multi-model ensemble and inter-model spreading of changes in 850-hPa zonal and meridional winds over East Asia are similar under the two global warming targets. The multi-model ensemble changes in 850-hPa meridional wind (V850) over southern China are near zero under the two targets. Meanwhile, the V850 changes over southern China exhibit large inter-model spreading, which is closely related to those of regional differences in sea surface temperature changes (DSSTC) in the tropical Pacific. Models with positive V850 anomalies over southern China tend to project weak (strong) surface warming in the western North Pacific (South China Sea and the equatorial central and eastern Pacific). Such a configuration results in decreased precipitation over the east of the Philippines and hence an anomalous lower-level high to its northwest. Accordingly, southwesterly anomalies prevail over southern China. The southwesterly anomalies are further enhanced by related positive feedback processes. Models with negative V850 anomalies tend to project strong (weak) surface warming in the western North Pacific (South China Sea). The projected surface warming in the equatorial central and eastern Pacific is also strong, but weaker than that of models with positive V850 anomalies. Therefore, the induced precipitation and circulation changes over the East Asia-western North Pacific are basically opposite to those described above. Besides, the inter-model spreading of V850 changes over southern China decrease by about 36.2% from 1.5 to 2.0 degrees C global warming, which can be partly attributed to the decrease in the inter-model spreading of DSSTC in the tropical Pacific. Numerical experiments confirm the role of the sea surface temperature changes in the tropical Pacific.</t>
  </si>
  <si>
    <t>[Xu, Zhiqing] Chinese Acad Sci, Inst Atmospher Phys, Climate Change Res Ctr, Beijing 100029, Peoples R China; [Fan, Ke] Sun Yat Sen Univ, Sch Atmospher Sci, Zhuhai, Peoples R China; [Fan, Ke] Sun Yat Sen Univ, Southern Marine Sci &amp; Engn Guangdong Lab Zhuhai, Zhuhai, Peoples R China</t>
  </si>
  <si>
    <t>Chinese Academy of Sciences; Institute of Atmospheric Physics, CAS; Sun Yat Sen University; Sun Yat Sen University; Southern Marine Science &amp; Engineering Guangdong Laboratory; Southern Marine Science &amp; Engineering Guangdong Laboratory (Zhuhai)</t>
  </si>
  <si>
    <t>National Key R&amp;D Program of China; National Natural Science Foundation of China(National Natural Science Foundation of China (NSFC)); Innovation Group Project of Southern Marine Science and Engineering Guangdong Laboratory (Zhuhai)</t>
  </si>
  <si>
    <t>National Key R&amp;D Program of China, Grant/Award Number: 2017YFA0603802; National Natural Science Foundation of China, Grant/Award Numbers: 41730964, 41805062, 41991283; the Innovation Group Project of Southern Marine Science and Engineering Guangdong Laboratory (Zhuhai), Grant/Award Number: No 311021001</t>
  </si>
  <si>
    <t>10.1002/joc.7471</t>
  </si>
  <si>
    <t>WOS:000729377000001</t>
  </si>
  <si>
    <t>Bhatia, Harshita; Khan, Mahasin Ali; Srivastava, Gaurav; Hazra, Taposhi; Spicer, R. A.; Hazra, Manoshi; Mehrotra, R. C.; Spicer, T. E., V; Bera, Subir; Roy, Kaustav</t>
  </si>
  <si>
    <t>After India separated from Gondwana, its 9000 km northward voyage from the Southern Hemisphere to its modern position joined with Eurasia took 160 million years. During that journey, India experienced a range of climatic conditions due to secular climate variations and its changing latitudinal position. Documenting India's climate during its trans-equatorial journey allows us to sample climate across the low latitudes, at a time when global temperatures were exceptionally high, such as we might experience in the future. Here, we reconstruct, quantitatively, the palaeoclimate of India during its voyage, focussing on the latest Maastrichtian-earliest Danian, late Paleocene, early Eocene and late Oligocene timeslices. We exploit the relationship between fossil leaf form and climate and use the Climate-Leaf Analysis Multivariate Program to reconstruct 24 individual palaeoclimate parameters, while fossil leaf traits also allow us to identify different monsoon types. We find that throughout the Paleogene India persistently experienced a monsoon climate similar to that of modern Indonesia-Australia; a monsoon system that exists today primarily as a function of seasonal trans-equatorial migrations of the Intertropical Convergence Zone (ITCZ). The reconstructed near-equatorial thermal regime of India was cooler, and showed a greater seasonal temperature variation than at similar latitudes today, suggesting a wider seasonal latitudinal migration of the ITCZ throughout the Paleogene. Leaf traits showing adaptation to the South Asia Monsoon only developed after the end of the Paleogene. (c) 2021 International Association for Gondwana Research. Published by Elsevier B.V. All rights reserved.</t>
  </si>
  <si>
    <t>[Bhatia, Harshita; Srivastava, Gaurav; Mehrotra, R. C.] Birbal Sahni Inst Palaeosci, 53 Univ Rd, Lucknow 226007, Uttar Pradesh, India; [Bhatia, Harshita; Srivastava, Gaurav] Acad Sci &amp; Innovat Res AcSIR, Ghaziabad 201002, India; [Khan, Mahasin Ali; Hazra, Taposhi; Hazra, Manoshi; Roy, Kaustav] Sidho Kanho Birsha Univ, Dept Bot, Palaeobot &amp; Palynol Lab, Ranchi Rd, Purulia 723104, India; [Spicer, R. A.; Spicer, T. E., V] Chinese Acad Sci, CAS Key Lab Trop Forest Ecol, Xishuangbanna Trop Bot Garden, Mengla 666303, Peoples R China; [Spicer, R. A.] Open Univ, Sch Environm Earth &amp; Ecosyst Sci, Milton Keynes MK7 6AA, Bucks, England; [Hazra, Manoshi] Presidency Univ, 86-1,Coll St,Calcutta Univ Rd, Kolkata 700073, W Bengal, India; [Bera, Subir] Univ Calcutta, Ctr Adv Study, Dept Bot, 35,BC Rd, Kolkata 700019, W Bengal, India</t>
  </si>
  <si>
    <t>Department of Science &amp; Technology (India); Birbal Sahni Institute of Palaeobotany (BSIP); Academy of Scientific &amp; Innovative Research (AcSIR); Chinese Academy of Sciences; Xishuangbanna Tropical Botanical Garden, CAS; Open University - UK; Presidency University, Kolkata; University of Calcutta</t>
  </si>
  <si>
    <t>NSFC-NERC joint research program; NERC(UK Research &amp; Innovation (UKRI)Natural Environment Research Council (NERC))</t>
  </si>
  <si>
    <t>GS, HB and RCM are thankful to Dr. Vandana Prasad, Director of the Birbal Sahni Institute of Palaeosciences, Lucknow for providing necessary facilities and encouragement during the research work. MK, TH, MH and KR gratefully acknowledge the Department of Botany, SidhoKanho-Birsha University for providing infrastructural facilities to accomplish this work. SB acknowledges the Centre of Advanced Study (Phase-VII), Department of Botany, University of Calcutta for providing necessary facilities. RAS and TEVS were supported by NSFC-NERC joint research program [nos. 41661134049 and NE/P013805/1]. The authors are thankful to J.T. Parrish and an anonymous reviewer for their constructive suggestions. They are grateful to Ian D. Somerville (Editor) for helpful corrections in manuscript.</t>
  </si>
  <si>
    <t>10.1016/j.gr.2021.01.010</t>
  </si>
  <si>
    <t>WOS:000634524600005</t>
  </si>
  <si>
    <t>Liebmann, Brant; Hoerling, Martin P.; Funk, Chris; Blade, Ileana; Dole, Randall M.; Allured, Dave; Quan, Xiaowei; Pegion, Philip; Eischeid, Jon K.</t>
  </si>
  <si>
    <t>Observations and sea surface temperature (SST)-forced ECHAM5 simulations are examined to study the seasonal cycle of eastern Africa rainfall and its SST sensitivity during 1979-2012, focusing on interannual variability and trends. The eastern Horn is drier than the rest of equatorial Africa, with two distinct wet seasons, and whereas the October-December wet season has become wetter, the March-May season has become drier. The climatological rainfall in simulations driven by observed SSTs captures this bimodal regime. The simulated trends also qualitatively reproduce the opposite-sign changes in the two rainy seasons, suggesting that SST forcing has played an important role in the observed changes. The consistency between the sign of 1979-2012 trends and interannual SST-precipitation correlations is exploited to identify the most likely locations of SST forcing of precipitation trends in the model, and conceivably also in nature. Results indicate that the observed March-May drying since 1979 is due to sensitivity to an increased zonal gradient in SST between Indonesia and the central Pacific. In contrast, the October-December precipitation increase is mostly due to western Indian Ocean warming. The recent upward trend in the October-December wet season is rather weak, however, and its statistical significance is compromised by strong year-to-year fluctuations. October-December eastern Horn rain variability is strongly associated with El Nino-Southern Oscillation and Indian Ocean dipole phenomena on interannual scales, in both model and observations. The interannual October-December correlation between the ensemble-average and observed Horn rainfall 0.87. By comparison, interannual March-May Horn precipitation is only weakly constrained by SST anomalies.</t>
  </si>
  <si>
    <t>[Liebmann, Brant; Allured, Dave; Quan, Xiaowei; Pegion, Philip; Eischeid, Jon K.] Univ Colorado, NOAA Earth Syst Res Lab, Boulder, CO 80309 USA; [Liebmann, Brant; Allured, Dave; Quan, Xiaowei; Pegion, Philip; Eischeid, Jon K.] Univ Colorado, CIRES, Boulder, CO 80309 USA; [Hoerling, Martin P.; Dole, Randall M.] NOAA Earth Syst Res Lab, Div Phys Sci, Boulder, CO USA; [Funk, Chris] US Geol Survey, Earth Resources Observat &amp; Sci Ctr, Sioux Falls, SD USA; [Funk, Chris] Univ Calif Santa Barbara, Climate Hazards Grp, Santa Barbara, CA 93106 USA; [Blade, Ileana] Univ Barcelona, Fac Fis, Dept Astron &amp; Meteorol, E-08028 Barcelona, Spain; [Blade, Ileana] IC3, Barcelona, Spain</t>
  </si>
  <si>
    <t>University of Colorado System; University of Colorado Boulder; National Oceanic Atmospheric Admin (NOAA) - USA; University of Colorado System; University of Colorado Boulder; National Oceanic Atmospheric Admin (NOAA) - USA; United States Department of the Interior; United States Geological Survey; University of California System; University of California Santa Barbara; University of Barcelona; Institut Catala de Ciencies del Clima (IC3)</t>
  </si>
  <si>
    <t>Spanish MICINN(Spanish Government)</t>
  </si>
  <si>
    <t>IB was funded by Grants DEVIAJE CGL2009-06944 and COMETH CGL 2012-30641 of the Spanish MICINN.</t>
  </si>
  <si>
    <t>10.1175/JCLI-D-13-00714.1</t>
  </si>
  <si>
    <t>WOS:000346055100003</t>
  </si>
  <si>
    <t>He, Junmei; Hong, Liang; Shao, Changkun; Tang, Wenjun</t>
  </si>
  <si>
    <t>Surface solar radiation (SSR) is the main energy source of Earth system, and has direct influence on climate change, the hydrological cycle, and the development of renewable energy technologies. In this study, we compared simulated monthly SSR profiles generated from 62 Coupled Model Intercomparison Project Phase 6 (CMIP6) models against natural SSR observational data collected at 226 GEBA sites during 1990-2014. The accuracy with which CMIP6 models simulated spatial features of SSR was further assessed using ISCCP-ITP satellite data. Our results show that most CMIP6 models overestimate the monthly SSR averaged over all GEBA sites, with an averaged mean bias error (MBE) of approximately 7.8 W/m2. The root mean square error (RMSE) for individual models ranged from 26 to 38 W/m2, and the RMSE for their ensemble mean decreased by an average of 8.1 W/m2. Averaging of the multi-model ensemble led to a significant improvement in the correlation coefficient, which increased from 0.90 to 0.96. Ground-based data showed that the accuracy and annual trend for the CMIP6 multi-model mean (MMM) simulations were more accurate than any individual model. The spatial distribution of CMIP6 MMM multi-year average SSR values agrees well with ISCCP-ITP satellite data retrievals; however, the overall model performance is overestimated in most locations on Earth (e.g., the southern Sahara Desert, the land along the Mediterranean Sea, and the Yangtze River Delta plain), but underestimated in some others (e.g., the Rocky Mountains, the Andes Mountains, Indonesia). The results of this study will allow more accurate predictions to be made of future SSR data produced by CMIP6 models.</t>
  </si>
  <si>
    <t>[He, Junmei; Hong, Liang] Yunnan Normal Univ, Fac Geog, Kunming 650500, Peoples R China; [He, Junmei; Tang, Wenjun] Chinese Acad Sci, Inst Tibetan Plateau Res, Natl Tibetan Plateau Data Ctr TPDC, State Key Lab Tibetan Plateau Earth Syst Environm, Beijing 100101, Peoples R China; [Shao, Changkun] Tsinghua Univ, Inst Global Change Studies, Dept Earth Syst Sci, Minist Educ,Key Lab Earth Syst Modeling, Beijing 100084, Peoples R China; [Tang, Wenjun] Chinese Acad Sci, Inst Tibetan Plateau Res, Bldg 3, Courtyard 16, Lin Cui Rd, Beijing 100101, Peoples R China</t>
  </si>
  <si>
    <t>Yunnan Normal University; Chinese Academy of Sciences; Institute of Tibetan Plateau Research, CAS; Tsinghua University; Chinese Academy of Sciences; Institute of Tibetan Plateau Research, CAS</t>
  </si>
  <si>
    <t>National Natural Science Foundation of China(National Natural Science Foundation of China (NSFC)); National Key Research and Development Program of China; Major scientific and technological projects of Yunnan Province</t>
  </si>
  <si>
    <t>This work was supported by the National Natural Science Foundation of China (Grant No. 42171360) , the National Key Research and Development Program of China (Grant No. 2022YFB4202104) the Major scientific and technological projects of Yunnan Province (Grant No. 202202AD080010) . Climate model outputs from CMIP6 are openly available from the Earth System Grid Federation (ESGF) at https://esgfn ode.llnl.gov/search/cmip6/. The GEBA monthly measurements of SSR may be obtained from the Institute for Climate and Atmospheric Sciences at ETH Zurich at https://geba.ethz.ch/. The ISCCP-ITP SSR products are available from National Tibetan Plateau Data Center (TPDC) official website: doi:10.11888/Meteoro.tpdc.270112. We used MATLAB, a commercial mathematics software produced by MathWorks, to evaluate CMIP6 models and visualize the results.</t>
  </si>
  <si>
    <t>10.1016/j.atmosres.2023.106896</t>
  </si>
  <si>
    <t>WOS:001030547800001</t>
  </si>
  <si>
    <t>Lui, Yuk Sing; Tam, Chi-Yung; Au-Yeung, Yee Man; Lau, Ngar-Cheung</t>
  </si>
  <si>
    <t>This study examines the sensitivity of the seasonal mean and diurnal precipitation simulated by the Regional Climate Model version 4 (RegCM4) to cumulus parameterization in the Southeast Asia (SEA) domain. Based on the same lateral boundary conditions from the interim European Centre for Medium-Range Weather Forecast reanalysis data (ERA-interim), RegCM4 integrations using the Emanuel cumulus convection scheme over all grid boxes in the model (EE), and those using the Emanuel (Grell) scheme in ocean (land) areas (referred to as the mixed scheme, or MC) were carried out at a 50km x 50km horizontal resolution in the period of 2000-2010. It was found that both MC and EE have comparable performance in capturing the mean circulation features in SEA during boreal summer. Simulations based on EE tend to produce a seasonal wet bias over South China Sea (SCS). In comparison, while the mean rainfall over SCS and east of the Philippines is improved by the use of MC, conditions in western coastal IndoChina become too wet. For the diurnal cycle (DC) of precipitation, it was reasonably well captured by both cumulus schemes; however, in comparison to EE, MC consistently underestimates the DC amplitude. Empirical Orthogonal Function (EOF) analyses revealed that, while the first leading mode of diurnal rainfall was reproduced by both schemes, the second mode was suppressed in the MC simulations. In particular, this mode corresponds to the afternoon rainfall over inland locations including western IndoChina and southeastern China. MC tends to produce more cloudy conditions, cooler surface air temperature and hence a more stable environment and weaker convection at 1200-1500 local time in these locations. Over the Maritime Continent, the second mode is associated with evening-to-midnight rainfall peaks in the mountain ranges of Sumatra, Borneo and New Guinea. There is weaker orographic precipitation at 1800-0000 local time by MC compared to EE, associated with weaker diurnal convergence and upward motion as well as a drier environment in the MC simulations.</t>
  </si>
  <si>
    <t>[Lui, Yuk Sing; Tam, Chi-Yung; Au-Yeung, Yee Man] Chinese Univ Hong Kong, Earth Syst Sci Programme, Hong Kong, Peoples R China; [Lau, Ngar-Cheung] Chinese Univ Hong Kong, Inst Environm Energy &amp; Sustainabil, Hong Kong, Peoples R China; [Lau, Ngar-Cheung] Chinese Univ Hong Kong, Dept Geog Resource Management, Hong Kong, Peoples R China</t>
  </si>
  <si>
    <t>Chinese University of Hong Kong; Chinese University of Hong Kong; Chinese University of Hong Kong</t>
  </si>
  <si>
    <t>AXA Research Fund(AXA Research Fund)</t>
  </si>
  <si>
    <t>The authors would like to thank Prof. Eun-Soon Im for discussions and comments, especially on model-simulated diurnal rainfall over Maritime Continent. NCL at the Chinese University of Hong Kong is supported by the AXA Research Fund.</t>
  </si>
  <si>
    <t>10.1007/s00382-018-4517-4</t>
  </si>
  <si>
    <t>WOS:000469016700003</t>
  </si>
  <si>
    <t>Wang, Qiulin; Huang, Gang; Wang, Lin; Piao, Jinling; Ma, Tianjiao; Hu, Peng; Chotamonsak, Chakrit; Limsakul, Atsamon</t>
  </si>
  <si>
    <t>Transitional Climate Zone (TCZ) over East Asia, characterized by semi-arid climate, is ecologically fragile environment with limited water resources, making atmospheric moisture supply being the key influential factor. This study investigates the moisture sources of summer (JJA) rainfall in the TCZ over East Asia and associated impact during 1979-2010 with the Lagrangian particle dispersion model. Seven moisture source regions and associated contribution are quantified: Eurasia continent to northwest of the TCZ (EC, 32.14%), central-eastern China (CEC, 16.62%), western Pacific Ocean (WPO, 8.58%), South China Sea and Indonesia (SCSI, 2.99%), Bay of Bengal (BOB, 1.4%), Arabian Sea (AS, 0.71%) and local evaporation (TCZ, 32.58%). The direct moisture contribution from ocean (13.67%) is much less than those from the continent (81.34%), due to the great loss en-route. In particular, the local evaporation not only contributes the most moisture among 7 selected source regions, but also exerts the greatest influence in summer precipitation variability in TCZ. Furthermore, the moisture related to summer rainfall over TCZ conveyed by westerlies and monsoon are discriminated according to the dominant system of moisture source regions. It is found that moisture contributions from summer monsoon system (30.3%) and the mid-latitude westerlies (32.14%) dominant areas are quite close. However, further analysis shows that summer monsoon system takes more responsibility for inter-annual fluctuation of summer precipitation in TCZ from the perspective of moisture supply, followed by local evaporation and mid-latitude westerlies.</t>
  </si>
  <si>
    <t>[Wang, Qiulin; Huang, Gang] Chinese Acad Sci, Inst Atmospher Phys, State Key Lab Numer Modeling Atmospher Sci &amp; Geop, Beijing 100029, Peoples R China; [Wang, Qiulin; Huang, Gang] Univ Chinese Acad Sci, Coll Earth &amp; Planetary Sci, Beijing 100049, Peoples R China; [Wang, Lin] Chinese Acad Sci, Inst Atmospher Phys, CAS Key Lab Reg Climate Environm Temperate East A, Beijing, Peoples R China; [Piao, Jinling; Ma, Tianjiao; Hu, Peng] Chinese Acad Sci, Ctr Monsoon Syst Res, Inst Atmospher Phys, Beijing 100190, Peoples R China; [Huang, Gang] Qingdao Natl Lab Marine Sci &amp; Technol, Lab Reg Oceanog &amp; Numer Modeling, Qingdao 266237, Peoples R China; [Chotamonsak, Chakrit] Chiang Mai Univ, Fac Social Sci, Dept Geog, Chiang Mai, Thailand; [Limsakul, Atsamon] Environm Res &amp; Training Ctr, Klong 5, Technopolis 12120, Pathumthani, Thailand; [Huang, Gang] Chinese Acad Sci, Inst Atmospher Phys, Beijing 100029, Peoples R China</t>
  </si>
  <si>
    <t>Chinese Academy of Sciences; Institute of Atmospheric Physics, CAS; Chinese Academy of Sciences; University of Chinese Academy of Sciences, CAS; Chinese Academy of Sciences; Institute of Atmospheric Physics, CAS; Chinese Academy of Sciences; Institute of Atmospheric Physics, CAS; Laoshan Laboratory; Chiang Mai University; Chinese Academy of Sciences; Institute of Atmospheric Physics, CAS</t>
  </si>
  <si>
    <t>National Natural Science Foundation of China(National Natural Science Foundation of China (NSFC)); Key Deployment Project of Centre for Ocean Mega-Research of Science, Chinese Academy of Sciences</t>
  </si>
  <si>
    <t>This work was supported by the National Natural Science Foundation of China Grants Nos. 41875115, 41961144016, 42175041 and 41831175, STEP (2019QZKK0102) and Key Deployment Project of Centre for Ocean Mega-Research of Science, Chinese Academy of Sciences (COMS2019Q03).</t>
  </si>
  <si>
    <t>10.1007/s00382-022-06344-8</t>
  </si>
  <si>
    <t>WOS:000817030500002</t>
  </si>
  <si>
    <t>Toulabi Nejad, Meysam; Hejazizadeh, Zahra; Lupo, Anthony R.; Saligheh, Mohammad</t>
  </si>
  <si>
    <t>The current research aims at studying the spatio-temporal distribution of blocking events in the Northern and Southern Hemispheres from 1968 to 2018, for a period of 51 years based on the Wiedenmann block intensity (BI) index. The results showed that blocking events in the Northern Hemisphere are almost twice as often as in the Southern Hemisphere. This could be due to the uneven distribution of land and water areas, and resulted from the greater temperature differences in the Northern Hemisphere. Blockings in the Northern Hemisphere are also stronger than in the Southern Hemisphere in terms of intensity, strength, and durability. The reason can be attributed to the greater temperature difference between water and land in the Northern Hemisphere. In terms of seasonal occurrence of blockings, the highest frequency of blockings in the Northern Hemisphere is related to spring in the North Atlantic and in the Southern Hemisphere, it is related to winter in the South Atlantic region. The growth trend of blockings in the Northern Hemisphere was faster by 54% and in the Southern Hemisphere by 26%. The results also showed that the core of the blockings in the Northern Hemisphere corresponds to the three troughs of the Northern Hemisphere, but the core of the blockings of the Southern Hemisphere is formed at the southernmost lands of the Southern Hemisphere, i.e., at the costal zones of the Southern Hemisphere continents where the temperature difference is maximum. These regions include the Philippine Archipelago, Indonesia, and Australia in the east of the Pacific Ocean, and the coasts of Chile and Peru in the west of the Pacific Ocean.</t>
  </si>
  <si>
    <t>[Toulabi Nejad, Meysam; Hejazizadeh, Zahra; Saligheh, Mohammad] Kharazmi Univ, Fac Geog Sci, Tehran, Iran; [Lupo, Anthony R.] Univ Missouri, Dept Soil Environm &amp; Atmospher Sci, Columbia, MO USA</t>
  </si>
  <si>
    <t>Kharazmi University; University of Missouri System; University of Missouri Columbia</t>
  </si>
  <si>
    <t>10.1007/s00704-022-04175-5</t>
  </si>
  <si>
    <t>WOS:000840625200002</t>
  </si>
  <si>
    <t>High spatio-temporal variability of daily rainfall in Bali Island can create the absence of structure in the daily variogram in certain days. This research proposes a new technique applying space-time variogram for 3-successive daily rainfall to detect structure in variogram estimation by merging rain gauges and satellite data applying ordinary kriging (OK), regression kriging with CMORPH (CM), regression kriging with TRMM (FR), and blended monthly rainfall (MONT) to obtain daily blended gridded rainfall estimates. Original retrieval of CMORPH (CM_OR) and TRMM (TR_OR) also used as control points to assess the proposed method. Uncertainty and sensitivity analysis including cross validation were carried out to validate the proposed method. The result shows that a new technique, adapted from CMORPH specific character, can be applied to detect the existence of structure in variogram. Blended gridded daily rainfall estimates of CM has highest probability detection of rainy events, while OK the lowest. Generally, the four interpolation methods (OK, CM, MONT, TR) have low accuracy at leeward and in a coastal area. All of them have almost similar performance indicated by no clear distinction of RMSE value from cross validation. CM, MONT, and TR have a good sensitivity with maximum and minimum temperature, indicating that satellite data can improve the gridded rainfall estimates. However, it is required an improvement of daily gridded rainfall estimates since there are large RMSE values and low coefficient correlation in certain days because of strong and erratic behavior of rainy events in a mountainous tropical island of Bali.</t>
  </si>
  <si>
    <t>[Rahmawati, Novi] Univ Twente, Fac Geoinformat Sci &amp; Earth Observat ITC, Dept Water Resources, Enschede, Netherlands</t>
  </si>
  <si>
    <t>University of Twente</t>
  </si>
  <si>
    <t>Indonesia Endowment Fund for Education (LPDP)</t>
  </si>
  <si>
    <t>The authors would like to thank Indonesia Endowment Fund for Education (LPDP) to finance this research. Special thanks also to Maciek W. Lubczynski and Z. Su for an interesting discussion about rainfall topics. Moreover, the author would like to thank the Master Program on Watershed and Coastal Management and Planning (MPPDAS), Faculty of Geography, Gadjah Mada University for the help during fieldwork and all institutions (such as PUSAIR and BMKG) for the data collection. The author gratefully acknowledges the comments from the anonymous reviewers that have helped to improve this manuscript.</t>
  </si>
  <si>
    <t>10.1016/j.jhydrol.2020.125177</t>
  </si>
  <si>
    <t>WOS:000599754500007</t>
  </si>
  <si>
    <t>Murtiyoso, Arnadi; Grussenmeyer, Pierre; Suwardhi, Deni; Awalludin, Rabby</t>
  </si>
  <si>
    <t>The 3D documentation of heritage complexes or quarters often requires more than one scale due to its extended area. While the documentation of individual buildings requires a technique with finer resolution, that of the complex itself may not need the same degree of detail. This has led to the use of a multi-scale approach in such situations, which in itself implies the integration of multi-sensor techniques. The challenges and constraints of the multi-sensor approach are further added when working in urban areas, as some sensors may be suitable only for certain conditions. This paper describes the integration of heterogeneous sensors as a logical solution in addressing this problem. The royal palace complex of Kasepuhan Cirebon, Indonesia, was taken as a case study. The site dates to the 13th Century and has survived to this day as a cultural heritage site, preserving within itself a prime example of vernacular Cirebonese architecture. This type of architecture is influenced by the tropical climate, with distinct features designed to adapt to the hot and humid year-long weather. In terms of 3D documentation, this presents specific challenges that need to be addressed both during the acquisition and processing stages. Terrestrial laser scanners, DSLR cameras, as well as UAVs were utilized to record the site. The implemented workflow, some geometrical analysis of the results, as well as some derivative products will be discussed in this paper. Results have shown that although the proposed multi-scale and multi-sensor workflow has been successfully employed, it needs to be adapted and the related challenges addressed in a particular manner.</t>
  </si>
  <si>
    <t>[Murtiyoso, Arnadi; Grussenmeyer, Pierre] INSA Strasbourg, Photogrammetry &amp; Geomat Grp, ICube Lab UMR 7357, F-67084 Strasbourg, France; [Suwardhi, Deni; Awalludin, Rabby] Bandung Inst Technol ITB, Remote Sensing &amp; GIS Grp, Jalan Ganesha 10, Bandung 40132, Indonesia</t>
  </si>
  <si>
    <t>Centre National de la Recherche Scientifique (CNRS); CNRS - Institute for Engineering &amp; Systems Sciences (INSIS); Universites de Strasbourg Etablissements Associes; Universite de Strasbourg; Institute Technology of Bandung</t>
  </si>
  <si>
    <t>Franco-Indonesian Partenariat Hubert-Curien (PHC) NUSANTARA program under the aegis of the Indonesian Ministry of Research and Higher Education (KEMENRISTEKDIKTI); French Ministry for Europe and Foreign Affairs (MEAE); French Ministry of Higher Education, Research, and Innovation (MESRI)</t>
  </si>
  <si>
    <t>This research is part of the Franco-Indonesian Partenariat Hubert-Curien (PHC) NUSANTARA program under the aegis of the Indonesian Ministry of Research and Higher Education (KEMENRISTEKDIKTI), the French Ministry for Europe and Foreign Affairs (MEAE), and the French Ministry of Higher Education, Research, and Innovation (MESRI).</t>
  </si>
  <si>
    <t>10.3390/ijgi7120483</t>
  </si>
  <si>
    <t>WOS:000455392100031</t>
  </si>
  <si>
    <t>Shimizu, Marilia Harumi; Ambrizzi, Tercio; Liebmann, Brant</t>
  </si>
  <si>
    <t>Several droughts and floods in Amazonia and Northeast Brazil have occurred in recent years and projections from Intergovernmental Panel on Climate Change indicate an increase of these extreme events. El Nino Southern Oscillation (ENSO) is one of the phenomena associated with extreme rainfall events in the Amazon. However, recent studies have indicated that the basic response of ENSO is dependent on the Madden-(Julian Oscillation (MJO) phase. Hence, this study analyses the MJO influence on precipitation extreme events over northern South America in El Nino and La Nina years. Extreme precipitation events over northern South America for the rainy season (December-(May) were obtained through a composite analysis of the combinations of ENSO and MJO phases. Most of the dry extreme events occurred during El Nino periods, while wet extreme events were more recurrent during La Nina or neutral years. However, the results showed that the MJO convection could enhance or weaken the basic response of ENSO on extreme precipitation events. Moreover, dry/wet extreme events over both Amazon and Northeast Brazil are favoured when MJO convection over Indonesia is enhanced (MJO phases 4 and 5)/suppressed (MJO phase 2). Additionally, the interannual variability of the extreme events showed an increasing linear trend for dry extreme events and a decreasing linear trend for wet extreme events. The results presented here contribute to a better understanding of the climate variability and will be helpful for the forecast of ENSO effects on extreme events over northern South America.</t>
  </si>
  <si>
    <t>[Shimizu, Marilia Harumi; Ambrizzi, Tercio] Univ Sao Paulo, Inst Astron Geophys &amp; Atmospher Sci, Rua Matao 1226, BR-05508090 Sao Paulo, SP, Brazil; [Liebmann, Brant] Univ Colorado, Boulder, CO 80309 USA</t>
  </si>
  <si>
    <t>Universidade de Sao Paulo; University of Colorado System; University of Colorado Boulder</t>
  </si>
  <si>
    <t>Fundacao de Amparo a Pesquisa do Estado de Sao Paulo (FAPESP)(Fundacao de Amparo a Pesquisa do Estado de Sao Paulo (FAPESP)); Conselho Nacional de Desenvolvimento Cientifico e Tecnologico (CNPq)(Conselho Nacional de Desenvolvimento Cientifico e Tecnologico (CNPQ)); Vale Institute of Technology (ITV); Fundacao de Amparo a Pesquisa do Estado de Sao Paulo (FAPESP)(Fundacao de Amparo a Pesquisa do Estado de Sao Paulo (FAPESP))</t>
  </si>
  <si>
    <t>We thank Fundacao de Amparo a Pesquisa do Estado de Sao Paulo (FAPESP) for the financial support (grants 2013/02797-3, 2008/58101-9, and 13/50521-7) for the development of this research. Conselho Nacional de Desenvolvimento Cientifico e Tecnologico (CNPq) and Vale Institute of Technology (ITV) have also partially funded T.A.</t>
  </si>
  <si>
    <t>10.1002/joc.4893</t>
  </si>
  <si>
    <t>WOS:000404849200014</t>
  </si>
  <si>
    <t>Sadhukhan, Bikash; Chakraborty, Shayak; Mukherjee, Somenath; Samanta, Raj Kumar</t>
  </si>
  <si>
    <t>The effects of global warming are felt not only in the Earth's climate but also in the geology of the planet. Modest variations in stress and pore-fluid pressure brought on by temperature variations, precipitation, air pressure, and snow coverage are hypothesized to influence seismicity on local and regional scales. Earthquakes can be anticipated by intelligently evaluating historical climatic datasets and earthquake catalogs that have been collected all over the world. This study attempts to predict the magnitude of the next probable earthquake by evaluating climate data along with eight mathematically calculated seismic parameters. Global temperature has been selected as the only climatic variable for this research, as it substantially affects the planet's ecosystem and civilization. Three popular deep neural network models, namely, long short-term memory (LSTM), bidirectional long short-term memory (Bi-LSTM), and transformer models, were used to predict the magnitude of the next earthquakes in three seismic regions: Japan, Indonesia, and the Hindu-Kush Karakoram Himalayan (HKKH) region. Several well-known metrics, such as the mean absolute error (MAE), mean squared error (MSE), log-cosh loss, and mean squared logarithmic error (MSLE), have been used to analyse these models. All models eventually settle on a small value for these cost functions, demonstrating the accuracy of these models in predicting earthquake magnitudes. These approaches produce significant and encouraging results when used to predict earthquake magnitude at diverse places, opening the way for the ultimate robust prediction mechanism that has not yet been created.</t>
  </si>
  <si>
    <t>[Sadhukhan, Bikash] Maulana Abul Kalam Azad Univ Technol, Dept Comp Sci &amp; Engn, Kolkata, W Bengal, India; [Sadhukhan, Bikash] Techno Int New Town, Dept Comp Sci &amp; Engn, Kolkata, W Bengal, India; [Chakraborty, Shayak] Natl Inst Technol, Dept Comp Sci &amp; Engn, Silchar, Assam, India; [Mukherjee, Somenath] Kazi Nazrul Univ, Nazrul Ctr Social &amp; Cultural studies, Asansol, India; [Samanta, Raj Kumar] Dr BC Roy Engn Coll, Dept Comp Sci &amp; Engn, Durgapur, India</t>
  </si>
  <si>
    <t>Maulana Abul Kalam Azad University of Technology; National Institute of Technology (NIT System); National Institute of Technology Silchar; Dr. B. C. Roy Engineering College</t>
  </si>
  <si>
    <t>FEB 20</t>
  </si>
  <si>
    <t>10.3389/feart.2023.1082832</t>
  </si>
  <si>
    <t>WOS:000943996100001</t>
  </si>
  <si>
    <t>Chang, Chih-Pei; Li, Tim; Yang, Song</t>
  </si>
  <si>
    <t>Since the beginning of the Association of Southeast Asian Nations Climate Outlook Forum (ASEANCOF) in 2013, the most difficult challenge has been the rainfall forecast in boreal winter. This is the Maritime Continent monsoon season during which rainfall reaches maximum in the annual cycle. This forecast difficulty arises in spite of the general notion that seasonal predictability of the Maritime Continent rainfall may be higher than most places because of the strong and robust influences of ENSO. The lower predictability is consistent with the lower correlation between ENSO and western Maritime Continent rainfall that reaches minimum during the boreal winter monsoon. Various theories have been proposed to explain this low correlation. In this paper, we review the research on ENSO-Maritime Continent rainfall relationship and show that the main cause of the forecast difficulty is the wind-terrain interaction involving the Sumatran and Malay Peninsula mountains, rather than the effect of sea surface temperature (SST). The wind-terrain interaction due to the low-level regional scale anomalous horizontal circulation offsets the anomalous Walker circulation during both El Nino and La Nina. The net result of these two opposing responses to ENSO is a lower local predictability. We propose to call this low-predictability region the WIMP (Western Indonesia-Malay Peninsula) region both for its geographical location and its special characteristic of causing difficulties for forecasters to make a confident forecast for the boreal winter. Our result suggests that climate models lack skills in forecasting rainfall in this region because their predictability depends strongly on SST.</t>
  </si>
  <si>
    <t>[Chang, Chih-Pei] Naval Postgrad Sch, Dept Meteorol, Monterey, CA 93943 USA; [Li, Tim] Nanjing Univ Informat Sci &amp; Technol, Joint Int Res Lab Climate &amp; Environm Change ILCEC, Collaborat Innovat Ctr Forecast &amp; Evaluat Meteoro, Key Lab Meteorol Disaster,Minist Educ KLME, Nanjing 210044, Peoples R China; [Li, Tim] Univ Hawaii, Sch Ocean &amp; Earth Sci &amp; Technol, Dept Atmospher Sci, Honolulu, HI 96822 USA; [Yang, Song] Sun Yat Sen Univ, Sch Atmospher Sci, Guangzhou 510275, Peoples R China</t>
  </si>
  <si>
    <t>United States Department of Defense; United States Navy; Naval Postgraduate School; Nanjing University of Information Science &amp; Technology; University of Hawaii System; Sun Yat Sen University</t>
  </si>
  <si>
    <t>10.1007/s13351-020-9181-z</t>
  </si>
  <si>
    <t>WOS:000531813900007</t>
  </si>
  <si>
    <t>This study investigates the effect of El Nino-Southern Oscillation and Indo-Pacific warm pool sea-surface temperature (SST) on tropical cyclone (TC) landfalling activity along the South China coast and develops a scheme for predicting this activity. In general, landfalling activity tends to be suppressed in El Nino years but a large uncertainty is found for La Nina years. Landfalling activity is generally enhanced in La Nina years before 1997 but suppressed in those after 1997, which may be related to the changes in TC frequency and track pattern over the western North Pacific (WNP) as well as the northward shift in genesis locations. The Indo-Pacific warm pool SST is found to be related to the TC activity over the WNP and an SST index, defined as the average SST anomalies over the North Indian Ocean and the sea near the Philippines, is used to represent this anomaly. A significant warming of the Indo-Pacific warm pool is found in the recent decade. The temperature change of this warm pool appears to modulate the TC activity over the WNP and TC landfalling activity in South China in a La Nina year, with an enhancement (a suppression) of TC activity if a cooling (warming) is found. This difference is related to the changes in the strength of monsoon trough, vertical wind shear and steering flow pattern. Based on these results, a schematic prediction scheme of landfalling activity in South China is proposed. Landfalling activity is likely to be normal or below normal if an El Nino event is expected to develop during the TC season. If a La Nina event is expected, and the predicted state of the Indo-Pacific warm pool (obtained using the persistence forecast) shows a warming (cooling), landfalling activity is likely to be normal or below normal (above normal).</t>
  </si>
  <si>
    <t>[Liu, Kin Sik; Chan, Johnny C. L.] City Univ Hong Kong, Sch Energy &amp; Environm, Guy Carpenter Asia Pacific Climate Impact Ctr, Tat Chee Avenue, Kowloon, Hong Kong, Peoples R China</t>
  </si>
  <si>
    <t>Hong Kong Research Grants Council General Research Fund(Hong Kong Research Grants Council)</t>
  </si>
  <si>
    <t>This project is supported by the Hong Kong Research Grants Council General Research Fund CityU 100113.</t>
  </si>
  <si>
    <t>10.1002/joc.5242</t>
  </si>
  <si>
    <t>WOS:000426729300012</t>
  </si>
  <si>
    <t>Li, Yan; Ma, Baisheng; Feng, Juan; Lu, Yao</t>
  </si>
  <si>
    <t>The impact of the strongest central Pacific (CP) El Nino event 2009/2010 and CP La Nina event 1998/1999 from 1979 to 2010 on the precipitation in eastern China has been analysed. During the 2009/2010 CP El Nino event, it is rainy in northern China during maturing winter and decaying spring, but dry during decaying summer. The rainfall centre is located in south China during maturing period and gradually moves northwards, remaining over the Yellow-Huai River valley during decaying summer. When the 1998/1999 CP La Nina event occurs, northern China is in a state of drought throughout. In south China, dry periods gradually evolve into rainy ones from maturing winter to decaying summer. The two strongest events also have notable impact on the extreme rainfall, and they mainly affect the total rainfall by influencing the extreme precipitation in eastern China. When the 2009/2010 CP El Nino event occurs, the Western Pacific Subtropical High (WPSH) is stronger with a northwards shift, and there is an obvious anticyclonic circulation near the South China Sea and Philippines. Furthermore, during decaying summer, the Pacific-Japan (PJ) wave train shows an eastwards shift comparing to the typical PJ wave train locating from low latitudes to high latitudes, associating with clearly northwardly spreading wave activity fluxes (WAFs) from the equator. When the 1998/1999 CP La Nina event occurs, the WPSH is weaker and retreats eastwards, and there is a noticeable cyclonic circulation around the South China Sea. In decaying spring, the convective activity in the South China Sea is strong, and there are correspondingly significant WAFs spreading from southeastern Asia to north. In decaying summer, northern (southern) China is controlled by anomalous anticyclones (cyclones) with weak (strong) convection, and the WAFs extend northwards to the Yangtze and Huai River valleys.</t>
  </si>
  <si>
    <t>[Li, Yan] Lanzhou Univ, Coll Atmospher Sci, Key Lab Semiarid Climate Change, Minist Educ, Lanzhou, Gansu, Peoples R China; [Ma, Baisheng; Lu, Yao] Lanzhou Univ, Coll Atmospher Sci, Lanzhou, Gansu, Peoples R China; [Feng, Juan] Beijing Normal Univ, Coll Global Change &amp; Earth Syst Sci GCESS, Beijing, Peoples R China</t>
  </si>
  <si>
    <t>Lanzhou University; Lanzhou University; Beijing Normal University</t>
  </si>
  <si>
    <t>National Natural Science Foundation of China(National Natural Science Foundation of China (NSFC)); National Key research AMP; development (RAMP; D) Program of China</t>
  </si>
  <si>
    <t>National Natural Science Foundation of China, Grant/Award Number: 41475076, 41775051; The National Key research &amp; development (R&amp; D) Program of China, Grant/Award Number: SQ2018YFC040178</t>
  </si>
  <si>
    <t>10.1002/joc.6004</t>
  </si>
  <si>
    <t>WOS:000465863900015</t>
  </si>
  <si>
    <t>Fifariz, Reynaldy; Janson, Xavier; Kerans, Charles; Sapiie, Benyamin</t>
  </si>
  <si>
    <t>Oligocene-Miocene carbonates are prolific hydrocarbon reservoirs in Southeast Asia. Extensive subsurface data for this stratigraphic section has become available through exploration and production activities. A carbonate shelf in the study area showed an evolution in shelf architecture and lithofacies during this period. Despite the economic importance, complexity, and data availability, there have been few published studies on a comprehensive description and interpretation of carbonate-shelf evolution in the region. We utilized data from nineteen wells and 1,300 km(2) of 3D seismic data from offshore East Java to study the Oligocene-Miocene Kujung Formation. An average of 700 m stratigraphic sections from this formation were analyzed. This interval spans 13.5 million years (My) from the Rupelian, Chattian, through Aquitanian constrained by numerical ages from Sr-87/Sr-86. The Kujung Formation is subdivided into the Rupelian-Chattian mixed-siliciclastic-carbonate shelf (MSCS) and the Aquitanian carbonate-buildups shelf (CBS) based on shelf architecture and lithofacics. The boundary between the MSCS and CBS is interpreted to be near the Oligocene-Miocene boundary at 23 Ma. Accumulation rates in the CBS are up to three times greater than that of the MSCS. We propose new depositional models for the Kujung Formation, which was used to discuss the dominant controls on shelf evolution. This study suggests that although climate played a role in dictating environmental conditions during the Oligocene-Miocene, the dominant factors controlling carbonate-shelf evolution in the study area appear to have been antecedent topography, routing of siliciclastic sediment, and patterns of sea-level fluctuation.</t>
  </si>
  <si>
    <t>[Fifariz, Reynaldy; Janson, Xavier; Kerans, Charles] Univ Texas Austin, Bur Econ Geol, Jackson Sch Geosci, Austin, TX 78712 USA; [Kerans, Charles] Univ Texas Austin, Dept Geol Sci, Jackson Sch Geosci, Austin, TX USA; [Fifariz, Reynaldy; Sapiie, Benyamin] Inst Teknol Bandung, Geol Engn Study Program, Fac Earth Sci &amp; Technol, Bandung, Indonesia</t>
  </si>
  <si>
    <t>University of Texas System; University of Texas Austin; University of Texas System; University of Texas Austin; Institute Technology of Bandung</t>
  </si>
  <si>
    <t>10.2110/jsr.2020.42</t>
  </si>
  <si>
    <t>WOS:000580554300002</t>
  </si>
  <si>
    <t>Garrison, Christopher; Kilburn, Christopher; Smart, David; Edwards, Stephen</t>
  </si>
  <si>
    <t>One of the largest climate forcing eruptions of the nineteenth century was, until recently, believed to have taken place at the Babuyan Claro volcano, in the Philippines, in 1831. However, a recent investigation found no reliable evidence of such an eruption, suggesting that the 1831 eruption must have taken place elsewhere. We here present our newly compiled dataset of reported observations of a blue, purple and green sun in August 1831, which we use to reconstruct the transport of a stratospheric aerosol plume from that eruption. The source of the aerosol plume is identified as the eruption of Ferdinandea, which took place about 50 km off the south-west coast of Sicily (37.1 degrees N, 12.7 degrees E), in July and August 1831. The modest magnitude of this eruption, assigned a volcanic explosivity index (VEI) of 3, has commonly caused it to be discounted or overlooked when identifying the likely source of the stratospheric sulfate aerosol in 1831. It is proposed, however, that convective instability in the troposphere contributed to aerosol reaching the stratosphere and that the aerosol load was enhanced by addition of a sedimentary sulfur component to the volcanic plume. Thus, one of the largest climate forcing volcanic eruptions of the nineteenth century would effectively have been hiding in plain sight, arguably lowering the bar for the types of eruptions capable of having a substantial climate forcing impact. Prior estimates of the mass of stratospheric sulfate aerosol responsible for the 1831 Greenland ice core sulfate deposition peaks which have assumed a source eruption at a low-latitude site will, therefore, have been overstated. The example presented in this paper serves as a useful reminder that VEI values were not intended to be reliably correlated with eruption sulfur yields unless supplemented with compositional analyses. It also underlines that eye-witness accounts of historical geophysical events should not be neglected as a source of valuable scientific data.</t>
  </si>
  <si>
    <t>[Garrison, Christopher; Kilburn, Christopher; Smart, David; Edwards, Stephen] UCL, UCL Hazard Ctr, Dept Earth Sci, Gower St, London WC1E 6BT, England</t>
  </si>
  <si>
    <t>University of London; University College London</t>
  </si>
  <si>
    <t>Royal Astronomical Society (Burlington House, Piccadilly, London, UK)</t>
  </si>
  <si>
    <t>The authors would like to thank James Lequeux (Observatoire de Paris) for undertaking a search of the papers of Francois Arago at the Observatoire de Paris; Donatella Randazzo (Osservatorio Astronomico di Palermo) for assistance with a search of the archives of the Osservatorio Astronomico di Palermo; Marc Prohom Duran (Servei Meteorologic de Catalunya) for providing an extract from Quintana i Mari (1938) reproducing the observations of Francesc Bolos (source [A6]); Julia Rodriguez Sanchez (University College London) for assistance with translation of materials from Catalan; Sabine Rodda for assistance with the translation of materials from German; Kai Deng (University College London) and Zheyu Tian (University College London) for assistance with translation of materials from Mandarin; Colin Graham (Gide Loyrette Nouel) for assistance with translation and historiographical interpretation of materials from Mandarin; Alessandro Aiuppa (Universita degli Studi di Palermo), Attilio Sulli (Universita degli Studi di Palermo), Sergio Calabrese (Universita degli Studi di Palermo) and Walter D'Alessandro (Universita degli Studi di Palermo) for valuable discussions regarding the geological context of the 1831 Ferdinandea eruption; and Michael Sigl (Universitat Bern) for valuable discussions regarding sulfate deposition peaks in Greenland ice cores in 1831. The authors would also like to thank Fred Prata and two anonymous reviewers for the improvements to the paper which resulted from their comments. Christopher Garrison is also grateful for an E.A. Milne Travelling Fellowship grant from the Royal Astronomical Society (Burlington House, Piccadilly, London, W1J 0BQ, UK) to support a research visit to Sicily in 2018.</t>
  </si>
  <si>
    <t>DEC 20</t>
  </si>
  <si>
    <t>10.5194/cp-17-2607-2021</t>
  </si>
  <si>
    <t>WOS:000731785200001</t>
  </si>
  <si>
    <t>Tian, Baoqiang; Fan, Ke</t>
  </si>
  <si>
    <t>Two prediction models are developed to predict the number of landfalling tropical cyclones (LTCs) in China during June-August (JJA). One is a statistical model using preceding predictors from the observation, and the other is a hybrid model using both the aforementioned preceding predictors and concurrent summer large-scale environmental conditions from the NCEP Climate Forecast System version 2 (CFSv2). (1) For the statistical model, the year-to-year increment method is adopted to analyze the predictors and their physical processes, and the JJA number of LTCs in China is then predicted by using the previous boreal summer sea surface temperature (SST) in Southwest Indonesia, preceding October South Australia sea level pressure, and winter SST in the Sea of Japan. The temporal correlation coefficient between the observed and predicted number of LTCs during 1983-2017 is 0.63. (2) For the hybrid prediction model, the prediction skill of CFSv2 initiated each month from February to May in capturing the relationships between summer environmental conditions (denoted by seven potential factors: three steering factors and four genesis factors) and the JJA number of LTCs is firstly evaluated. For the 2- and 1-month leads, CFSv2 has successfully reproduced these relationships. For the 4-, 3-, and 2-month leads, the predictor of geopotential height at 500 hPa over the western North Pacific (WNP) shows the worst forecasting skill among these factors. In general, the summer relative vorticity at 850 hPa over the WNP is a modest predictor, with stable and good forecasting skills at all lead times.</t>
  </si>
  <si>
    <t>[Tian, Baoqiang; Fan, Ke] Chinese Acad Sci, Inst Atmospher Phys, Nansen Zhu Int Res Ctr, Beijing 100029, Peoples R China; [Tian, Baoqiang; Fan, Ke] Nanjing Univ Informat Sci &amp; Technol, Collaborat Innovat Ctr Forecast &amp; Evaluat Meteoro, Nanjing 210044, Jiangsu, Peoples R China; [Fan, Ke] Univ Chinese Acad Sci, Beijing 100049, Peoples R China</t>
  </si>
  <si>
    <t>Chinese Academy of Sciences; Institute of Atmospheric Physics, CAS; Nanjing University of Information Science &amp; Technology; Chinese Academy of Sciences; University of Chinese Academy of Sciences, CAS</t>
  </si>
  <si>
    <t>Supported by the National Natural Science Foundation of China (41421004 and 41325018) and National Key Research and Development Program of China (2017YFA0603802).</t>
  </si>
  <si>
    <t>10.1007/s13351-019-8187-x</t>
  </si>
  <si>
    <t>WOS:000494484300004</t>
  </si>
  <si>
    <t>Pu, Bing; Dickinson, Robert E.</t>
  </si>
  <si>
    <t>Vegetation is a major component of the climate system because of its controls on the energy and water balance over land. This functioning changes because of the physiological response of leaves to increased CO2. A climate model is used to compare these changes with the climate changes from radiative forcing by greenhouse gases. For this purpose, we use the Community Earth System Model coupled to a slab ocean. Ensemble integrations are done for current and doubled CO2. The consequent reduction of transpiration and net increase of surface radiative heating from reduction in cloudiness increases the temperature over land by a significant fraction of that directly from the radiative warming by CO2. Large-scale atmospheric circulation adjustments result. In particular, over the tropics, a low-level westerly wind anomaly develops associated with reduced geopotential height over land, enhancing moisture transport and convergence, and precipitation increases over the western Amazon, the Congo basin, South Africa, and Indonesia, while over mid-latitudes, land precipitation decreases from reduced evapotranspiration. On average, land precipitation is enhanced by 0.03 mm day(-1) (about 19 % of the CO2 radiative forcing induced increase). This increase of land precipitation with decreased ET is an apparent negative feedback, i.e., less ET makes more precipitation. Global precipitation is slightly reduced. Runoff increases associated with both the increased land precipitation and reduced evapotranspiration. Examining the consistency of the variations among ensemble members shows that vegetation feedbacks on precipitation are more robust over the tropics and in mid to high latitudes than over the subtropics where vegetation is sparse and the internal climate variability has a larger influence.</t>
  </si>
  <si>
    <t>[Pu, Bing; Dickinson, Robert E.] Univ Texas Austin, Dept Geol Sci, Jackson Sch Geosci, Austin, TX 78712 USA</t>
  </si>
  <si>
    <t>University of Texas System; University of Texas Austin</t>
  </si>
  <si>
    <t>US Department of Energy(United States Department of Energy (DOE))</t>
  </si>
  <si>
    <t>This work is supported by grant DE-SC0002246 from the US Department of Energy. The Texas Advanced Computing Center (TACC) at The University of Texas at Austin is also acknowledged for providing the high performance computing resources for this work. Helpful comments from two anonymous reviewers improved the paper.</t>
  </si>
  <si>
    <t>10.1007/s00382-013-1781-1</t>
  </si>
  <si>
    <t>WOS:000334068100013</t>
  </si>
  <si>
    <t>Ge, Jingwen; Jia, Xiaojing; Lin, Hai</t>
  </si>
  <si>
    <t>The interdecadal change of the leading mode of the mean winter precipitation over China has been investigated using observational data for the period from 1960 to 2012. The leading empirical orthogonal function (EOF) mode (EOF1) of the winter precipitation over China displays a mono-sign pattern over southeastern China, accounting for 49.7 % of the total variance in the precipitation. Both the El Nio-Southern Oscillation (ENSO) and the East Asian winter monsoon (EAWM) can impact EOF1. A positive (negative) EOF1 is accompanied by warm (cold) ENSO events and weak (strong) EAWM, and the latters can cause anomalous southerlies (northerlies) along the coast of southeastern China, accompanied by the transportation of water vapor from the Bay of Bengal and the South China Sea favoring a wet (dry) winter over southeastern China. An abrupt transition of the EOF1 is observed around the mid-1980s. Therefore, the data are divided into two subperiods, i.e., 1960-1987 (P1) and 1988-2009 (P2). Significant differences in the large scale atmospheric circulation and sea surface temperature anomalies associated with EOF1 during these two subperiods are observed. EOF1 is closely related to the mid- to high-latitude atmospheric circulation in P1, while its relationship to the tropics obviously increases during P2. The partial regression analysis results show that the interdecadal change of EOF1 is caused by both the interdecadal changes of the EAWM and ENSO around the mid-1980s. In P1, the lower-level anomalous southerlies along the coastal southeastern China accompanied by water vapor transportation that causes above-average precipitation are related to an anti-cyclonic system centered over the mid-latitude western North Pacific associated with EAWM. In P2, the influence of the EAWM is weaker, and the southerly anomaly over the coastal southeastern China is mainly caused by the anticyclone over Philippines, which is related to the ENSO.</t>
  </si>
  <si>
    <t>[Ge, Jingwen; Jia, Xiaojing] Zhejiang Univ, Sch Earth Sci, Hangzhou, Zhejiang, Peoples R China; [Jia, Xiaojing] Chinese Acad Sci, Inst Atmospher Phys, State Key Lab Numer Modelling Atmospher Sci &amp; Geo, Beijing, Peoples R China; [Lin, Hai] Environm Canada, Atmospher Numer Weather Predict Res, Dorval, PQ, Canada</t>
  </si>
  <si>
    <t>Zhejiang University; Chinese Academy of Sciences; Institute of Atmospheric Physics, CAS; Environment &amp; Climate Change Canada</t>
  </si>
  <si>
    <t>National Natural Science foundation of China(National Natural Science Foundation of China (NSFC)); Natural Science and Engineering Research Council of Canada (NSERC)(Natural Sciences and Engineering Research Council of Canada (NSERC))</t>
  </si>
  <si>
    <t>This research was jointly funded by National Natural Science foundation of China (Grant 41475065, 41530425 and 91337216). Hai Lin is supported by the Natural Science and Engineering Research Council of Canada (NSERC).</t>
  </si>
  <si>
    <t>10.1007/s00382-015-2970-x</t>
  </si>
  <si>
    <t>WOS:000384549500023</t>
  </si>
  <si>
    <t>Zhang, Kewei; Meng, Wenjian; Liu, Haijiang; Wu, Renguang</t>
  </si>
  <si>
    <t>The tropical cyclone (TC) genesis over the western North Pacific (WNP) displayed two distinct features in 2020. The WNP experienced unprecedented TC silence in July 2020, whereas the TC genesis frequency reached the historical highest in October 2020 with all the TCs generated over the western part of the WNP. The present study reveals that the strong Indian Ocean basin warming (IOBW) and extremely prolonged Madden-Julian Oscillation (MJO) Phases 1 and 2 (MJO12) contributed to the TC genesis condition in different regions for the July TC silence. The IOBW explained the unfavorable TC genesis condition over the latitudes around 20N, whereas the MJO12 was responsible for the unfavorable condition over the latitudes around 10N. Although both IOBW and MJO12 resulted in a diminution in relative humidity and absolute vorticity, they exerted opposite influences on the vertical wind shear, which made IOBW more important than MJO12. The impacts of other factors, including the cooling in the Nin &amp; SIM;o3.4 region and warming in the tropical Atlantic Ocean, were relatively smaller compared to IOBW and MJO12. The abnormal TC genesis in October 2020 is mainly attributed to the moderate La Nin &amp; SIM;a and extremely prolonged MJO phase 5 (MJO5). The La Nin &amp; SIM;a condition induced the shift of supportive genesis condition to the western part of the WNP, and MJO5 superimposed its impacts around the South China Sea and the Philippines. The analysis of the genesis potential index (GPI) highlights the crucial importance of the relative humidity to the October's aberrance. The La Nina played a major role in increasing the relative humidity over a vast area of the major genesis region (MGR), and the MJO5 played a subsidiary role. By inducing an increase in absolute vorticity over MGR and a decrease in vertical wind shear over the eastern MGR, the Pacific meridional mode also played a supportive role in October 2020.</t>
  </si>
  <si>
    <t>[Zhang, Kewei; Meng, Wenjian; Liu, Haijiang] Zhejiang Univ, Coll Civil Engn &amp; Architecture, Hangzhou, Peoples R China; [Meng, Wenjian] Zhejiang Univ, Ocean Acad, Zhoushan, Peoples R China; [Wu, Renguang] Zhejiang Univ, Sch Earth Sci, Hangzhou, Peoples R China</t>
  </si>
  <si>
    <t>Zhejiang University; Zhejiang University; Zhejiang University</t>
  </si>
  <si>
    <t>This study was financially supported by the National Natural Science Foundation of China (No. 52271292, 52071288).</t>
  </si>
  <si>
    <t>10.1016/j.atmosres.2023.106968</t>
  </si>
  <si>
    <t>WOS:001064055700001</t>
  </si>
  <si>
    <t>Barnston, Anthony G.; Tippett, Michael K.</t>
  </si>
  <si>
    <t>Canonical correlation analysis (CCA)-based statistical corrections are applied to seasonal mean precipitation and temperature hindcasts of the individual models from the North American Multimodel Ensemble project to correct biases in the positions and amplitudes of the predicted large-scale anomaly patterns. Corrections are applied in 15 individual regions and then merged into globally corrected forecasts. The CCA correction dramatically improves the RMS error skill score, demonstrating that model predictions contain correctable systematic biases in mean and amplitude. However, the corrections do not materially improve the anomaly correlation skills of the individual models for most regions, seasons, and lead times, with the exception of October-December precipitation in Indonesia and eastern Africa. Models with lower uncorrected correlation skill tend to benefit more from the correction, suggesting that their lower skills may be due to correctable systematic errors. Unexpectedly, corrections for the globe as a single region tend to improve the anomaly correlation at least as much as the merged corrections to the individual regions for temperature, and more so for precipitation, perhaps due to better noise filtering. The lack of overall improvement in correlation may imply relatively mild errors in large-scale anomaly patterns. Alternatively, there may be such errors, but the period of record is too short to identify them effectively but long enough to find local biases in mean and amplitude. Therefore, statistical correction methods treating individual locations (e.g., multiple regression or principal component regression) may be recommended for today's coupled climate model forecasts. The findings highlight that the performance of statistical postprocessing can be grossly overestimated without thorough cross validation or evaluation on independent data.</t>
  </si>
  <si>
    <t>[Barnston, Anthony G.] Columbia Univ, Int Res Inst Climate &amp; Soc, Palisades, NY 10964 USA; [Tippett, Michael K.] Columbia Univ, Dept Appl Phys &amp; Appl Math, New York, NY USA; [Tippett, Michael K.] King Abdulaziz Univ, Ctr Excellence Climate Change Res, Dept Meteorol, Jeddah, Saudi Arabia</t>
  </si>
  <si>
    <t>Columbia University; Columbia University; King Abdulaziz University</t>
  </si>
  <si>
    <t>NOAA's Climate Program Office's Modeling, Analysis, Predictions, and Projections program Award; NOAA(National Oceanic Atmospheric Admin (NOAA) - USA); NSF(National Science Foundation (NSF)); NASA(National Aeronautics &amp; Space Administration (NASA)); DOE(United States Department of Energy (DOE))</t>
  </si>
  <si>
    <t>We appreciate the careful and critical reviews by three anonymous reviewers who enhanced the quality of the paper. We are also grateful for the effort of Shuhua Li in initial testing of the CCA software and for the thoughtful insights and suggestions of Simon Mason, Huug van den Dool, Jon Gottschalck, and Dan Collins. The authors were supported by NOAA's Climate Program Office's Modeling, Analysis, Predictions, and Projections program Award NA14OAR4310188. The NMME project and data dissemination is supported by NOAA, NSF, NASA, and DOE. We acknowledge the help of CPC, IRI, and NCAR personnel in creating, updating, and maintaining the NMME archive.</t>
  </si>
  <si>
    <t>10.1175/JCLI-D-17-0054.1</t>
  </si>
  <si>
    <t>WOS:000411438000017</t>
  </si>
  <si>
    <t>Saqab, Muhammad Mudasar; Bourget, Julien; Trotter, Julie; Keep, Myra</t>
  </si>
  <si>
    <t>Numerous extensional faults offset the passive margin strata of the northern Bonaparte Basin. This extensional deformation has been attributed to lithospheric flexure of the descending Australian Plate, in an overall convergence setting. Here we use an extensive 2D and 3D seismic dataset calibrated with well biostratigraphy and strontium (Sr) isotope age data to constrain the timing of deformation along the northern Australian margin during the Neogene. Analysis of fault throw and differential thickness variations give new insights on the propagation and slip history of the faults. Along-dip throw profiles exhibit 'D' shape distributions, skewed towards the top. Positive throw gradients above the throw maxima, coinciding with intervals of growth strata, indicate multiphase fault activity. Results indicate that post-rift extensional deformation initiated during the latest Miocene (ca. 6 Ma). The development of the modem Timor Trough (as a foreland basin) and Carder Trough also commenced during this period. A second episode of increased tectonic activity occurred around the Pliocene-Quaternary boundary (ca. 3 Ma), and the deformation continued intermittently to the present-day. These new results are in agreement with the timing of initiation of collision between the Australian Plate and the Banda Arc and uplift of the Timor Island, recently derived from stratigraphic analysis in Timor. These regional tectonic events have profoundly affected the paleogeography of the Timor Sea and may explain major changes in oceanic circulation and climate during the Neogene. (C) 2016 Elsevier B.V. All rights reserved.</t>
  </si>
  <si>
    <t>[Saqab, Muhammad Mudasar; Bourget, Julien] Univ Western Australia, Ctr Energy Geosci, 35 Stirling Highway, Crawley, WA 6009, Australia; [Saqab, Muhammad Mudasar; Bourget, Julien; Trotter, Julie; Keep, Myra] Univ Western Australia, Sch Earth &amp; Environm, 35 Stirling Highway, Crawley, WA 6009, Australia; [Saqab, Muhammad Mudasar] Univ Coll Dublin, Sch Earth Sci, Irish Ctr Res Appl Geosci, Dublin 4, Ireland</t>
  </si>
  <si>
    <t>University of Western Australia; University of Western Australia; University College Dublin</t>
  </si>
  <si>
    <t>University of Western Australia; Petroleum Exploration Society of Australia (PESA); MPG(Max Planck Society); UWA:RM consortium at the Centre for Energy Geoscience, The University of Western Australia</t>
  </si>
  <si>
    <t>We are thankful to PGS for the provision of their Vulcan Megasurvey 3D seismic data, for granting us the authorization to publish these results, and for their continuous support of Mudasar Saqab's PhD research. Special thanks go to Andrew Long for having permitted this collaboration and for his enthusiasm. We are also thankful to TGS for granting permission to use data from their MH07 survey in the Timor Sea and to the Department of Mines and Petroleum of Western Australia and Geoscience Australia for providing the well data. We acknowledge Peter Baillie (CGG) for permission to use images from BandaSeis survey. Thanks to Schlumberger for providing the Petrel software. We are grateful to Ken McClay, Chris Elders and Tiago Alves for their insightful comments on an earlier version of this manuscript. We are also indebted to David Haig for his discussions on the regional geology and reading of the manuscript. Many thanks to David Snyder and Paul Ryan for their reviews and valuable suggestions. Mudasar Saqab was funded by a postgraduate scholarship from The University of Western Australia, and has received additional support from the Petroleum Exploration Society of Australia (PESA) and the MPG Grant-in-Aid program. This research was also supported by the industry sponsors of the UWA:RM consortium at the Centre for Energy Geoscience, The University of Western Australia.</t>
  </si>
  <si>
    <t>0040-1951</t>
  </si>
  <si>
    <t>1879-3266</t>
  </si>
  <si>
    <t>Tectonophysics</t>
  </si>
  <si>
    <t>JAN 31</t>
  </si>
  <si>
    <t>10.1016/j.tecto.2016.12.020</t>
  </si>
  <si>
    <t>WOS:000394070900002</t>
  </si>
  <si>
    <t>Li, Gen; Xie, Shang-Ping; Du, Yan</t>
  </si>
  <si>
    <t>Long-standing biases of climate models limit the skills of climate prediction and projection. Overlooked are tropical Indian Ocean (IO) errors. Based on the phase 5 of the Coupled Model Intercomparison Project (CMIP5) multimodel ensemble, the present study identifies a common error pattern in climate models that resembles the IO dipole (IOD) mode of interannual variability in nature, with a strong equatorial easterly wind bias during boreal autumn accompanied by physically consistent biases in precipitation, sea surface temperature (SST), and subsurface ocean temperature. The analyses show that such IOD-like biases can be traced back to errors in the South Asian summer monsoon. A southwest summer monsoon that is too weak over the Arabian Sea generates a warm SST bias over the western equatorial IO. In boreal autumn, Bjerknes feedback helps amplify the error into an IOD-like bias pattern in wind, precipitation, SST, and subsurface ocean temperature. Such mean state biases result in an interannual IOD variability that is too strong. Most models project an IOD-like future change for the boreal autumn mean state in the global warming scenario, which would result in more frequent occurrences of extreme positive IOD events in the future with important consequences to Indonesia and East Africa. The Intergovernmental Panel on Climate Change (IPCC) Fifth Assessment Report (AR5) characterizes this future IOD-like projection in the mean state as robust based on consistency among models, but the authors' results cast doubts on this conclusion since models with larger IOD amplitude biases tend to produce stronger IOD-like projected changes in the future.</t>
  </si>
  <si>
    <t>[Li, Gen; Du, Yan] Chinese Acad Sci, South China Sea Inst Oceanol, State Key Lab Trop Oceanog, Guangzhou 510301, Guangdong, Peoples R China; [Li, Gen] Nanjing Univ Informat Sci &amp; Technol, Key Lab Meteorol Disaster, Minist Educ, Nanjing, Jiangsu, Peoples R China; [Xie, Shang-Ping] Univ Calif San Diego, Scripps Inst Oceanog, La Jolla, CA 92093 USA; [Xie, Shang-Ping] Ocean Univ China, Phys Oceanog Lab, Qingdao, Peoples R China</t>
  </si>
  <si>
    <t>Chinese Academy of Sciences; South China Sea Institute of Oceanology, CAS; Nanjing University of Information Science &amp; Technology; University of California System; University of California San Diego; Scripps Institution of Oceanography; Ocean University of China</t>
  </si>
  <si>
    <t>National Basic Research Program of China(National Basic Research Program of China); Natural Science Foundation of China(National Natural Science Foundation of China (NSFC)); Pearl River Nova Program of Guangzhou; Technology Foundation for Selected Overseas Chinese Scholars (Ministry of Human Resources and Social Security of the People's Republic of China); Open Project Program of Key Laboratory of Meteorological Disaster of Ministry of Education (Nanjing University of Information Science and Technology); U.S. National Science Foundation(National Science Foundation (NSF)); CAS/SAFEA International Partnership Program for Creative Research Teams(Chinese Academy of Sciences); Open Project Program of State Key Laboratory of Tropical Oceanography; Directorate For Geosciences; Div Atmospheric &amp; Geospace Sciences(National Science Foundation (NSF)NSF - Directorate for Geosciences (GEO))</t>
  </si>
  <si>
    <t>This work was supported by the National Basic Research Program of China (Grants 2012CB955603 and 2010CB950302), the Natural Science Foundation of China (Grant 41406026), the Pearl River Nova Program of Guangzhou, the Technology Foundation for Selected Overseas Chinese Scholars (Ministry of Human Resources and Social Security of the People's Republic of China), the Open Project Program of Key Laboratory of Meteorological Disaster of Ministry of Education (Nanjing University of Information Science and Technology; Grant KLME1402), the U.S. National Science Foundation, the CAS/SAFEA International Partnership Program for Creative Research Teams, and the Open Project Program of State Key Laboratory of Tropical Oceanography (Grant LTOZZ1202). The authors are grateful to Dr. Riyu Lu for helpful comments. We also wish to thank the climate modeling groups (Table 1) for producing and making available their model output, the WCRP's Working Group on Coupled Modeling (WGCM) for organizing the CMIP5 analysis activity, the Program for Climate Model Diagnostics and Intercomparison (PCMDI) for collecting and archiving the CMIP5 multimodel data, and the Office of Science U.S. Department of Energy for supporting these datasets in partnership with the Global Organization for Earth System Science Portals.</t>
  </si>
  <si>
    <t>10.1175/JCLI-D-14-00740.1</t>
  </si>
  <si>
    <t>WOS:000352487300008</t>
  </si>
  <si>
    <t>Minh, Huynh Vuong Thu; Avtar, Ram; Mohan, Geetha; Misra, Prakhar; Kurasaki, Masaaki</t>
  </si>
  <si>
    <t>Cropping intensity is one of the most important decisions made independently by farmers in Vietnam. It is a crucial variable of various economic and process-based models. Rice is grown under irrigated triple- and double-rice cropping systems and a rainfed single-rice cropping system in the Vietnamese Mekong Delta (VMD). These rice cropping systems are adopted according to the geographical location and water infrastructure. However, little work has been done to map triple-cropping of rice using Sentinel-1 along with the effects of water infrastructure on the rice cropping intensity decision. This study is focused on monitoring rice cropping patterns in the An Giang province of the VMD from March 2017 to March 2018. The fieldwork was carried out on the dates close to the Sentinel-1A acquisition. The results of dual-polarized (VV and VH) Sentinel-1A data show a strong correlation with the spatial patterns of various rice growth stages and their association with the water infrastructure. The VH backscatter (sigma degrees) is strongly correlated with the three rice growth stages, especially the reproductive stage when the backscatter is less affected by soil moisture and water in the rice fields. In all three cropping patterns, sigma degrees VV and sigma degrees VH show the highest value in the maturity stage, often appearing 10 to 12 days before the harvesting of the rice. A rice cropping pattern map was generated using the Support Vector Machine (SVM) classification of Sentinel-1A data. The overall accuracy of the classification was 80.7% with a 0.78 Kappa coefficient. Therefore, Sentinel-1A can be used to understand rice phenological changes as well as rice cropping systems using radar backscattering.</t>
  </si>
  <si>
    <t>[Minh, Huynh Vuong Thu; Avtar, Ram; Kurasaki, Masaaki] Hokkaido Univ, Fac Environm Earth Sci, Sapporo, Hokkaido 0600810, Japan; [Mohan, Geetha] United Nat Univ, Inst Adv Study Sustainabil UNU IAS, Tokyo 1508925, Japan; [Misra, Prakhar] Univ Tokyo, Inst Ind Sci, Tokyo 1538505, Japan</t>
  </si>
  <si>
    <t>Hokkaido University; United Nations University; University of Tokyo</t>
  </si>
  <si>
    <t>Can Tho University Improvement Project; JAXA EO-RA2</t>
  </si>
  <si>
    <t>We would like to thank JAXA EO-RA2 (ER2A2N133) for their kind support. This study is funded in part by the Can Tho University Improvement Project VN14-P6. The authors also appreciate the contributions made by anonymous reviewers.</t>
  </si>
  <si>
    <t>10.3390/ijgi8050211</t>
  </si>
  <si>
    <t>WOS:000470965400012</t>
  </si>
  <si>
    <t>Goodkin, N. F.; Bolton, A.; Hughen, K. A.; Karnauskas, K. B.; Griffin, S.; Phan, K. H.; Vo, S. T.; Ong, M. R.; Druffel, E. R. M.</t>
  </si>
  <si>
    <t>The East Asian Monsoon (EAM) impacts storms, freshwater availability, wind energy production, coal consumption, and subsequent air quality for billions of people across Asia. Despite its importance, the EAM's long-term behavior is poorly understood. Here we present an annually resolved record of EAM variance from 1584 to 1950 based on radiocarbon content in a coral from the coast of Vietnam. The coral record reveals previously undocumented centennial scale changes in EAM variance during both the summer and winter seasons, with an overall decline from 1600 to the present. Such long-term variations in monsoon variance appear to reflect independent seasonal mechanisms that are a combination of changes in continental temperature, the strength of the Siberian High, and El NifioSouthern Oscillation behavior. We conclude that the EAM is an important conduit for propagating climate signals from the tropics to higher latitudes. Plain Language Summary The monsoon systems across Asia are critical to the many Asian communities for which they supply freshwater and control winter severity. Even small changes in the amount of summer precipitation or strength of winter storms can have devastating effects. Our instrumental records of the monsoons are limited, and therefore so is our understanding of their behavior. Here, we use relative amounts of radiocarbon to reconstruct both the summer and winter East Asian Monsoon from 1584 to 1950. We find that there is significant variability in the monsoon system that appears to be influenced by both tropical and high-latitude climate systems, including a long-term decline in monsoon variability and an inverse relationship between the winter monsoon and the Siberian High at multidecadal frequencies. Both the summer and winter monsoon records indicate that the monsoon system may be a path of communication between the tropics and higher latitudes.</t>
  </si>
  <si>
    <t>[Goodkin, N. F.; Bolton, A.] Earth Observ Singapore, Singapore, Singapore; [Goodkin, N. F.; Ong, M. R.] Nanyang Technol Univ, Asian Sch Environm, Singapore, Singapore; [Goodkin, N. F.] Amer Museum Nat Hist, Div Phys Sci, New York, NY 10024 USA; [Bolton, A.] Inst Environm Sci &amp; Res Ltd, Wellington, New Zealand; [Hughen, K. A.] Woods Hole Oceanog Inst, Marine Chem &amp; Geochem, Woods Hole, MA 02543 USA; [Karnauskas, K. B.] Cooperat Inst Res Environm Sci, Boulder, CO USA; [Karnauskas, K. B.] Univ Colorado, Dept Atmospher &amp; Ocean Sci, Boulder, CO 80309 USA; [Griffin, S.; Druffel, E. R. M.] Univ Calif Irvine, Earth Syst Sci, Irvine, CA USA; [Phan, K. H.; Vo, S. T.] Vietnam Acad Sci &amp; Technol, Nha Trang Inst Oceanog, Hanoi, Vietnam</t>
  </si>
  <si>
    <t>Nanyang Technological University; Nanyang Technological University; American Museum of Natural History (AMNH); Institute of Environmental Science &amp; Research (ESR) - New Zealand; Woods Hole Oceanographic Institution; University of Colorado System; University of Colorado Boulder; University of California System; University of California Irvine; Vietnam Academy of Science &amp; Technology (VAST)</t>
  </si>
  <si>
    <t>National Research Foundation Singapore NRF Fellowship scheme; Singapore Ministry of Education Academic Research Fund Tier 2(Ministry of Education, Singapore)</t>
  </si>
  <si>
    <t>Thanks go to G. Williams, W. Tak-Cheung, and J. Ossolinski. Thanks also go to V. Lee, S. H. Ng for coral sampling, and B. Buckley for conversations. This research was supported by the National Research Foundation Singapore NRF Fellowship scheme awarded to N. Goodkin (National Research Fellowship award NRFF-2012-03) and administered by the Earth Observatory of Singapore and the Singapore Ministry of Education under the Research Centers of Excellence initiative. The research was also supported by the Singapore Ministry of Education Academic Research Fund Tier 2 (award MOE2016-T2-1-016). Data are available in Table S1 and the NOAA paleoclimate database.</t>
  </si>
  <si>
    <t>10.1029/2019GL081939</t>
  </si>
  <si>
    <t>WOS:000468869500027</t>
  </si>
  <si>
    <t>Laux, Patrick; Nguyen, Phuong N. B.; Cullmann, Johannes; Tan Phan Van; Kunstmann, Harald</t>
  </si>
  <si>
    <t>Regional climate models (RCMs) include both terrestrial and atmospheric compartments and thereby allow studying land-atmosphere feedback, in particular, the impact of land-use land cover driven by biogeophysical processes on regional climate. In this study, a method is developed to separate the signals from the noise in RCM simulations of the effects of changes in land use, using perturbed initial boundary conditions (PICs). We want to know how many ensemble members are required to identify robust and statistically significant land-use land cover change (LULCC) effects from RCM LULCC studies. The method is applied to a case study of urbanization and deforestation, for which LULCC scenarios are implemented in the RCM Weather Research and Forecasting (WRF). Based on WRF ensemble simulations with PICs for 2010, the signal-to-noise ratio (SNR) is used to identify areas with pronounced effect of an LULCC or, rather, the parametrization of the land-use classes. While in the urbanization scenarios clear and statistically significant signals are found for air temperature and for both latent- and sensible heat (SNR values up to 24), the effects are less pronounced for precipitation, and for deforestation in general (SNR values &lt; 1). For the case study of urbanization and precipitation, the impact of the ensemble size is studied in order to derive robust conclusions about the effects of LULCC on precipitation. We conclude that single RCM realizations of different land-use representations are not sufficient to derive LULCC-induced signals, particularly not for precipitation. Small ensemble sizes led to concluding there were significant LULCC-induced precipitation signals, but these disappeared when the ensemble size was increased. Our regional analysis suggests the need for ensemble sizes well above 10 for precipitation.</t>
  </si>
  <si>
    <t>[Laux, Patrick; Nguyen, Phuong N. B.; Kunstmann, Harald] Karlsruhe Inst Technol, Inst Meteorol &amp; Climate Res, Kreuzeckbahnstr 19, D-82467 Garmisch Partenkirchen, Germany; [Nguyen, Phuong N. B.] Fed Inst Hydrol, IHP HWRP Secretariat, Koblenz, Germany; [Cullmann, Johannes] World Meteorol Org, Climate &amp; Water Dept, Geneva, Switzerland; [Tan Phan Van] VNU Hanoi Univ Sci, Dept Meteorol, Hanoi, Vietnam; [Kunstmann, Harald] Univ Augsburg, Inst Geog, Augsburg, Germany</t>
  </si>
  <si>
    <t>Helmholtz Association; Karlsruhe Institute of Technology; Vietnam National University Hanoi; University of Augsburg</t>
  </si>
  <si>
    <t>Federal Ministry of Education and Research(Federal Ministry of Education &amp; Research (BMBF)); National Foundation for Science and Technology Development (NAFOSTED)(National Foundation for Science &amp; Technology Development (NAFOSTED))</t>
  </si>
  <si>
    <t>This research has been funded by the Federal Ministry of Education and Research in the context of the LUCCi project (grant number 01LL0908C) and by the National Foundation for Science and Technology Development (NAFOSTED). We thank three anonymous reviewers for their comments. The authors have no conflicts of interests to declare.</t>
  </si>
  <si>
    <t>10.1002/joc.4836</t>
  </si>
  <si>
    <t>WOS:000397497700030</t>
  </si>
  <si>
    <t>Thi Phuong Quynh Le; Viet Nga Dao; Rochelle-Newall, Emma; Garnier, Josette; Lu, XiXi; Billen, Gilles; Thi Thuy Duong; Cuong Tu Ho; Etcheber, Henri; Thi Mai Huong Nguyen; Thi Bich Ngoc Nguyen; Bich Thuy Nguyen; Nhu Da Le; Quoc Long Pham</t>
  </si>
  <si>
    <t>Riverine transport of organic carbon from terrestrial ecosystems to the oceans plays an important role in the global carbon cycle. The Red River is located in Southeast Asia where river discharge, sediment loads and fluxes of elements (carbon, nitrogen and phosphorus) associated with suspended solids have been dramatically altered over past decades as a result of reservoir impoundment and land use, population, and climate change. Dissolved organic carbon (DOC) and particulate organic carbon (POC) concentrations were measured monthly at four stations of the Red River system from January 2008 to December 2010. The results reveal that POC changed synchronically with total suspended solids (TSS) concentration and with the river discharge, whereas no clear trend was observed for DOC concentration. The mean value of total organic carbon (TOC = DOC + POC) flux in the delta of the Red River was 31.5 x 10(13) +/- 4.0 x 10(13) MgC.yr (1) (range 27.9-35.8 x 10(13) MgC.yr (1) which leads to a specific TOC flux of 2012 +/- 255 kgC.km(-2).yr(-1) during this 2008-2010 period. About 80% of the TOC flux was transferred to the estuary during the rainy season as a consequence of the higher river water discharge. The high mean value of the POC:Chl-a ratio (1585 +/- 870 mgC.mgChl-a(-1)) and the moderate C:N ratio (7.3 +/- 0.1) in the water column system suggest that organic carbon in the Red River system is mainly derived from erosion and soil leaching in the basin. The effect of two new dam impoundments in the Red River was also observable with lower TOC fluxes in 2010 compared with 2008. Copyright (C) 2017 John Wiley &amp; Sons, Ltd.</t>
  </si>
  <si>
    <t>[Thi Phuong Quynh Le; Viet Nga Dao; Thi Mai Huong Nguyen; Thi Bich Ngoc Nguyen; Bich Thuy Nguyen; Nhu Da Le; Quoc Long Pham] Vietnam Acad Sci &amp; Technol, Inst Nat Prod Chem, Environm Chem Lab, 18 Hoang Quoc Viet Rd, Hanoi, Vietnam; [Rochelle-Newall, Emma] iEES Paris, IRD, UMR 242, 32 Ave Henri Varagnat, F-93143 Bondy, France; [Garnier, Josette; Billen, Gilles] Univ Paris 06, CNRS, UMR 7619, 4 Pl Jussieu, F-75005 Paris, France; [Lu, XiXi] Natl Univ Singapore, Dept Geog, Arts Link 1, Singapore 117570, Singapore; [Thi Thuy Duong; Cuong Tu Ho] Vietnam Acad Sci &amp; Technol, Inst Environm Technol, 18 Hoang Quoc Viet Rd, Hanoi, Vietnam; [Etcheber, Henri] Univ Bordeaux 1, Bordeaux, France</t>
  </si>
  <si>
    <t>Vietnam Academy of Science &amp; Technology (VAST); Universite Paris-Est-Creteil-Val-de-Marne (UPEC); Sorbonne Universite; Universite Paris Cite; Institut de Recherche pour le Developpement (IRD); Centre National de la Recherche Scientifique (CNRS); CNRS - Institute of Ecology &amp; Environment (INEE); Sorbonne Universite; National University of Singapore; Vietnam Academy of Science &amp; Technology (VAST); Universite de Bordeaux</t>
  </si>
  <si>
    <t>International Foundation for Science(International Foundation for Science); Ministry of Education of Singapore(Ministry of Education, Singapore); Asia-Pacific Network for Global Change Research - National Science Foundation (NSF) (APN); Vietnam National Foundation for Science and Technology Development (Vietnam-NAFOSTED)</t>
  </si>
  <si>
    <t>The authors would like to thank the International Foundation for Science (IFS W4210-2 project), the Ministry of Education of Singapore (R-109-000-086-646 project), the Asia-Pacific Network for Global Change Research - the National Science Foundation (NSF) (APN ARCP2014-03CMY-Quynh/ARCP2013-06CMY-Quynh/ARCP2012-11NMY-Quynh project), and the Vietnam National Foundation for Science and Technology Development (Vietnam-NAFOSTED 105.09-2012.10) for their financial supports.</t>
  </si>
  <si>
    <t>10.1002/esp.4107</t>
  </si>
  <si>
    <t>WOS:000405116600004</t>
  </si>
  <si>
    <t>Lenk, Stephan; Rybski, Diego; Heidrich, Oliver; Dawson, Richard J.; Kropp, Juergen P.</t>
  </si>
  <si>
    <t>Failure to consider the costs of adaptation strategies can be seen by decision makers as a barrier to implementing coastal protection measures. In order to validate adaptation strategies to sea-level rise in the form of coastal protection, a consistent and repeatable assessment of the costs is necessary. This paper significantly extends current knowledge on cost estimates by developing - and implementing using real coastal dike data - probabilistic functions of dike costs. Data from Canada and the Netherlands are analysed and related to published studies from the US, UK, and Vietnam in order to provide a reproducible estimate of typical sea dike costs and their uncertainty. We plot the costs divided by dike length as a function of height and test four different regression models. Our analysis shows that a linear function without intercept is sufficient to model the costs, i.e. fixed costs and higher-order contributions such as that due to the volume of core fill material are less significant. We also characterise the spread around the regression models which represents an uncertainty stemming from factors beyond dike length and height. Drawing an analogy with project cost overruns, we employ log-normal distributions and calculate that the range between 3x and x/3 contains 95% of the data, where x represents the corresponding regression value. We compare our estimates with previously published unit costs for other countries. We note that the unit costs depend not only on the country and land use (urban/non-urban) of the sites where the dikes are being constructed but also on characteristics included in the costs, e.g. property acquisition, utility relocation, and project management. This paper gives decision makers an order of magnitude on the protection costs, which can help to remove potential barriers to develop-ing adaptation strategies. Although the focus of this research is sea dikes, our approach is applicable and transferable to other adaptation measures.</t>
  </si>
  <si>
    <t>[Lenk, Stephan; Rybski, Diego; Kropp, Juergen P.] Leibniz Assoc, Potsdam Inst Climate Impact Res PIK, POB 601203, D-14412 Potsdam, Germany; [Heidrich, Oliver; Dawson, Richard J.] Newcastle Univ, Sch Civil Engn &amp; Geosci, Newcastle Upon Tyne NE1 7RU, Tyne &amp; Wear, England; [Heidrich, Oliver; Dawson, Richard J.] Newcastle Univ, Tyndall Ctr Climate Change Res, Newcastle Upon Tyne NE1 7RU, Tyne &amp; Wear, England; [Kropp, Juergen P.] Univ Potsdam, Inst Earth &amp; Environm Sci, Potsdam, Germany</t>
  </si>
  <si>
    <t>Potsdam Institut fur Klimafolgenforschung; Newcastle University - UK; Newcastle University - UK; University of Potsdam</t>
  </si>
  <si>
    <t>European Community's Seventh Framework Programme(European Union (EU)); Open Access Fund of the Leibniz Association</t>
  </si>
  <si>
    <t>We thank H. Costa, G. Floater, R. J. Meijer, and Boris F. Prahl for useful discussions, M. Olonscheck for her translation skills, and C. J. Hewett for help with the manuscript. The research leading to these results has received funding from the European Community's Seventh Framework Programme under grant agreement no. 308497 (Project RAMSES). The publication of this article was funded by the Open Access Fund of the Leibniz Association.</t>
  </si>
  <si>
    <t>MAY 29</t>
  </si>
  <si>
    <t>10.5194/nhess-17-765-2017</t>
  </si>
  <si>
    <t>WOS:000402402300001</t>
  </si>
  <si>
    <t>Xu, Ximeng; Yun, Xiaobo; Tang, Qiuhong; Cui, Huijuan; Wang, Jie; Zhang, Lu; Chen, Deliang</t>
  </si>
  <si>
    <t>Climate change is a driver of soil erosion, but the future projections of seasonal rainfall erosivity variability and spatial distribution over the Lancang-Mekong River Basin (LMRB) are still not well understood. Based on the bias-corrected precipitation data from five General Circulation Models (GCMs) in the sixth phase of the Coupled Model Intercomparison Project (CMIP6), the impacts of future climate change on the seasonal rainfall erosivity over the LMRB were assessed using three widely applied empirical daily rainfall erosivity models under three combined scenarios of the Shared Socioeconomic Pathways and the Representative Concentration Pathways (SSP1-RCP2.6, SSP3-RCP7.0 and SSP5-RCP8.5). The results show that rainfall erosivity would generally in-crease in the near term (2030-2060) and far term (2070-2100), and more ensemble members agree with the increase in rainfall erosivity, especially under the high emission scenarios in the far term. In the near term, the ensemble mean of basin-wide rainfall erosivity would increase by 2.5%-8.7% compared to the baseline period (1980-2010), while in the far term, the ensemble mean would increase by 12.2%-31.0%. Seasonal variations in rainfall erosivity show that summer rainfall erosivity from June to August accounts for more than two-thirds of the total annual rainfall erosivity. Although the projected basin-wide average summer rainfall erosivity would increase, the mid-southern basin in Thailand and southern Lao PDR would experience a decrease. For rainfall erosivity from March to May, large areas except for the mountainous part of China would also experience a decrease in seasonal rainfall erosivity. The projected changes in rainfall erosivity can contribute to a better understanding of soil erosion risk under climate change across the LMRB.</t>
  </si>
  <si>
    <t>[Xu, Ximeng; Tang, Qiuhong] Chinese Acad Sci, Inst Geog Sci &amp; Nat Resources Res, Key Lab Water Cycle &amp; Related Land Surface Proc, Beijing, Peoples R China; [Yun, Xiaobo] China Meteorol Adm, Natl Meteorol Ctr, Beijing, Peoples R China; [Cui, Huijuan] Chinese Acad Sci, Inst Geog Sci &amp; Nat Resources Res, Key Lab Land Surface Pattern &amp; Simulat, Beijing, Peoples R China; [Wang, Jie] Lanzhou Univ, Coll Earth &amp; Environm Sci, Lanzhou, Peoples R China; [Zhang, Lu] CSIRO Land &amp; Water, Canberra, ACT, Australia; [Chen, Deliang] Univ Gothenburg, Dept Earth Sci, Reg Climate Grp, Gothenburg, Sweden; [Tang, Qiuhong] Univ Chinese Acad Sci, Beijing, Peoples R China</t>
  </si>
  <si>
    <t>Chinese Academy of Sciences; Institute of Geographic Sciences &amp; Natural Resources Research, CAS; China Meteorological Administration; Chinese Academy of Sciences; Institute of Geographic Sciences &amp; Natural Resources Research, CAS; Lanzhou University; Commonwealth Scientific &amp; Industrial Research Organisation (CSIRO); CSIRO Land &amp; Water; University of Gothenburg; Chinese Academy of Sciences; University of Chinese Academy of Sciences, CAS</t>
  </si>
  <si>
    <t>Strategic Priority Research Program of the Chinese Academy of Sciences(Chinese Academy of Sciences); National Natural Science Foundation of China(National Natural Science Foundation of China (NSFC)); Swedish STINT</t>
  </si>
  <si>
    <t>This study is supported by the Strategic Priority Research Program of the Chinese Academy of Sciences (XDA20060402, XDA23100401) , the National Natural Science Foundation of China (41790424, 41730645, 42277339) , as well as the Swedish STINT (CH2019-8377) . The GCM data bias -corrected by the ISIMIP3b project are available via the ISIMIP repository (https://data.isimip.org/) . Details can be found in Lange and Buchner (2021) : ISIMIP3b bias-adjusted atmospheric climate input data (v1.1) . ISIMIP Repository. https://doi.org/10.48364/ISIMIP.842396.1.</t>
  </si>
  <si>
    <t>10.1016/j.jhydrol.2023.129444</t>
  </si>
  <si>
    <t>WOS:000977101700001</t>
  </si>
  <si>
    <t>Mestre, Ana; Gallardo, Mercedes; Jose Salas, Maria; Heredia, Susana</t>
  </si>
  <si>
    <t>The microfossil hosted in the strata of the upper part of the San Juan Formation has been widely studied in several sections to the northward of the Argentinian Central Precordillera. In contrast, the coeval strata at the Los Banos de Talacasto section, in the southern part of the Central Precordillera, have scarce biostratigraphic and sedimentological data. In this work, a conodont association together with single ostracod species are documented for the first time in this section. The record of the Lenodus crassus and L. pseudoplanus zones confirms the Darriwilian age for these beds and accurately correlates them with equivalent strata of the San Juan Formation studied in several sections of the Central and Eastern Precordillera. The microfacies analysis verifies the presence of Nuia sibirica Maslov, 1954, peloids, intraclasts, cyanobacteria, calcareous algae, and a possible microbialite indicating a shallow warm-water subtidal environment, in equatorial to subequatorial climate. This suggests a low latitudes position for Precordillera during the early-middle Darriwilian. The conodont genus Aurilobodus Xiang and Zhang is recognized for the first time from the Precordillera, and the Aurilobodus leptosomatus An specimens are described and illustrated. This genus shows affinities to the warm water in shallow marine environments of North China, Central Asia, South Tibet, western Thailand, Australia, and Newfoundland, suggesting probable ties between Precordillera and these regions. The record of the ostracod Pilla nodospinosa Salas in the study section would agree with the correlation of the top of San Juan Formation with the lower levels of the Las Aguaditas Formation in the Central Precordillera, and also suggests paleobiogeographic links with Eastern Gondwana and Australia regions during the Darriwilian times.</t>
  </si>
  <si>
    <t>[Mestre, Ana; Heredia, Susana] Univ Nacl San Juan, Fac Ingn, CONICET IIM, Av Libertador San Martin 1109, RA-5500 San Juan, Argentina; [Gallardo, Mercedes] Univ Nacl San Juan, Fac Ciencias Exactas Fis &amp; Nat, Dept Geol, Av Jose Ignacio Roza Oeste 590, RA-5402 San Juan, Argentina; [Jose Salas, Maria] Univ Nacl Cordoba, CONICET, Ctr Invest Ciencias Tierra CICTERRA, Edificio CICTERRA, Av Velez Sarsfield 1611,1 Piso 19 X5016CGA, Cordoba, Argentina</t>
  </si>
  <si>
    <t>Universidad Nacional de San Juan; Universidad Nacional de San Juan; Consejo Nacional de Investigaciones Cientificas y Tecnicas (CONICET); National University of Cordoba</t>
  </si>
  <si>
    <t>CONICET(Consejo Nacional de Investigaciones Cientificas y Tecnicas (CONICET)); International Geoscience Program (IGCP)</t>
  </si>
  <si>
    <t>This contribution was supported by CONICET through the grant PIP 2014 0058CO. Authors wish to thank to Dr. G. Gianni and M. Lucero for the assistance in the field. We are grateful for detailed reviews provided by anonymous, Dr. X. Jing, Dr. M. Ghobadi Pour and Dra. J. Carlorosi. This is a contribution to the International Geoscience Program (IGCP) Project 653-The onset of the Great Ordovician Biodiversification Event. This study was based on the Graduate Thesis of License M. Gallardo, San Juan University, Argentina.</t>
  </si>
  <si>
    <t>SERVICIO NACIONAL GEOLOGIA MINERVA</t>
  </si>
  <si>
    <t>SANTIAGO</t>
  </si>
  <si>
    <t>AVDA SANTA MARIO 0104, CASILLA 10465, SANTIAGO, CHILE</t>
  </si>
  <si>
    <t>0718-7106</t>
  </si>
  <si>
    <t>ANDEAN GEOL</t>
  </si>
  <si>
    <t>Andean Geol.</t>
  </si>
  <si>
    <t>10.5027/andgeoV49n3-3399</t>
  </si>
  <si>
    <t>WOS:001129382000004</t>
  </si>
  <si>
    <t>Zheng, Xiaodi; Han, Guilin; Zhang, Qian; Liang, Bin; Liu, Man; Yu, Changxun; Liu, Linan; Zhao, Ye; Song, Zhaoliang</t>
  </si>
  <si>
    <t>Copper (Cu) isotopes are utilized to track Cu geochemical cycling in weathered gleysols of tropical zones. A significant isotope fractionation of Cu in these soils is primarily redox-controlled; however, it is rarely reported how the frequency of redox fluctuations affects the soil Cu isotope signature. This study investigated the variations of Cu content and isotope fractionation in two low-humic gleysol profiles (S1 and S2) from a dry tropical savanna zone. Owing to redox oscillation during weathering, delta Cu-65 values in profile S2 showed a stronger positive correlation with the mafic index of alteration of reducing environment than S1, and isotopically light Cu is more retained in the Zone II of profile S2 than S1. As the frequency of redox fluctuation increased, the retained stable Cu(I) species and light Cu isotopes increased in the residual soils through re-adsorption or re-precipitation by iron oxyhydroxide (i.e., ferrihydrite). Importantly, an Mn-enriched zone was formed after reduction events in profile S2, and found to be enriched in light Cu isotopes. The heavier Cu fraction might be lost by adsorption on Fe oxyhydroxides in the Mn-rich zone, while the relatively light Cu might be retained through adsorption on Mn oxyhydroxides. Additionally, a significant Soil Organic Carbon (SOC) contribution to Cu was found due to the high delta Cu-65-SOC correlation (R-2 = 0.80) in S1 (depth &lt; 1 m). Therefore, our study shows that the Cu isotope signature can respond to redox changes in the terrestrial ecosystem, and these Cu isotope signatures may have significant implications for assessing soil ecological vulnerability under future climate change scenarios.</t>
  </si>
  <si>
    <t>[Zheng, Xiaodi; Han, Guilin; Liang, Bin; Liu, Man] China Univ Geosci Beijing, Inst Earth Sci, Beijing, Peoples R China; [Zhang, Qian] Chinese Acad Sci, Inst Geog Sci &amp; Nat Resources Res, Beijing, Peoples R China; [Yu, Changxun] Linnaeus Univ, Dept Biol &amp; Environm Sci, Kalmar, Sweden; [Liu, Linan] Nankai Univ, Coll Environm Sci &amp; Engn, Tianjin, Peoples R China; [Zhao, Ye] Nu Instruments, Wrexham, Denbighshire, Wales; [Song, Zhaoliang] Tianjin Univ, Sch Earth Syst Sci, Tianjin Key Lab Earth Crit Zone Sci &amp; Sustainable, Tianjin, Peoples R China</t>
  </si>
  <si>
    <t>China University of Geosciences; Chinese Academy of Sciences; Institute of Geographic Sciences &amp; Natural Resources Research, CAS; Linnaeus University; Nankai University; Tianjin University</t>
  </si>
  <si>
    <t>Acknowledgments The authors gratefully acknowledge the National Natural Science Foundation of China for supporting this research (Nos. 41661144029 and 41325010).</t>
  </si>
  <si>
    <t>2169-9003</t>
  </si>
  <si>
    <t>2169-9011</t>
  </si>
  <si>
    <t>J GEOPHYS RES-EARTH</t>
  </si>
  <si>
    <t>J. Geophys. Res.-Earth Surf.</t>
  </si>
  <si>
    <t>10.1029/2022JF007025</t>
  </si>
  <si>
    <t>WOS:000943135000001</t>
  </si>
  <si>
    <t>Zhao, Baoxu; Wang, Taihua; Yang, Dawen; Yang, Shuyu; Lu, Weiwei; Santisirisomboon, Jerasorn</t>
  </si>
  <si>
    <t>Storms and the resultant floods have always been catastrophic disasters and raised increasing global concerns in the context of climate change. However, the relationships between storms and floods remain largely elusive. Here we examine the storm-flood relationship and its variations in the Upper Chao Phraya River Basin (UCPRB), a typical tropical monsoon basin in southeast Asia. The distributions of storms and floods are characterized by statistical models with the aid of climatic and land surface covariates. The storm-flood relationship is depicted by the concept of storm-flood elasticity, which represents the corresponding changes in flood peaks in response to changes in the storm peaks with the same return period. The storm-flood elasticity coefficients for 100-year return period events range from 0.61 to 1.20, and the values of storm-flood elasticity coefficients tend to be smaller for long-return period events than for short-return-period events, under high-typhoon-precipitation (high-TP), high-non-typhoon-precipitation (high-nTP), and low-forest (low -F) conditions, and in humid regions than in arid regions. The climatic covariates are shown to have stronger effects on the storm-flood elasticity coefficient than the land surface covariate in most basins. In the basins where deforestation shows strong impacts on the storm-flood relationship, afforestation can be an effective approach for flood control. In most basins in the UCPRB, the variation of typhoon precipitation has larger impacts than those of non-typhoon precipitation, indicating that typhoon precipitation should be paid more attention to when considering the future changes in floods. The findings help develop a better understanding of storm-flood relationships in tropical monsoon re-gions, and the methods of this study can also be applied in other climate regions.</t>
  </si>
  <si>
    <t>[Zhao, Baoxu; Wang, Taihua; Yang, Dawen; Yang, Shuyu; Lu, Weiwei] Tsinghua Univ, Dept Hydraul Engn, State Key Lab Hydrosci &amp; Engn, Beijing 100084, Peoples R China; [Lu, Weiwei] China Three Gorges Corp, Beijing 100038, Peoples R China; [Santisirisomboon, Jerasorn] Ramkhamhang Univ, Fac Engn, Div Energy Engn, Bangkok, Thailand</t>
  </si>
  <si>
    <t>Tsinghua University; China Three Gorges Corporation; Ramkhamhaeng University</t>
  </si>
  <si>
    <t>National Natural Science Foundation of China(National Natural Science Foundation of China (NSFC)); Postdoctoral Innovation Talents Support Program of China; China Postdoctoral Science Foundation(China Postdoctoral Science Foundation); Shuimu Tsinghua Scholar Program; ; ;</t>
  </si>
  <si>
    <t>Acknowledgments This research was financially supported by the National Natural Science Foundation of China (Grant No. 41661144031) . T. Wang ac-knowledges the financial support from the Postdoctoral Innovation Talents Support Program of China (Grant No. BX2021166) , China Postdoctoral Science Foundation (2022M711857) and the Shuimu Tsinghua Scholar Program.</t>
  </si>
  <si>
    <t>10.1016/j.jhydrol.2022.128809</t>
  </si>
  <si>
    <t>WOS:000896643700002</t>
  </si>
  <si>
    <t>Wang, Jie; Tang, Qiuhong; Chen, Aifang; Tang, Yin; Xu, Ximeng; Yun, Xiaobo; Mu, Mengfei; Wright, Nigel; Chen, Deliang</t>
  </si>
  <si>
    <t>The impact of monsoon on rainfall in the Lancang-Mekong River Basin (LMRB) has been well understood, but its impact on flood characteristic across the basin is still unclear. To investigate this impact, the Variable Infiltration Capacity (VIC) hydrological model was used to generate the basin-wide discharge and extract flood characteristics. Indian Summer Monsoon (ISM), Western North Pacific Monsoon (WNPM), and their combined effect (ISWN) were considered and represented by monsoon index. The monsoon impact area was firstly obtained based on the monsoon impact on rainfall, followed by the anomaly analyses of flood characteristics within the impact area to quantify the monsoon impact on floods at local and spatial scales. The results show that the ISM and WNPM (or ISWN) can significantly modulate up to 20% of the rainfall interannual variability in the western and eastern parts of the basin, respectively. The monsoon impact on flood is regionally distributed with impact in tributary larger than mainstream. Over half of the monsoon impact areas show the flood start date averagely advances (delays) 8-12 days, flood volume averagely increases (decreases) by 9%-17.5% and Q10 averagely increases (decreases) by 7.4%-14.4% during the strong (weak) monsoon years. Also, the comparisons between monsoon local and spatial impacts reveal that the trade-off of water from different areas can disturb the monsoon impact on flood, suggesting that more stations should be used when using the observed data to analyze the monsoon impact. More importantly, the ISM tends to cause the severe flood in northern Thailand, while WNPM and ISWN mainly induce the severe flood in the southeastern part of the LMRB. This study could help to increase the knowledge of the impact of climate change on flood and help with the regional flood managements.</t>
  </si>
  <si>
    <t>[Wang, Jie; Tang, Qiuhong; Tang, Yin; Xu, Ximeng; Yun, Xiaobo; Mu, Mengfei] Chinese Acad Sci, Inst Geog Sci &amp; Nat Resources Res, Key Lab Water Cycle &amp; Related Land Surface Proc, Beijing, Peoples R China; [Wang, Jie; Tang, Qiuhong; Yun, Xiaobo] Univ Chinese Acad Sci, Beijing, Peoples R China; [Chen, Aifang] Southern Univ Sci &amp; Technol, Sch Environm Sci &amp; Engn, Shenzhen, Peoples R China; [Wright, Nigel] Nottingham Trent Univ, Sch Architecture Design &amp; Built Environm, Nottingham NG1 4FQ, England; [Chen, Deliang] Univ Gothenburg, Dept Earth Sci, Reg Climate Grp, Gothenburg, Sweden</t>
  </si>
  <si>
    <t>Chinese Academy of Sciences; Institute of Geographic Sciences &amp; Natural Resources Research, CAS; Chinese Academy of Sciences; University of Chinese Academy of Sciences, CAS; Southern University of Science &amp; Technology; Nottingham Trent University; University of Gothenburg</t>
  </si>
  <si>
    <t>Strategic Priority Research Program of Chinese Academy of Sciences(Chinese Academy of Sciences); National Natural Science Foundation of China(National Natural Science Foundation of China (NSFC)); International Partnership Program of Chinese Academy of Sciences; Newton Advanced Fellowship</t>
  </si>
  <si>
    <t>This research was supported by the Strategic Priority Research Program of Chinese Academy of Sciences (XDA20060402), National Natural Science Foundation of China (41730645), the International Partnership Program of Chinese Academy of Sciences (131A11KYSB20180034) and Newton Advanced Fellowship. The monsoon data is obtained from http://apdrc.soest.hawaii.edu/projects/monsoon/.</t>
  </si>
  <si>
    <t>10.1016/j.jhydrol.2021.127256</t>
  </si>
  <si>
    <t>WOS:000751941900004</t>
  </si>
  <si>
    <t>Lin, Ke; Shen, Chuan-Chou; Duan, Wuhui; Tan, Liangcheng; Kong, Xinggong; Lee, Shih-Yu; Chen, Yue-Gau; Wang, Xianfeng</t>
  </si>
  <si>
    <t>The impacts of anthropogenic forcing on Indian summer monsoon (ISM) rainfall are obscure, partly due to limited availability of highly resolved hydroclimate proxy records as well as the highly regionalized nature of precipitation. Here, we report an annually-resolved speleothem oxygen isotope record from Xianren Cave, southwestern China, which represents rainfall change over the broad ISM region. We find that the region has endured at least six decadal-scale weak monsoon events in the past three hundred years. One of them, lasting from the early to mid 19th century, shares the similar gradual, persistent trend as the most recent decline in ISM rainfall and both have a magnitude substantially larger than the others dominated by natural variability. This early weak monsoon event occurred during a historical time of intensive deforestation in the region. We conclude that the ISM trend could have been altered by the changes in land-use and land-cover since the early 19th century. Plain Language Summary It is difficult to determine when human activities started to have visible effects on precipitation change. Here, we present a well-resolved Indian summer monsoon (ISM) rainfall record, based on stable isotope studies on speleothems collected from a cave in southwestern China. The oxygen isotope record shows that ISM rainfall has six multi-decadal decreases in the past three hundred years. One of the corresponding monsoon weakening, lasting from the early to mid 19th century, cannot be simply explained by natural variations in the climate system. This prolonged weak monsoon event was likely caused by regional-scale changes in land-use and land-cover, which can be supported by carbon isotope data in speleothems as well as increased deforestation in the region. We hereby propose that observable changes in the trend of ISM rainfall caused by human activities could have occurred as early as in the early 19th century.</t>
  </si>
  <si>
    <t>[Lin, Ke; Shen, Chuan-Chou; Chen, Yue-Gau] Natl Taiwan Univ, Dept Geosci, Taipei, Taiwan; [Lin, Ke; Wang, Xianfeng] Nanyang Technol Univ, Earth Observ Singapore, Singapore, Singapore; [Lin, Ke; Wang, Xianfeng] Nanyang Technol Univ, Asian Sch Environm, Singapore, Singapore; [Shen, Chuan-Chou] Natl Taiwan Univ, Res Ctr Future Earth, Taipei, Taiwan; [Duan, Wuhui] Chinese Acad Sci, Inst Geol &amp; Geophys, Key Lab Cenozo Geol &amp; Environm, Beijing, Peoples R China; [Tan, Liangcheng] Chinese Acad Sci, Inst Earth Environm, State Key Lab Loess &amp; Quaternary Geol, Xian, Peoples R China; [Kong, Xinggong] Nanjing Normal Univ, Coll Geog Sci, Nanjing, Peoples R China; [Lee, Shih-Yu; Chen, Yue-Gau] Acad Sinica, Res Ctr Environm Changes, Taipei, Taiwan</t>
  </si>
  <si>
    <t>National Taiwan University; Nanyang Technological University; Nanyang Technological University; National Taiwan University; Chinese Academy of Sciences; Institute of Geology &amp; Geophysics, CAS; Chinese Academy of Sciences; Institute of Earth Environment, CAS; Nanjing Normal University; Academia Sinica - Taiwan</t>
  </si>
  <si>
    <t>National Research Foundation Singapore (NRF), the Singapore Ministry of Education (MOE) under the Research Centres of Excellence initiative; MOE Tier 2 grant(Ministry of Education, Singapore); NRF; Science Vanguard Research Program of the Ministry of Science and Technology, Taiwan, ROC; Higher Education Sprout Project of the Ministry of Education, Taiwan, ROC; National Taiwan University(National Taiwan University); State Key Laboratory of Loess and Quaternary Geology, Institute of Earth Environment, Chinese Academy of Sciences, China</t>
  </si>
  <si>
    <t>We thank P. Adamek and E. Park for suggestions that benefitted the manuscript. We are in debt to Dr. Ming Tan who initiated the research in Xianren Cave with a grant from the National Natural Science Foundation of China (NSFC-41272204). This work has been possible thanks to the support by the Earth Observatory of Singapore via its funding from the National Research Foundation Singapore (NRF), the Singapore Ministry of Education (MOE) under the Research Centres of Excellence initiative. X. W. acknowledges the financial support from an MOE Tier 2 grant (MOE2019-T2-1-174) and an NRF grant (NRF2017NRF-NSFC001-047). U-Th dating at the High-Precision Mass Spectrometry and Environment Change Laboratory was supported by grants from the Science Vanguard Research Program of the Ministry of Science and Technology, Taiwan, ROC (109-2123-M-002-001 to C.-C.S.), the Higher Education Sprout Project of the Ministry of Education, Taiwan, ROC (109L901001 to C.-C.S.), and the National Taiwan University (110L8907 to C.-C.S.). K. L. acknowledges the financial support (SKLLQG1815) from State Key Laboratory of Loess and Quaternary Geology, Institute of Earth Environment, Chinese Academy of Sciences, China. This work comprises Earth Observatory of Singapore contribution no. 460.</t>
  </si>
  <si>
    <t>10.1029/2022JD036754</t>
  </si>
  <si>
    <t>WOS:000859017000001</t>
  </si>
  <si>
    <t>William, Fiona Bassy; Viswanathan, Prasanna Mohan; Mishra, Anshuman</t>
  </si>
  <si>
    <t>Trend analysis is frequently utilised to identify the changes in meteorological and hydrologic time series data, such as rainfall and temperature. The variations in the intensity, rainfall pattern and temperature have gradually changed globally. Hence, in this study, an attempt was made to analyse the decadal rainfall and surface air temperature data to understand the microclimatic variations in the Miri coastal region of NW Borneo. A data series of records for daily total rainfall amount and daily surface temperature of 11 years from 2010 to 2021 was studied and analysed. In addition, representative rainwater and groundwater samples were collected and analysed for hydrochemical parameters and oxygen and hydrogen isotopes. A detailed literature review was carried out on rainfall patterns in Malaysia, which was used for the comparative study. Interpretation of results shows that the northeast monsoon (NEM) contributed a higher total rainfall rate with lower daily mean surface air temperature over the years compared to the southwest monsoon (SWM). The recorded data for rainfall amounts in SWM for the month of May, July, August and September were higher, particularly for the years 2010 and 2020. During NEM, a higher rainfall amount was recorded in the month of January for several years. February month has always been among the driest month in NEM, and September has been the wettest month throughout the year during SWM. The isotopic values of rainwater indicate a similar moisture source to the regional precipitation trend. Groundwater isotopes reveal the low water-rock ratio of retrograde exchange between water and primary silicate minerals in the aquifer. The moisture source of the precipitation was contributed from both oceanic and continent, affecting the rainfall intensity in this region. This study is a crucial outcome to determine the potential impacts of microclimatic variations on the rainfall patterns in the Miri coastal region.</t>
  </si>
  <si>
    <t>[William, Fiona Bassy; Viswanathan, Prasanna Mohan; Mishra, Anshuman] Curtin Univ Malaysia Miri, Fac Sci &amp; Engn, Dept Appl Sci, Sarawak 98009, Malaysia</t>
  </si>
  <si>
    <t>10.3233/JCC230024</t>
  </si>
  <si>
    <t>WOS:001064161100008</t>
  </si>
  <si>
    <t>Wang, Kai; Aktas, Yasemin D.; Stocker, Jenny; Carruthers, David; Hunt, Julian; Malki-Epshtein, Liora</t>
  </si>
  <si>
    <t>The steep increase in urban populations results in the spatial extent of cities expanding both horizontally and vertically. The climatic response of urban areas differs greatly to rural areas exposed to the same environmental conditions, with urban temperatures generally being higher, particularly in the late afternoon and evening. Coupled with the upward trend in global temperatures, urban heating can be classified as an atmospheric hazard that affects a high proportion of the population in some countries, which needs to be addressed through local and national government planning strategies. This study presents preliminary findings from a city scale urban climate model developed using the fast climate modelling tool ADMS-Urban for the city of Kuala Lumpur, Malaysia, which is known to suffer from substantial urban heating, and discusses the extent and intensity of the urban heat island in light of existing literature based on field measurements. The model has been configured to use surface characteristic data derived from land-use data as input, and through comparison with temperature variations derived from satellite imagery, the model is seen to clearly capture the spatial variation of temperature over the domain. The urban heat island intensi-ties predicted by the model are comparable to the values reported in literature. This study also demonstrates the strong relationship between temperatures and wind speed, which is generally much lower in tropical Kuala Lumpur compared to mid-latitudes, and the urban heat island intensity and nocturnal cooling. The future modelling studies should account for anthropogenic heating, for instance, from air conditioning units and traffic, which are important sources of heat in tropical areas, and expand more on building materials and morphology for a thorough appraisal of urban heating in Kuala Lumpur.</t>
  </si>
  <si>
    <t>[Wang, Kai; Aktas, Yasemin D.; Malki-Epshtein, Liora] UCL Dept Civil Environm &amp; Geomat Engn, Epictr Res Grp, Gower St, London WC1E 6BT, England; [Stocker, Jenny; Carruthers, David] CERC, 3 Kings Parade, Cambridge CB2 1SJ, England; [Hunt, Julian] UCL Dept Earth Sci, Gower St, London WC1E 6BT, England</t>
  </si>
  <si>
    <t>Innovate UK(UK Research &amp; Innovation (UKRI)Innovate UK); EPSRC under the Malaysia-UK Research and Innovation Bridges Competition for Collaborative R D(UK Research &amp; Innovation (UKRI)Engineering &amp; Physical Sciences Research Council (EPSRC)); Newton Fund(UK Research &amp; Innovation (UKRI))</t>
  </si>
  <si>
    <t>This study was carried out as part of Future Cities-Disaster Resilient Cities: Forecasting Local Level Climate Extremes and Physical Hazards for Kuala Lumpur, jointly funded by Innovate UK and EPSRC under the Malaysia-UK Research and Innovation Bridges Competition for Collaborative R&amp; D: DC and JS for InnovateUK Grant ref. 102718, JH for EPSRC Grant ref. EP/P015476/1, YDA, KW, LM-E for EPSRC Grant ref. EP/P015506/1. We are indebted to the Malaysian project leader Professor Joy Pereira. We are grateful to UKM's Dr. Lim Choun-Sian and Dr. Muhamad, and MetMalaysia's Dr. Muhammad Firdaus Ammar for the acquisition of land-use and meteorological data, and Prof Johnny Chan and Prof Jimmy Fung for organising and hosting the Urban Meteorology and Climate Conference in May 2017 in Hong Kong, which made this publication possible. Landsat 8 image is courtesy of the U.S. Geological Survey.</t>
  </si>
  <si>
    <t>APR 23</t>
  </si>
  <si>
    <t>10.1186/s40562-019-0134-2</t>
  </si>
  <si>
    <t>WOS:000465590500001</t>
  </si>
  <si>
    <t>Huang, Yuk Feng; Puah, Yan Jun; Chua, Kuan Chin; Lee, Teang Shui</t>
  </si>
  <si>
    <t>Climate change is a global issue that has impact on every living being in the world. One of the most noticeable consequences of these global phenomena is the inevitable water cycle modification, with precipitation being a major component in these processes. Consequently, research into the occurrence and distribution of precipitation has increased over the past few decades. As Malaysia is located in the tropical area where there is no distinct four seasons, analysing rainfall has therefore become one of the common assessment tools for climate change. In this study, rainfall trends of Langat River Basin were examined on a monthly and seasonal basis (monsoon and non-monsoon) for the period of 1970-2012. Only rainfall time series with duration more than 25 years and missing data less than 10% have been considered for this study. The Holt's test has been employed to model the rainfall trends for the 10 selected time series; while Kendall's Tau test and Spearman's Rho test were used to test, compare and support for the significance of the trends. For monthly rainfall trends analysis, it was found that March, July and November are among the months those have most of the stations with increasing rainfall trends; while May and September are the months with the highest number of stations showing decreasing rainfall trends. Specifically, station 2815001 shows the highest number of months with changing rainfall trends throughout the year; while station 44255 has the least number of months with changing rainfall trends. Based on the seasonal rainfall trend analysis, there are seven stations during the Northeast Monsoon that revealed upward trends and the result is found to be consistent with the monthly rainfall trend analysis.</t>
  </si>
  <si>
    <t>[Huang, Yuk Feng; Puah, Yan Jun] Univ Tunku Abdul Rahman, Fac Sci &amp; Engn, Dept Civil Engn, Kuala Lumpur 53300, Malaysia; [Chua, Kuan Chin] Univ Tunku Abdul Rahman, Fac Sci &amp; Engn, Dept Math &amp; Actuarial Sci, Kuala Lumpur 53300, Malaysia; [Lee, Teang Shui] Univ Putra Malaysia, Fac Engn, Dept Biol &amp; Agr Engn, Serdang 43400, Selangor, Malaysia</t>
  </si>
  <si>
    <t>Universiti Tunku Abdul Rahman (UTAR); Universiti Tunku Abdul Rahman (UTAR); Universiti Putra Malaysia</t>
  </si>
  <si>
    <t>10.1002/joc.4071</t>
  </si>
  <si>
    <t>WOS:000355953600023</t>
  </si>
  <si>
    <t>Muhsin, M.; Sunilkumar, S. V.; Ratnam, M. Venkat; Parameswaran, K.; Murthy, B. V. Krishna; Emmanuel, Maria</t>
  </si>
  <si>
    <t>Influence of convection on the thermal structure of Troposphere and Lower Stratosphere (TLS) is investigated using radiosonde data, obtained from Trivandrum (8.5 degrees N, 76.9 degrees E), Gadanki (13.5 degrees N, 79.2 E), Bhubaneswar (20.25 degrees N, 85.83 degrees E), Kolkata (22.65 degrees N, 88.45 degrees E) and Singapore (1.37 degrees N, 103.98 degrees E), collected during different convective categories classified based on the altitude of deep convective cloud tops (CT) in the period 2008-2014. During deep convective events, the temperature showed lower tropospheric cooling, an upper tropospheric warming and an anomalous cooling (warming) below (above) the cold point tropopause (CPT) with respect to the clear-sky value. While warming in the upper troposphere is strongest (similar to 2-4 K) around 10-12 km, anomalous cooling (warming) below (above) the CPT is maximum around 15.5 km (17.51cm) with values in the range of -2 to -4 K (3-6 K). These temperature perturbations are observed 5-6 days prior to the convective events. In response to deep convection, surface cooling up to similar to -4 K is also observed. This study showed that the magnitude of cold and warm anomalies increases with strength of convection. During deep convection, the potential temperature (theta) shows a decrease (&lt;5K) in the tropical tropopause layer (TTL) from the TTL-base up to CPT compared to that on clear-sky days, confirming the vertical mixing of convective air from the lower atmosphere to the TTL-levels. Correlation analysis between different TTL parameters suggests that, as the cloud top altitude increases, along with the adiabatic process, diabatic process also plays a major role in the TTL. An interesting feature observed during deep convection is the ascent of TTL-base by similar to 1.5 km and descent of CPT and TTL-top by 0.5 km, which effectively thins the TTL by similar to 2 km.</t>
  </si>
  <si>
    <t>[Muhsin, M.; Sunilkumar, S. V.; Parameswaran, K.; Emmanuel, Maria] Vikram Sarabhai Space Ctr, Space Phys Lab, Trivandrum 695022, Kerala, India; [Ratnam, M. Venkat] Natl Atmospher Res Lab, PB 123, Tirupati 517502, Andhra Pradesh, India; [Murthy, B. V. Krishna] CEEBROS, B1,47-20,3 Main Rd, Madras 600020, Tamil Nadu, India</t>
  </si>
  <si>
    <t>Department of Space (DoS), Government of India; Indian Space Research Organisation (ISRO); Vikram Sarabhai Space Center (VSSC); Department of Space (DoS), Government of India; National Atmospheric Research Laboratory (NARL)</t>
  </si>
  <si>
    <t>ISRO research fellowship</t>
  </si>
  <si>
    <t>This study is carried out as part of Tropical Tropopause Dynamics (TTD) experiment under the CAWSES-India program of the Indian Space Research Organization (ISRO). We acknowledge the effort of the technical and scientific staff of SPL (Space Physics Laboratory) and METF (Meteorology Facility) of VSSC (Vikram Sarabhai Space Centre) and NARL (National Atmospheric Research Laboratory) in conducting the experiments. We thank Department of Space, India for providing KALPANA-1 satellite data through MOSDAC center. Radiosonde data other than Trivandrum and Gadanki are obtained from NOAA radiosonde data archival. M. Muhsin and Maria Emmanuel were supported by the ISRO research fellowship.</t>
  </si>
  <si>
    <t>10.1016/j.jastp.2018.01.016</t>
  </si>
  <si>
    <t>WOS:000427336100007</t>
  </si>
  <si>
    <t>Saadatkhah, Nader; Tehrani, Mohammadreza Hadad; Mansor, Shattri; Khuzaimah, Zailani; Kassim, Azman; Saadatkhah, Reza</t>
  </si>
  <si>
    <t>In the current years, changing the land cover/land use had serious hydrological impacts affecting the flood events in the Kelantan River basin. The flood events at the east coast of the peninsular Malaysia got highly affected in the recent decades due to several factors like urbanisation, rapid changes in the utilisation of land and lack of meteorological (i.e. change in climate) and developmental monitoring and planning. The Kelantan River basin has been highly influenced due to a rapid change in land use during 1984 to 2013, which occurred in the form of transformation of agricultural area and deforestation (logging activities). In order to evaluate the influence of the modifications in land cover on the flood events, two hydrological regional models of rainfall-induced runoff event, the Hydrologic Engineering Center (HEC)-Hydrologic Modeling System (HMS) model and improved transient rainfall infiltration and grid-based regional model (Improved TRIGRS), were employed in this study. The responses of land cover changes on the peak flow and runoff volume were investigated using 10 days of hourly rainfall events from 20 December to the end of December 2014 at the study area. The usage of two hydrological models defined that the changes in land use/land cover caused momentous changes in hydrological response towards water flow. The outcomes also revealed that the increase of severe water flow at the study area is a function of urbanisation and deforestation, particularly in the conversion of the forest area to the less canopy coverage, for example, oil palm, mixed agriculture and rubber. The monsoon season floods and runoff escalate in the cleared land or low-density vegetation area, while the normal flow gets the contribution from interflow generated from secondary jungle and forested areas.</t>
  </si>
  <si>
    <t>[Saadatkhah, Nader] GUAT, Fac Sci &amp; Modern Technol, Kerman, Iran; [Tehrani, Mohammadreza Hadad] Islamic Azad Univ, Fac Basic Sci, Sci &amp; Res Branch, Tehran, Iran; [Mansor, Shattri; Khuzaimah, Zailani] Univ Putra Malaysia, Fac Engn, GISRC, Dept Civil Engn, Serdang, Selangor, Malaysia; [Kassim, Azman] Univ Teknol Malaysia, Fac Civil Engn, Dept Geotech &amp; Transportat, Skudai, Malaysia; [Saadatkhah, Reza] Shahid Bahonar Univ, Fac Engn, Kerman, Iran</t>
  </si>
  <si>
    <t>Graduate University of Advanced Technology; Islamic Azad University; Universiti Putra Malaysia; Universiti Teknologi Malaysia; Shahid Bahonar University of Kerman (SBUK)</t>
  </si>
  <si>
    <t>10.1007/s12517-016-2716-z</t>
  </si>
  <si>
    <t>WOS:000387152300005</t>
  </si>
  <si>
    <t>Seyam, Mohammed; Othman, Faridah</t>
  </si>
  <si>
    <t>Studying the long-term changes of streamflow is an important tool for enhancing water resource and river system planning, design, and management. The aim of this work is to identify the long-term variations in annual streamflow regime over a 50-year period from 1961 to 2010 in the Selangor River, which is one of the main tropical rivers in Malaysia. Initially, the data underwent preliminary independence, normality, and homogeneity testing using the Pearson correlation coefficient and Shapiro-Wilk and Pettitt's tests, respectively. The work includes a study and analysis of the changes through nine variables describing the annual streamflow and variations in the yearly duration of high and low streamflows. The analyses were conducted via two time scales: yearly and sub-periodic. The sub-periods were obtained by segmenting the 50 years into seven sub-periods by two techniques, namely the change-point test and direct method. Even though analysis revealed nearly negligible changes in mean annual flow over the study period, the maximum annual flow generally increased while the minimum annual flow significantly decreased with respect to time. It was also observed that the variables describing the dispersion in streamflow continually increased with respect to time. An obvious increase was detected in the yearly duration of danger level of streamflow, a slight increase was noted in the yearly duration of warning and alert levels, and a slight decrease in the yearly duration of low streamflow was found. The perceived changes validate the existence of long-term changes in annual streamflow regime, which increase the probability of floods and droughts occurring in future. In light of the results, attention should be drawn to developing water resource management and flood protection plans in order to avert the harmful effects potentially resulting from the expected changes in annual streamflow regime.</t>
  </si>
  <si>
    <t>[Seyam, Mohammed; Othman, Faridah] Univ Malaya, Fac Engn, Dept Civil Engn, Kuala Lumpur 50603, Malaysia</t>
  </si>
  <si>
    <t>Universiti Malaya</t>
  </si>
  <si>
    <t>University of Malaya(Universiti Malaya); Malaysian International Scholarship (MIS, MOHE); Asian Core Program (ACP); Hydrology and Water Resources Division of the Department of Irrigation and Drainage (DID), Malaysia</t>
  </si>
  <si>
    <t>The authors appreciate the support rendered by the Hydrology and Water Resources Division of the Department of Irrigation and Drainage (DID), Malaysia. Special thanks are due to Malaysian International Scholarship (MIS, MOHE) and Asian Core Program (ACP) for their support in the study. The authors would like to acknowledge the financial support from University of Malaya through the grant FL026-2012D, FL001-13SUS, and RG244-12AFR. Special thanks are due to the reviewers whose supportive comments and ideas have led to a weighty enhancement of the manuscript.</t>
  </si>
  <si>
    <t>10.1007/s00704-014-1225-9</t>
  </si>
  <si>
    <t>WOS:000356539300007</t>
  </si>
  <si>
    <t>Zhao, Kai; Zhao, Haikun; Raga, Graciela B.; Yoshida, Ryuji; Wang, Weiqiang; Klotzbach, Philip J.</t>
  </si>
  <si>
    <t>This study examines extended boreal summer (May-October) tropical cyclogenesis events (TCGEs) associated with large-scale flow patterns (LFPs) over the western North Pacific (WNP) between 1979-1997 and 1998-2012. WNP TCGEs are objectively identified to be associated with five LFPs [e.g., monsoon shear line (SL), monsoon confluence region (CR), monsoon gyre (GY), Pacific easterly wave (EW) and preexisting tropical cyclone (PTC)]. Results show that an apparent decrease in TCGEs from 1998-2012 was due to the significant decrease in TCGEs associated with the PTC pattern and to a somewhat lesser degree, TCGEs associated with the GY pattern. In contrast, TCGEs associated with the SL pattern show a small increase, which seems to contradict the weakened monsoon circulation since 1998 but corresponds well to cyclonic anomalies over the Philippines region. Decreased TCGEs associated with the GY pattern and increased TCGEs associated with the EW pattern are closely related to the strengthening of Pacific easterly waves in response to the Mega La Nina-like pattern that predominated during 1998-2012. Weakened easterly shear over the eastern WNP is not conducive to the development and propagation into the southeastern WNP of Rossby wave trains induced by preexisting TC energy dispersion. Consequently, there is a significant reduction of TCGEs associated with the PTC pattern and a weakening in the contribution of TCGEs associated with the PTC pattern to TCGEs associated with the EW pattern. An increased correlation between TCs associated with the SL/GY/EW patterns and central Pacific (CP)-type ENSO during 1998-2012 is observed. A stable and robust association between TCGEs associated with the CR pattern and tropical North Atlantic sea surface temperature is observed regardless of decadal climate regime shifts. However, there is no significant link between TCGEs associated with the PTC pattern and more CP ENSO events during 1998-2012, but there is a strong association between the Pacific meridional mode and TCGEs associated with the PTC pattern during 1979-1997. More observational analyses and numerical simulations are needed to further investigate the underlying physical mechanism.</t>
  </si>
  <si>
    <t>[Zhao, Kai] Nanjing Univ Informat Sci &amp; Technol, Key Lab Meteorol Disaster, Minist Educ KLME, Nanjing, Peoples R China; [Zhao, Haikun] Nanjing Univ Informat Sci &amp; Technol, Joint Int Res Lab Climate &amp; Environm Change ILCEC, Collaborat Innovat Ctr Forecast &amp; Evaluat Meteoro, Key Lab Meteorol Disaster,Minist Educ KLME,Pacifi, Nanjing 210044, Peoples R China; [Zhao, Haikun; Wang, Weiqiang] Chinese Acad Sci, South China Sea Inst Oceanol, State Key Lab Trop Oceanog, Guangzhou, Peoples R China; [Raga, Graciela B.] Univ Nacl Autonoma Mexico, Ctr Ciencias Atmosfera, Mexico City, DF, Mexico; [Yoshida, Ryuji] Univ Colorado Boulder, CIRES, Boulder, CO USA; [Yoshida, Ryuji] NOAA Earth Syst Res Lab, Boulder, CO USA; [Yoshida, Ryuji] RIKEN Ctr Computat Sci, Kobe, Hyogo, Japan; [Yoshida, Ryuji] Kobe Univ, Res Ctr Urban Safety &amp; Secur, Kobe, Hyogo, Japan; [Wang, Weiqiang] Southern Marine Sci &amp; Engn Guangdong Lab Guangzho, Guangzhou, Peoples R China; [Wang, Weiqiang] Chinese Acad Sci, Innovat Acad South China Sea Ecol &amp; Environm Engn, Guangzhou, Peoples R China; [Klotzbach, Philip J.] Colorado State Univ, Dept Atmospher Sci, Ft Collins, CO 80523 USA</t>
  </si>
  <si>
    <t>Nanjing University of Information Science &amp; Technology; Nanjing University of Information Science &amp; Technology; Chinese Academy of Sciences; South China Sea Institute of Oceanology, CAS; Universidad Nacional Autonoma de Mexico; University of Colorado System; University of Colorado Boulder; National Oceanic Atmospheric Admin (NOAA) - USA; RIKEN; Kobe University; Southern Marine Science &amp; Engineering Guangdong Laboratory; Southern Marine Science &amp; Engineering Guangdong Laboratory (Guangzhou); Chinese Academy of Sciences; Colorado State University</t>
  </si>
  <si>
    <t>National Natural Science Foundation of China(National Natural Science Foundation of China (NSFC)); Natural Science Foundation of Jiangsu Province(Natural Science Foundation of Jiangsu Province); QingLan Project of Jiangsu Province; State Key Laboratory of Tropical Oceanography, South China Sea Institute of Oceanology, Chinese Academy of Science; Key Special Project for Introduced Talents Team of Southern Marine Science and Engineering Guangdong Laboratory (Guangzhou); project of the Six Talent Peaks Project in Jiangsu Province; G. Unger Vetlesen Foundation</t>
  </si>
  <si>
    <t>We thank Prof. Hironori Fudeyasu from Yokohama National University in Japan for his valuable comments and suggestions in the revised stage of this manuscript. This research was jointly supported by the National Natural Science Foundation of China (Grant nos. 41675072, 41922033 and 41730961), the Natural Science Foundation of Jiangsu Province (Grant no. BK20181412), the QingLan Project of Jiangsu Province (R2017Q01), the project of the State Key Laboratory of Tropical Oceanography, South China Sea Institute of Oceanology, Chinese Academy of Science (no. LTO1904), Key Special Project for Introduced Talents Team of Southern Marine Science and Engineering Guangdong Laboratory (Guangzhou) (GML2019ZD0306), and the project of the Six Talent Peaks Project in Jiangsu Province (2019-JY-100). P. Klotzbach would like to acknowledge a grant from the G. Unger Vetlesen Foundation.</t>
  </si>
  <si>
    <t>10.1007/s00382-020-05486-x</t>
  </si>
  <si>
    <t>WOS:000578105800001</t>
  </si>
  <si>
    <t>Rechou, A.; Kirkwood, S.</t>
  </si>
  <si>
    <t>Temperature, precipitation and sunshine duration measurements at meteorological stations across the southern Indian Ocean have been analysed to try to differentiate the possible influence of the Mount Pinatubo volcanic eruption in the Philippines in June 1991 and the normal weather forcings. During December 1991, precipitation on the tropical islands Glorieuses (11.6 degrees S) and Mayotte (12.8 degrees S) was 4 and 3 times greater, respectively, than the climatological mean (precipitation is greater by more than than twice the standard deviation (SD)). Mean sunshine duration (expressed in sun hours per day) was only 6 h on Mayotte, although the sunshine duration is usually more than 7.5 +/- 0.75 h, and on the Glorieuses it was only 5 h, although it is usually 8.5 +/- 1 h. Mean and SD of sunshine duration are based on December (1964-2001 for Mayotte, 1966-1999 for the Glorieuses). The Madden-Julian Oscillation (MJO) is shown to correlate best with precipitation in this area. Variability controlling the warm zone on these two islands can be increased by the Indian Ocean Dipole (IOD), El Nino, the quasi-biennial oscillation (QBO) and/or solar activity (sunspot number, SSN). However, temperature records of these two islands show weak dependence on such forcings (temperatures are close to the climatological mean for December). This suggests that such weather forcings have an indirect effect on the precipitation. December 1991 was associated with unusually low values of the MJO index, which favours high rainfall, as well as with El Nino, eastern QBO and high SSN, which favour high variability. It is therefore not clear whether the Mount Pinatubo volcanic eruption had an effect. Since the precipitation anomalies at the Glorieuses and Mayotte are more or less local (Global Precipitation Climatology Project (GPCP) data) and the effect of the Pinatubo volcanic cloud should be more widespread, it seems unlikely that Pinatubo was the cause. Islands at higher southern latitudes (south of Tromelin at 15.5 degrees S) were not affected by the Pinatubo eruption in terms of sunshine duration, precipitation or temperature.</t>
  </si>
  <si>
    <t>[Rechou, A.] Univ La Reunion, Lab Atmosphere &amp; Cyclones, CNRS, UMR8105,Meteo France, St Denis, Reunion, France; [Kirkwood, S.] Swedish Inst Space Phys, S-98128 Kiruna, Sweden</t>
  </si>
  <si>
    <t>Centre National de la Recherche Scientifique (CNRS); CNRS - National Institute for Earth Sciences &amp; Astronomy (INSU); Meteo France; University of La Reunion</t>
  </si>
  <si>
    <t>ANR(Agence Nationale de la Recherche (ANR)); TAAF (French Austral and Antarctic Territory); FAZSOI (French South Indian Ocean Armed Forces); ANR(Agence Nationale de la Recherche (ANR)); TAAF (French Austral and Antarctic Territory); FAZSOI (French South Indian Ocean Armed Forces)</t>
  </si>
  <si>
    <t>This research is funded by the ANR programme interface and supported by TAAF (French Austral and Antarctic Territory) and FAZSOI (French South Indian Ocean Armed Forces). We acknowledge Meteo France for providing in situ data and more particularly all the climatology team for their valuable help. GPCP precipitation data are provided by NOAA/OAR/ESRL PSD, Boulder, Colorado, USA, from their website at http://www.esrl.noaa.gov/psd/. We also want to thank the Physical Sciences Division, ESRL (NOAA), for the production of the data used in this research project. Lastly, we extend our thanks to P. Bechtold from ECMWF for his frequent help, as well as A. Robock, K. E. Trenberth, P. Keckhut, J. P. Cammas and S. Bielli for many suggestions.</t>
  </si>
  <si>
    <t>0992-7689</t>
  </si>
  <si>
    <t>1432-0576</t>
  </si>
  <si>
    <t>ANN GEOPHYS-GERMANY</t>
  </si>
  <si>
    <t>Ann. Geophys.</t>
  </si>
  <si>
    <t>10.5194/angeo-33-789-2015</t>
  </si>
  <si>
    <t>Astronomy &amp; Astrophysics; Geosciences, Multidisciplinary; Meteorology &amp; Atmospheric Sciences</t>
  </si>
  <si>
    <t>WOS:000358800400001</t>
  </si>
  <si>
    <t>Babu, Saginela Ravindra; Liou, Yuei-An</t>
  </si>
  <si>
    <t>For the first time after 43 years of its previous eruption in 1977, the Taal volcano in the Philippines (14 degrees N, 120 degrees.59E) erupted in the afternoon of 12 January 2020. Due to the strong anticyclonic circulation in the upper troposphere (similar to 150 hPa), the resultant volcanic ash and sulfur dioxide (SO2) were transported to the downwind tropical central Pacific Ocean within a few days after the initial eruption. In this study, day-to-day variability of upper troposphere lower stratosphere (UTLS) temperature in response to the Taal volcanic eruption event over the source region (+/- 5 degrees latitude and longitude around the volcano) and the downwind Pacific region (1020 degrees N, 160-180 degrees E) is delineated by using the recently launched Constellation Observing System for Meteorology, Ionosphere, and Climate (COSMIC)-2 radio occultation (RO) data. The daily mean temperature over the source and downwind regions were compared with the background long-term January mean temperature (obtained from 2007 to 2019 COSMIC-1 RO data) over the respective regions. Significant positive temperature anomalies in the lower stratosphere are evident over the source (between 12 and 14 January) and downwind (between 14 and 19 January) regions after the eruption. These positive anomalies may be due to the association of absorption and local radiative heating by volcanic aerosols. The Ozone Monitoring Instrument (OMI) measurements clearly show the presence of SO2 in the UTLS region. The presence of sulfate aerosols in the UTLS region a few days after eruption is also supported by the Cloud-Aerosol Lidar with Orthogonal Polarization (CALIOP) images. Furthermore, we also describe the temperature structure near the volcano and away from the volcano and found a quite different structure in the UTLS region. A significant temperature inversion at similar to 15 km altitude is evident near the volcano, whereas it is noticed at similar to 16 km away from the volcano. In conclusion, in linewith the previous studies, the present study provides further insights to the UTLS temperature in response to volcanic eruptions. (C) 2021 Elsevier B.V. All rights reserved.</t>
  </si>
  <si>
    <t>[Babu, Saginela Ravindra; Liou, Yuei-An] Natl Cent Univ, Ctr Space &amp; Remote Sensing Res, Taoyuan, Taiwan</t>
  </si>
  <si>
    <t>National Central University</t>
  </si>
  <si>
    <t>Ministry of Science and Technology (MOST) of Taiwan(Ministry of Science and Technology, Taiwan)</t>
  </si>
  <si>
    <t>We thank the COSMIC Data Analysis and Archive Centre (CDAAC) for providing COSMIC-2 data used in the present study through its FTP site (http://cdaac-www.cosmic.ucar.edu/cdaac/products.html).We also thank NASA for providing the Aura Ozone Monitoring Instrument (OMI) data (https://aura.gesdisc.eosdis.nasa.gov/data/Aura_OMI_ Level2/OMSO2.003/2020) and the CALIPSO standard images (https://www-calipso.larc.nasa.gov/).Thanks to NCEP for providing the wind data. This research was funded by the Ministry of Science and Technology (MOST) of Taiwan through grants MOST 108-2111-M-008-036MY2 and 108-2923-M-008-002-MY3.</t>
  </si>
  <si>
    <t>0377-0273</t>
  </si>
  <si>
    <t>1872-6097</t>
  </si>
  <si>
    <t>J VOLCANOL GEOTH RES</t>
  </si>
  <si>
    <t>J. Volcanol. Geotherm. Res.</t>
  </si>
  <si>
    <t>10.1016/j.jvolgeores.2021.107445</t>
  </si>
  <si>
    <t>WOS:000754655300003</t>
  </si>
  <si>
    <t>Predictability of the western North Pacific (WNP) summer climate associated with different El Nio-Southern Oscillation (ENSO) phases is investigated in this study based on the 1-month lead retrospective forecasts of five state-of-the-art coupled models from ENSEMBLES. During the period from 1960 to 2005, the models well capture the WNP summer climate anomalies during most of years in different ENSO phases except the La Nia decaying summers. In the El Nio developing, El Nio decaying and La Nia developing summers, the prediction skills are high for the WNP summer monsoon index (WNPMI), with the prediction correlation larger than 0.7. The high prediction skills of the lower-tropospheric circulation during these phases are found mainly over the tropical western Pacific Ocean, South China Sea and subtropical WNP. These good predictions correspond well to their close teleconnection with ENSO and the high prediction skills of tropical SSTs. By contrast, for the La Nia decaying summers, the prediction skills are considerably low with the prediction correlation for the WNPMI near to zero and low prediction skills around the Philippines and subtropical WNP. These poor predictions relate to the weak summer anomalies of the WNPMI during the La Nia decaying years and no significant connections between the WNP lower-tropospheric circulation anomalies and the SSTs over the tropical central and eastern Pacific Ocean in observations. However, the models tend to predict an apparent anomalous cyclone over the WNP during the La Nia decaying years, indicating a linearity of the circulation response over WNP in the models prediction in comparison with that during the El Nio decaying years which differs from observations. In addition, the models show considerable capability in describing the WNP summer anomalies during the ENSO neutral summers. These anomalies are related to the positive feedback between the WNP lower-tropospheric circulation and the local SSTs. The models can capture this positive feedback but with some uncertainties from different ensemble members during the ENSO neutral summers.</t>
  </si>
  <si>
    <t>[Li, Chaofan] Chinese Acad Sci, Inst Atmospher Phys, Ctr Monsoon Syst Res, Beijing 100029, Peoples R China; [Lu, Riyu] Chinese Acad Sci, Inst Atmospher Phys, State Key Lab Numer Modelling Atmospher Sci &amp; Geo, Beijing 100029, Peoples R China; [Dong, Buwen] Univ Reading, Dept Meteorol, Natl Ctr Atmospher Sci Climate, Reading, Berks, England</t>
  </si>
  <si>
    <t>National Basic Research Program of China(National Basic Research Program of China); U.K. National Centre for Atmospheric Science-Climate (NCAS-Climate) at the University of Reading; Natural Environment Research Council(UK Research &amp; Innovation (UKRI)Natural Environment Research Council (NERC))</t>
  </si>
  <si>
    <t>We thank two anonymous reviewers for their valuable comments. This study was supported by the National Basic Research Program of China (Grant No. 2010CB950403). BD is supported by the U.K. National Centre for Atmospheric Science-Climate (NCAS-Climate) at the University of Reading.</t>
  </si>
  <si>
    <t>10.1007/s00382-013-2010-7</t>
  </si>
  <si>
    <t>WOS:000342493600006</t>
  </si>
  <si>
    <t>Yin, Yixing; Han, Cui; Yang, Guanying; Huang, Yihan; Liu, Mengyang; Wang, Xiaojun</t>
  </si>
  <si>
    <t>Based on the daily precipitation data of 66 stations in the Jianghuai plum rain area from 1960 to 2014 and the concurrent reanalysis data of NCEP/NCAR, this study utilized several techniques, including trend analysis, empirical orthogonal function (EOF) analysis and composite analysis, to investigate the spatio-temporal changes of the summer extreme precipitation in the area and their relationship with the intensity anomalies of the south Asian high (SAH). The main results are as follows: (1) The first eigenvector of the summer extreme precipitation indices (EPIs) of PQ90 and PNL90 exhibits a distribution pattern of uniform  + , and the first principal component (PC1) shows a significant increasing trend. The second eigenvector generally exhibits a dipole pattern of south +, north -, and the second principal component (PC2) of PQ90 shows a significant increasing trend. (2) The intensity index of the summer SAH (SAHI) underwent an abrupt change around 1977, with a subsequent increasing trend. The SAHI depicts a significant positive correlation with PC1 of PNL90 and PQ90, thus the EPIs are higher during the years with a strong SAH. (3) When the SAH shifts eastward (westward) and strengthens (weakens) and the location of the western Pacific subtropical high shifts westward (eastward), the mid-latitude region displays the characteristics of a meridional (zonal) circulation pattern, facilitating (hindering) the occurrence of extreme precipitation in the Jianghuai plum rain area. In addition, corresponding to the above-mentioned circulation patterns, vertical movement strengthens (weakens) over the Jianghuai plum rain area, and thus water vapor fluxes enhance and converge (weaken and diverge). Therefore, extreme precipitation is strengthened (weakened) in the study area. (4) The preceding changes in the atmospheric heat source over the eastern Qinghai-Tibet Plateau (one month in advance) affects the changes of the intensity of the following SAH significantly. The changes in the vertically integrated apparent heat sources over the eastern Qinghai-Tibet Plateau and the sea surface to the east of the Philippines and the apparent moisture sink of the Jianghuai plum rain area is an important factor for the above-mentioned adjustment in the circulation structure and the changes in extreme precipitation.</t>
  </si>
  <si>
    <t>[Yin, Yixing; Han, Cui; Huang, Yihan; Liu, Mengyang] Nanjing Univ Informat Sci &amp; Technol, Sch Hydrol &amp; Water Resources, Nanjing 210044, Peoples R China; [Yang, Guanying] Anhui Inst Meteorol, Key Lab Atmospher Sci &amp; Satellite Remote Sensing, Hefei 230031, Peoples R China; [Wang, Xiaojun] Nanjing Hydraul Res Inst, State Key Lab Hydrol Water Resources &amp; Hydraul En, Nanjing 210029, Peoples R China; [Wang, Xiaojun] Minist Water Resources, Res Ctr Climate Change, Nanjing 210029, Peoples R China</t>
  </si>
  <si>
    <t>Nanjing University of Information Science &amp; Technology; Nanjing Hydraulic Research Institute</t>
  </si>
  <si>
    <t>National Natural Science Foundation of China(National Natural Science Foundation of China (NSFC)); Meteorological Research Foundation of the Huai River Basin; Young TopNotch Talent Support Program of National High-level Talents Special Support Plan; Strategic Consulting Projects of Chinese Academy of Engineering</t>
  </si>
  <si>
    <t>This study was supported by the National Natural Science Foundation of China (41671022, 41575094), Meteorological Research Foundation of the Huai River Basin (HRM201701), the Young TopNotch Talent Support Program of National High-level Talents Special Support Plan, and Strategic Consulting Projects of Chinese Academy of Engineering (No. 2016-ZD-08-05-02).</t>
  </si>
  <si>
    <t>MAY 15</t>
  </si>
  <si>
    <t>10.1016/j.atmosres.2019.104793</t>
  </si>
  <si>
    <t>WOS:000525322900006</t>
  </si>
  <si>
    <t>The seasonal precipitation forecast is one of the essential inputs for economic and agricultural activities and has significant impact on decision-making. Large-scale modes of climate variability have strong relationships with seasonal rainfall in Java and are natural candidates for use as potential predictors in a statistical postprocessing application. We explore whether using climate indices as additional predictors in the statistical postprocessing of ECMWF Seasonal Forecast System 5 (SEAS5) precipitation can improve skill. We use parametric statistical postprocessing by applying a logistic distribution-based ensemble model output statistics (EMOS) technique. We add a variety of potential predictors in the analysis, namely SEAS5 raw and empirical quantile mapping (EQM) bias-corrected precipitation, Nino-3.4 index, dipole mode index (DMI), Madden-Julian oscillation (MJO) indices, sea surface temperature (SST) around Java, and several other predictors. We analyze the period of 1981-2010, focusing on July, August, September, and October. We use the continuous ranked probability skill score (CRPSS) and Brier skill score (BSS) in a comparative verification of raw, EQM, and EMOS seasonal precipitation forecasts. We have found that it is essential to use EQM-corrected precipitation as a predictor instead of raw precipitation in the latter. Besides, Nino-3.4 and DMI forecasts are not needed as extra predictors to improve monthly precipitation forecasts for the first lead month, except for September. However, for somewhat longer lead months, in September and October when there is more skill than climatology, the model that includes only Nino-3.4 and DMI forecasts as potential predictors performs about the same compared to the model that uses only EQM-corrected precipitation as a predictor.</t>
  </si>
  <si>
    <t>[Ratri, Dian Nur; Whan, Kirien; Schmeits, Maurice] Royal Netherlands Meteorol Inst KNMI, De Bilt, Netherlands; [Ratri, Dian Nur] Wageningen Univ &amp; Res, Wageningen, Netherlands; [Ratri, Dian Nur] Indonesian Agcy Meteorol Climatol &amp; Geophys BMKG, Jakarta, Indonesia</t>
  </si>
  <si>
    <t>Royal Netherlands Meteorological Institute; Wageningen University &amp; Research; Indonesian Agency for Meteorology, Climatology &amp; Geophysics</t>
  </si>
  <si>
    <t>Netherlands embassy in Jakarta</t>
  </si>
  <si>
    <t>This study was part of the JCP III project, which was mostly funded by the Netherlands embassy in Jakarta. The authors are grateful to the two anonymous reviewers whose comments have helped to improve the manuscript, and to Jakob Messner, Achim Zeileis, and Reto Stauffer for developing and maintaining the CRCH package (https://CRAN.R-project.org/package5crch).</t>
  </si>
  <si>
    <t>10.1175/WAF-D-20-0124.1</t>
  </si>
  <si>
    <t>WOS:000683897700013</t>
  </si>
  <si>
    <t>Iizumi, Toshichika; Kim, Wonsik; Nishimori, Motoki</t>
  </si>
  <si>
    <t>The lack of spatially detailed crop calendars is a significant source of uncertainty in modeling, monitoring, and forecasting crop production. In this paper, we present a rule-based model to estimate the sowing and harvesting windows of major crops over the global land area. The model considers field workability due to snow cover and heavy rainfall in addition to crop biological requirements for heat, chilling, and moisture. Using daily weather data for the period 1996-2005 as model input, we derive calendars for maize, rice, winter and spring wheat, and soybeans around the year 2000 with a spatial resolution of 0.5 degrees in latitude and longitude. Separate calendars for rainfed and irrigated conditions and three representative varieties (short-, medium- and long-season varieties) are estimated. The daily probabilities of sowing and harvesting derived using the model well capture the major characteristics of reported calendars. Our modeling reveals that field workability is an important determinant of sowing and harvesting dates and that multicropping patterns influence the calendars of individual crops. The case studies show that the model is capable of capturing multicropping patterns such as triple rice cropping in Bangladesh, double rice cropping in the Philippines, winter wheat-maize rotations in France, and maize-winter wheat-soybean rotations in Brazil. The model outputs are particularly valuable for agricultural and hydrological applications in regions where existing crop calendars are sparse or unreliable. Plain Language Summary This manuscript describes a numerical model to estimate location-specific sowing and harvesting dates of crops over the globe. Ten-year-long daily weather data and a few coefficients that represent the physiological characteristics of a crop (for instance, the amount of water needs to complete the life cycle of an annual crop) are only inputs to the model. Comparisons with the reported crop calendars indicate that the model well reproduces calendars of maize, rice, winter and spring wheat, and soybean around the year 2000 in major crop-producing countries. We also find that snow cover and heavy rainfall, which influence field workability but have not considered in earlier modeling, are important to estimate sowing and harvesting dates and multicropping patterns (for instance, a combination of winter and summer crops) affect the calendar of individual crops. Our findings are useful when simulating the responses of crop calendars to climate change.</t>
  </si>
  <si>
    <t>[Iizumi, Toshichika; Kim, Wonsik; Nishimori, Motoki] Natl Agr &amp; Food Res Org, Inst Agroenvironm Sci, Tsukuba, Ibaraki, Japan</t>
  </si>
  <si>
    <t>National Agriculture &amp; Food Research Organization - Japan</t>
  </si>
  <si>
    <t>Japan Society for the Promotion of Science (JSPS) -Natural Sciences and Engineering Research Council of Canada (NSERC) Researcher Exchange Program; Environment Research and Technology Development Fund of the Environmental Restoration and Conservation Agency of Japan; 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</si>
  <si>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We thank Hiroki Takikawa for analysis at earlier stages of this study, Shinji Sawano for discussion, and Navin Ramankutty for comments and edits. The model simulations were conducted at the High-Performance Cluster Computing System at the Agriculture, Forestry and Fisheries Research Information Technology Center, the Ministry of Agriculture, Forestry and Fisheries of Japan. T. I. was supported by the Japan Society for the Promotion of Science (JSPS) -Natural Sciences and Engineering Research Council of Canada (NSERC) Researcher Exchange Program. T. I., W. K., and M. N. were partly supported by the Environment Research and Technology Development Fund (S-14) of the Environmental Restoration and Conservation Agency of Japan. T. I. was partly supported by Grant-in-Aid for Scientific Research (16KT0036, 17 K07984 and 18H02317) of JSPS. The modeled calendars are available via the Data Integration and Analysis System (DIAS, https://doi.org/10.20783/DIAS.546).</t>
  </si>
  <si>
    <t>10.1029/2018MS001477</t>
  </si>
  <si>
    <t>WOS:000458607800007</t>
  </si>
  <si>
    <t>This study analyzed a time series of average central pressure of tropical cyclone (TC) that affected Korea in summer season from 1965 to 2012. To determine whether climate regime shift exists in this time series, statistical change-point analysis was applied to this time series. The result showed that significant climate regime shift existed in 1989, that is, TC intensity from 1965 to 1988 (6588) was weaker than that from 1989 to 2012 (8912). Therefore, an average difference between former and latter periods was analyzed to study large-scale environments, which caused such difference. While TC genesis frequency showed a tendency that TCs in the 6588 period were originated from the northwest quadrant in the tropical and subtropical western North Pacific, TCs in the 8912 period were originated from the southeast quadrant. Thus, it was judged that TCs in the 6588 were generated at a higher latitude followed by moving to Korea. so their strength was weaker than those of TCs of 8912 due to lack of time to acquire sufficient energy from the sea. For TC passage frequency, TCs in the 6588 period showed a tendency to move a short distance from the sea far away from the southeast in Japan to the sea far away from the northeast in Japan or toward the East China Sea. On the other hand, TCs in the 8912 period moved a longer distance from the sea far away from the Philippines via Japan to the eastern sea of Kamchatka Peninsular or toward the east region in China. As such, an average difference of intensity between the former period and the latter period over the 500-hPa streamline was analyzed to determine why the intensity of TCs in the 6588 period was weaker than that of TCs in the 8912 period. As a result, anomalous cold northerlies from anomalous cyclones based on the northern territory of Japan were predominant, while these anomalous flows were originated from the tropical and subtropical western Pacific followed by moving to Korea, thereby affecting the weakening of the TC intensity. Negative anomaly in 500 and 850 hPa air temperature, 600 hPa relative humidity, precipitable water, and sea surface temperature accounted for most of the analysis between the two periods, thereby forming disadvantageous atmospheric environments for strengthening the TC intensity.</t>
  </si>
  <si>
    <t>[Choi, Ki-Seon; Cha, Yu-Mi; Kang, Sung-Dae] Korea Meteorol Adm, Natl Typhoon Ctr, Jeju, South Korea; [Kim, Hae-Dong] Keimyung Univ, Dept Global Environm, Taegu, South Korea</t>
  </si>
  <si>
    <t>10.1007/s00704-014-1193-0</t>
  </si>
  <si>
    <t>WOS:000353220700025</t>
  </si>
  <si>
    <t>Marshall, A. G.; Hudson, D.; Hendon, H. H.; Pook, M. J.; Alves, O.; Wheeler, M. C.</t>
  </si>
  <si>
    <t>We assess the depiction and prediction of blocking at 140A degrees E and its impact on Australian intra-seasonal climate variability in the Bureau of Meteorology's dynamical intra-seasonal/seasonal forecast model Predictive Ocean Atmosphere Model for Australia version 2 (POAMA-2). The model simulates well the strong seasonality of blocking but underestimates its strength and frequency increasingly with lead time, particularly after the first fortnight of the hindcast, in connection with the model's drifting basic state. POAMA-2 reproduces well the large-scale structure of weekly-mean blocking anomalies and associated rainfall anomalies over Australia; the depiction of total blocking in POAMA-2 may be improved with the reduction of biases in the distribution of Indian Ocean rainfall via a tropical-extratropical wave teleconnection linking blocking activity at 140A degrees E with tropical variability near Indonesia. POAMA-2 demonstrates the ability to skilfully predict the daily blocking index out to 16 days lead time for the ensemble mean hindcast, surpassing the average predictive skill of the individual hindcast members (5 days), the skill obtained from persistence of observed (2 days), and the decorrelation timescale of blocking (3 days). This skilful prediction of the blocking index, together with effective simulation of blocking rainfall anomalies, translates into higher skill in forecasting rainfall in weeks 2 and 3 over much of Australia when blocking is high at the initial time of the hindcast, compared to when the blocking index is small. POAMA-2 is thus capable of providing forecast skill for blocking rainfall on the intra-seasonal timescale to meet the needs of Australian farming communities, whose management practises often rely upon decisions being made a few weeks ahead.</t>
  </si>
  <si>
    <t>[Marshall, A. G.; Hudson, D.; Hendon, H. H.; Pook, M. J.; Alves, O.; Wheeler, M. C.] Ctr Australian Weather &amp; Climate Res, Melbourne, Vic, Australia</t>
  </si>
  <si>
    <t>Managing Climate Variability Program of Grains Research and Development Corporation(Grains R&amp;D Corp)</t>
  </si>
  <si>
    <t>This work was supported by the Managing Climate Variability Program of Grains Research and Development Corporation. Thanks to Drs. Peter McIntosh, James Risbey, Terry O'Kane, Kay Shelton, Meelis Zidikheri and Jorgen Frederiksen for useful discussions throughout the course of this work. The AWAP data were provided by the South Eastern Australian Climate Initiative (SEACI) in Australia, and the NNR1 data were provided by the NOAA/CIRES Climate Diagnostics Center in Boulder (USA).</t>
  </si>
  <si>
    <t>10.1007/s00382-013-1974-7</t>
  </si>
  <si>
    <t>WOS:000336984000025</t>
  </si>
  <si>
    <t>Yanto; Rajagopalan, Balaji; Zagona, Edith</t>
  </si>
  <si>
    <t>We investigated the space-time variability of wet (Nov-Apr) and dry (May-Oct) season rainfall over Indonesia, using monthly gridded rainfall data from the University of East Anglia Climatic Research Unit covering the period 1901-2012. Three complimentary techniques were employed-(1) principal component analysis to identify the dominant modes of variability, (2) wavelet spectral analysis to identify the spectral characteristics of the leading modes and their coherence with large scale climate variables and (3) Bayesian Dynamical Linear Model (BDLM) to quantify the temporal variability of the association between rainfall modes and climate variables. In the dry season when the Inter Tropical Convergence Zone (ITCZ) is to the north of the equator the leading two principal components (PCs) explain close to 50 % of the rainfall. In the wet season the ITCZ moves to the south and the leading PCs explain close to 30 % of the variance. El Nio Southern Oscillation (ENSO) is the driver of the leading modes of rainfall variability during both seasons. We find asymmetry in the teleconnections of ENSO to high and low rainfall years in the dry season. Furthermore, ENSO and the leading PCs of rainfall have spectral coherence in the inter-annual band (2-8 years) over the entire period of record and in the multi-decadal (8-16 years) band in post-1980 years. In addition, during the 1950-1980 period the second mode of variability in both seasons has a strong relationship with Pacific Decadal Oscillation. The association between ENSO and the leading mode of Indonesian rainfall has strengthened in recent decades, more so during dry season. These inter-annual and multi-decadal variability of Indonesian rainfall modulated by Pacific climate drivers has implications for rainfall and hydrologic predictability important for water resources management.</t>
  </si>
  <si>
    <t>[Yanto; Rajagopalan, Balaji; Zagona, Edith] Univ Colorado, Civil Environm &amp; Architectural Engn, Boulder, CO 80309 USA; [Yanto] Jenderal Soedirman Univ, Dept Civil Engn, Purwokerto, Indonesia; [Rajagopalan, Balaji] Univ Colorado, Cooperat Inst Res Environm Sci, Boulder, CO 80309 USA; [Zagona, Edith] Univ Colorado, Ctr Adv Decis Support Water &amp; Environm Syst, Boulder, CO 80309 USA</t>
  </si>
  <si>
    <t>University of Colorado System; University of Colorado Boulder; Universitas Jenderal Soedirman; University of Colorado System; University of Colorado Boulder; University of Colorado System; University of Colorado Boulder</t>
  </si>
  <si>
    <t>Directorate General of Higher Education, The Ministry of National Education, Indonesian (Dirjen Dikti), via a Dikti Scholarship</t>
  </si>
  <si>
    <t>This study was funded by The Directorate General of Higher Education, The Ministry of National Education, Indonesian (Dirjen Dikti), via a Dikti Scholarship awarded to the first author. We thank three anonymous reviewers for their comments which significantly improved the manuscript.</t>
  </si>
  <si>
    <t>10.1007/s00382-016-3008-8</t>
  </si>
  <si>
    <t>WOS:000386062000016</t>
  </si>
  <si>
    <t>Manola, Iris; Selten, F. M.; de Ruijter, W. P. M.; Hazeleger, W.</t>
  </si>
  <si>
    <t>In the Indian Ocean basin the sea surface temperatures (SSTs) are most sensitive to changes in the oceanic depth of the thermocline in the region of the Seychelles Dome. Observational studies have suggested that the strong SST variations in this region influence the atmospheric evolution around the basin, while its impact could extend far into the Pacific and the extra-tropics. Here we study the adjustments of the coupled atmosphere-ocean system to a winter shallow doming event using dedicated ensemble simulations with the state-of-the-art EC-Earth climate model. The doming creates an equatorial Kelvin wave and a pair of westward moving Rossby waves, leading to higher SST 1-2 months later in the Western equatorial Indian Ocean. Atmospheric convection is strengthened and the Walker circulation responds with reduced convection over Indonesia and cooling of the SST in that region. The Pacific warm pool convection shifts eastward and an oceanic Kelvin wave is triggered at thermocline depth. The wave leads to an SST warming in the East Equatorial Pacific 5-6 months after the initiation of the Seychelles Dome event. The atmosphere responds to this warming with weak anomalous atmospheric convection. The changes in the upper tropospheric divergence in this sequence of events create large-scale Rossby waves that propagate away from the tropics along the atmospheric waveguides. We suggest to repeat these types of experiments with other models to test the robustness of the results. We also suggest to create the doming event in June so that the East-Pacific warming occurs in November when the atmosphere is most sensitive to SST anomalies and El Nino could possibly be triggered by the doming event under suitable conditions.</t>
  </si>
  <si>
    <t>[Manola, Iris; Selten, F. M.; de Ruijter, W. P. M.; Hazeleger, W.] Royal Netherlands Meteorol Inst, Global Climate Dept, NL-3730 AE De Bilt, Netherlands</t>
  </si>
  <si>
    <t>Royal Netherlands Meteorological Institute</t>
  </si>
  <si>
    <t>Netherlands Organisation for Scientific Research (NWO)(Netherlands Organization for Scientific Research (NWO))</t>
  </si>
  <si>
    <t>The authors would like to thank Richard Bintanja and Camiel Severijns for their contribution to the model set up. This work is part of the research programme INATEX, which is (partly) financed by the Netherlands Organisation for Scientific Research (NWO).</t>
  </si>
  <si>
    <t>10.1007/s00382-014-2338-7</t>
  </si>
  <si>
    <t>WOS:000356807800029</t>
  </si>
  <si>
    <t>Siswanto; van der Schrier, Gerard; van den Hurk, Bart</t>
  </si>
  <si>
    <t>Sub-daily extreme precipitation in Jakarta exhibits trends that are related to local temperature, seasonal tropical monsoon circulations, and other environmental drivers. An analysis of 81 years of hourly rainfall between 1900 and 2010 shows a significant increase of about doubling the number of short-duration rainfall events in the wet season. In recent decades, rainfall is found to be higher in intensity and shorter in duration relative to preceding decades. These short-duration rain showers develop typically between afternoon and late night or during early morning hours. Changing short-duration rainfall characteristics throughout the last century are partly attributed to changes in the surface environment of urban Jakarta. A recent temperature increase and land surface drying in the city, in combination with a small increase in the atmospheric moisture content, promote intensified atmo-spheric convection. A combination of rain gauge data with upper-air observations collected during 2002 ??? 2016 reveals that surface warming in the urbanized city accompanied by enhanced availability of moisture results in an increase in convective available potential energy, which contributes to enhanced intense precipitation. Super Clausius???Clapeyron scaling (CC) of high-intensity rainfall is attributed to high near-surface temperature and atmospheric moisture content in the morning. This super-CC scaling is present in a relatively small range of sur -face temperature values. Results of this study are in agreement with earlier findings exploring the intensification of extreme morning precipitation and a temporal shift of the diurnal convective maximum from late afternoon to late night/early morning in response to local warming. For a delta city such as Jakarta with abundant convection and heavy precipitation, a well-maintained rainfall database is crucial to assist urban flood early warning.</t>
  </si>
  <si>
    <t>[Siswanto] Vrije Univ Amsterdam, Agcy Meteorol Climatol &amp; Geophys Republ Indonesia, Indonesia Inst Environm Studies, Amsterdam, Netherlands; [van der Schrier, Gerard] Royal Netherlands Meteorol Inst KNMI, Amsterdam, Netherlands; [van den Hurk, Bart] Deltares, Delft, Netherlands; [van den Hurk, Bart] Vrije Univ Amsterdam, Inst Environm Studies, Amsterdam, Netherlands</t>
  </si>
  <si>
    <t>Vrije Universiteit Amsterdam; Royal Netherlands Meteorological Institute; Deltares; Vrije Universiteit Amsterdam</t>
  </si>
  <si>
    <t>KNMI (the Netherlands); BMKG (Indonesia); PusAir (Indonesia); Deltares (the Netherlands)(Netherlands Government)</t>
  </si>
  <si>
    <t>This study was supported by the Joint Cooperation Program between KNMI (the Netherlands), BMKG (Indonesia), PusAir (Indonesia), and Deltares (the Netherlands). We would like to thank Mr. Agie Wandala (Center for Meteorology, BMKG) and the Meteorological Station of the SHIA for providing the upper-air data used in this study.</t>
  </si>
  <si>
    <t>10.2151/jmsj.2022-023475</t>
  </si>
  <si>
    <t>WOS:000803590000001</t>
  </si>
  <si>
    <t>Li, Wei; Ciais, Philippe; MacBean, Natasha; Peng, Shushi; Defourny, Pierre; Bontemps, Sophie</t>
  </si>
  <si>
    <t>Land use and land cover change are of prime concern due to their impacts on CO2 emissions, climate change and ecological services. New global land cover products at 300 m resolution from the European Space Agency (ESA) Climate Change Initiative Land Cover (CCI LC) project for epochs centered around 2000, 2005 and 2010 were analyzed to investigate forest area change and land cover transitions. Plant functional types (PFTs) fractions were derived from these land cover products according to a conversion table. The gross global forest loss between 2000 and 2010 is 172,171 km(2), accounting for 0.6% of the global forest area in year 2000. The forest changes are mainly distributed in tropical areas such as Brazil and Indonesia. Forest gains were only observed between 2005 and 2010 with a global area of 9844 km(2), mostly from crops in Southeast Asia and South America. The predominant PFT transition is deforestation from forest to crop, accounting for four-fifths of the total increase of cropland area between 2000 and 2010. The transitions from forest to bare soil, shrub, and grass also contributed strongly to the total areal change in PFTs. Different PFT transition matrices and composition patterns were found in different regions. The highest fractions of forest to bare soil transitions were found in the United States and Canada, reflecting forest management practices. Most of the degradation from grassland and shrubland to bare soil occurred in boreal regions. The areal percentage of forest loss and land cover transitions generally decreased from 2000-2005 to 2005-2010. Different data sources and uncertainty in the conversion factors (converting from original LC classes to PFTs) contribute to the discrepancy in the values of change in absolute forest area. (C) 2015 Elsevier B.V. All rights reserved.</t>
  </si>
  <si>
    <t>[Li, Wei; Ciais, Philippe; MacBean, Natasha; Peng, Shushi] CEA CNRS UVSQ, Lab Sci Climat &amp; Environm, Gif Sur Yvette, France; [Defourny, Pierre; Bontemps, Sophie] Catholic Univ Louvain, Earth &amp; Life Inst, Louvain, Belgium</t>
  </si>
  <si>
    <t>CEA; Centre National de la Recherche Scientifique (CNRS); Universite Paris Saclay; Universite Catholique Louvain</t>
  </si>
  <si>
    <t>LUC4C; Imbalance P; ESA Climate Change Initiative Land Cover Project</t>
  </si>
  <si>
    <t>This work was supported by the LUC4C, Imbalance P and the ESA Climate Change Initiative Land Cover Project 2014. The Land Cover maps were downloaded from the ESA Climate Change Initiative Land Cover Project website: http://maps.elie.ucl.ac.be/CCl/viewer/download.php.</t>
  </si>
  <si>
    <t>10.1016/j.jag.2015.12.006</t>
  </si>
  <si>
    <t>WOS:000371099000003</t>
  </si>
  <si>
    <t>Zhao, Yu; Duan, Anmin; Wu, Guoxiong</t>
  </si>
  <si>
    <t>The atmospheric circulation changes dramatically over a few days before and after the onset of the South Asian monsoon in spring. It is accompanied by the annual maximum surface heating over the Tibetan Plateau. We conducted two sets of experiments with a coupled general circulation model to compare the response of atmospheric circulation and wind-driven circulation in the Indian Ocean to the thermal forcing of the Tibetan Plateau before and after the monsoon onset. The results show that the Tibetan Plateau's thermal forcing modulates the sea surface temperature (SST) of the Indian Ocean and the meridional circulation in the upper ocean with opposite effects during these two stages. The thermal forcing of the Tibetan Plateau always induces a southwesterly response over the northern Indian Ocean and weakens the northeasterly background circulation before the monsoon onset. Subsequently, wind-evaporation feedback results in a warming SST response. Meanwhile, the oceanic meridional circulation shows offshore upwellings in the north and southward transport in the upper layer crossing the equator, sinking near 15 degrees S. After the monsoon onset, the thermal forcing of the Tibetan Plateau accelerates the background southwesterly and introduces a cooling response to the Indian Ocean SST. The response of oceanic meridional overturning circulation is limited to the north of the equator due to the location and structural evolution of the climatological local Hadley circulation. With an acceleration of the local Walker circulation, the underlying zonal currents also show corresponding changes, including a westerly drift along the equator, downwelling near Indonesia, offshore upwelling near Somalia, and a westward undercurrent.</t>
  </si>
  <si>
    <t>[Zhao, Yu] Zhengzhou Univ, Sch Geosci &amp; Technol, Zhengzhou, Peoples R China; [Zhao, Yu; Duan, Anmin; Wu, Guoxiong] Chinese Acad Sci, Inst Atmospher Phys IAP, State Key Lab Numer Modelling Atmospher Sci &amp; Geo, Beijing, Peoples R China; [Zhao, Yu; Duan, Anmin; Wu, Guoxiong] Univ Chinese Acad Sci, Beijing, Peoples R China</t>
  </si>
  <si>
    <t>Zhengzhou University; Chinese Academy of Sciences; Chinese Academy of Sciences; University of Chinese Academy of Sciences, CAS</t>
  </si>
  <si>
    <t>National Natural Science Foundation of China National Outstanding Youth Foundation of China(National Natural Science Foundation of China (NSFC)); Young Scientists Fund;</t>
  </si>
  <si>
    <t>This study was funded by the National Natural Science Foundation of China National Outstanding Youth Foundation of China (41725018), Young Scientists Fund (42005034), and Key Programme (42030602). The paper benefited from support for the model technique from Bian He and Ruizao Sun, who helped with the experiments.</t>
  </si>
  <si>
    <t>10.1175/JCLI-D-20-0982.1</t>
  </si>
  <si>
    <t>WOS:000752637600018</t>
  </si>
  <si>
    <t>Siswanto, Siswanto; van Oldenborgh, Geert Jan; van der Schrier, Gerard; Jilderda, Rudmer; van den Hurk, Bart</t>
  </si>
  <si>
    <t>Using a newly available 134-years long record of daily and 114-years hourly observations at Jakarta observatory, trends and variability in temperature, extreme precipitation, and changes in the diurnal cycle over Jakarta have been analysed. Although the number of days with rainfall has decreased over the 1866-2010 period, the fraction of events with rainfall exceeding 50mm day(-1) exhibits a positive trend over the 1866-2010 period with an even stronger trend over the period 1961-2010. The number of days with rainfall exceeding 50 and 100mm day(-1) has shown a statistically significant increase over the 1961-2010 period as well. Over the recent decades, the heaviest 1% of all precipitation events (q99%) also exhibits an increasing trend. These trends in extremes are strongest during the wet season. The rainfall intensity with 200mm return level has a shorter return period in the most recent decade than earlier in the historic time series. Over the last century, the annual mean temperature in Jakarta has increased about 1.6 degrees C per century, which exceeds the rise of the globalmean land temperature. The increase in the daily maximum temperature is stronger than the increase in mean and minimum temperature, although the trend in minimum temperature is stronger during the last 50 years. The mean diurnal cycles of Jakarta temperature and precipitation have changed markedly as well. This analysis was enabled by the availability of high quality hourly observations in the historic record. Comparing the 2001-2010 period to historic decades, a considerable increase in night-time temperature was found. During the wet season, the early morning rainfall has increased in intensity, while in other seasons a delay of the late afternoon rainfall peak was observed for the recent observation periods.</t>
  </si>
  <si>
    <t>[Siswanto, Siswanto] Agcy Meteorol Climatol &amp; Geophys Republ Indonesia, Ctr Marine &amp; Aviat Meteorol, Jakarta, Indonesia; [Siswanto, Siswanto; van Oldenborgh, Geert Jan; van der Schrier, Gerard; Jilderda, Rudmer; van den Hurk, Bart] Royal Netherlands Meteorol Inst KNMI, R&amp;D Weather &amp; Climate Modeling RDWK Dept, De Bilt, Netherlands; [van den Hurk, Bart] Vrije Univ Amsterdam, Inst Environm Res, Amsterdam, Netherlands</t>
  </si>
  <si>
    <t>Indonesian Agency for Meteorology, Climatology &amp; Geophysics; Royal Netherlands Meteorological Institute; Vrije Universiteit Amsterdam</t>
  </si>
  <si>
    <t>The authors acknowledge the Joint Cooperation Program between KNMI (the Netherlands), BMKG (Indonesia), PusAir (Indonesia), and Deltares (the Netherlands) for providing funding and data intended for conducting this study. The authors also thank a DiDaH project for providing data going back into historical time and thank the SACAD system, making climate extreme indices and datasets become available online for Southeast Asian and Pacific Ocean region. We also thank Dr. Matthias Roth (National University of Singapore) for his comments and suggestions, which contributed much to improving the clarity of the paper.</t>
  </si>
  <si>
    <t>10.1002/joc.4548</t>
  </si>
  <si>
    <t>WOS:000383608000004</t>
  </si>
  <si>
    <t>Li, Shouwei; Liu, Wei</t>
  </si>
  <si>
    <t>The Arctic sea ice loss during the past several decades plays an important role in driving global climate change. Herein we explore the effects of Arctic sea ice loss on global ocean circulations and ocean heat redistribution. We find that in response to Arctic sea ice loss, oceans are taking up heat from the atmosphere via sensible and latent heat fluxes mainly in the subpolar North Atlantic. Meanwhile, Arctic sea ice loss induced ocean circulation changes could redistribute the taken heat, which, however, is timescale-dependent. Within a decade after Arctic sea ice loss, the Atlantic meridional overturning circulation (AMOC) is little altered such that most of the taken heat is locally stored in the Atlantic. On a multidecadal to centennial timescale, the AMOC decelerates redistributing the heat to other basins through interbasin ocean heat exchanges. In the Indo-Pacific Ocean, an anomalous ocean circulation is generated manifesting an abnormal northward flow near the surface, which imports about one-third of the redistributed heat from the Atlantic, via the Southern Ocean and into the Indian Ocean. Meanwhile, the Indonesia Throughflow weakens giving rise to an anomalous ocean heat transport from the Indian to Pacific Ocean. As a result, both Indian and Pacific Oceans are warmed on a multidecadal to centennial timescale. The Arctic sea ice loss also induces a mini global warming with a pronounced lower to middle tropospheric warming in the Southern Hemisphere. Accordingly, the Southern Hemisphere westerly winds poleward intensify to modulate the Deacon Cell and residual MOC in the Southern Ocean. Along with the ocean circulation changes and associated variations in ocean heat transport across the boundary between the Southern Ocean and Atlantic/Indo-Pacific Oceans, two-thirds of the ocean heat imported from the Atlantic remains in the Southern Ocean.</t>
  </si>
  <si>
    <t>[Li, Shouwei; Liu, Wei] Univ Calif Riverside, Dept Earth &amp; Planetary Sci, Riverside, CA 92521 USA</t>
  </si>
  <si>
    <t>University of California System; University of California Riverside</t>
  </si>
  <si>
    <t>U.S. National Science Foundation(National Science Foundation (NSF)); Alfred P. Sloan Foundation(Alfred P. Sloan Foundation)</t>
  </si>
  <si>
    <t>This work is supported by U.S. National Science Foundation (AGS-2053121, OCE 2123422). W.L. has also been supported by the Alfred P. Sloan Foundation as a Research Fellow.</t>
  </si>
  <si>
    <t>10.1007/s00382-022-06241-0</t>
  </si>
  <si>
    <t>WOS:000770743500001</t>
  </si>
  <si>
    <t>Rao, Jian; Garfinkel, Chaim I.; Ren, Rongcai; Wu, Tongwen; Lu, Yixiong; Chu, Min</t>
  </si>
  <si>
    <t>Using 20 quasi-biennial oscillation (QBO)-resolving models from phases 5/6 of the Coupled Model Inter -comparison Project (CMIP5/6), this study examines the projected Southern Hemisphere (SH) extratropical response to the QBO. Nine of the 22 models simulate decelerated circumpolar westerlies during easterly QBO (EQBO) in the historical climate as is observed, though only ;30% of the observed change is reproduced in the multimodel ensemble mean (MME) of these high-skill models. These high-skill models project an enhanced stratospheric QBO teleconnection for both emissions scenarios. Further, the stratospheric wind anomaly in high latitudes is projected to move to midlatitudes in future scenarios. The climatological subtropical jet is projected to strengthen, while tropical easterlies are projected to weaken. As a consequence, upward wave activity in the future appears to become more sensitive to the QBO phase. En-hanced upward propagation of waves in mid-to high latitudes during EQBO are much stronger in future scenarios than in historical simulations. The anomalous downwelling over the Antarctic, as part of the Brewer-Dobson deep branch re-sponse to EQBO, is also projected to strengthen, corresponding to increased warm anomalies. In future scenarios, the areal extent of the deep convective response to EQBO over the Maritime Continent widens and includes a sharper reduction in outgoing longwave radiation, albeit with southward expansion from Indonesia to Australia. The enhancement and spatial shift in the stratospheric polar vortex pathway and tropical convection pathway subsequently lead to changes in the tropo-spheric QBO signal. An annular mode-like response forms in the troposphere and near-surface in the present climate, whereas this pattern shifts farther equatorward in future projections with circulation anomalies in the tropical Indian Ocean amplifying.</t>
  </si>
  <si>
    <t>[Rao, Jian; Ren, Rongcai] Nanjing Univ Informat Sci &amp; Technol, Collaborat Innovat Ctr Forecast &amp; Evaluat Meteorol, Key Lab Meteorol Disaster, Minist Educ, Nanjing, Peoples R China; [Garfinkel, Chaim I.] Hebrew Univ Jerusalem, Fredy &amp; Nadine Herrmann Inst Earth Sci, Jerusalem, Israel; [Ren, Rongcai] Chinese Acad Sci, Inst Atmospher Phys, State Key Lab Numer Modeling Atmospher Sci &amp; Geoph, Beijing, Peoples R China; [Wu, Tongwen; Lu, Yixiong; Chu, Min] China Meteorol Adm, Ctr Earth Syst Modeling &amp; Predict, Beijing, Peoples R China</t>
  </si>
  <si>
    <t>Nanjing University of Information Science &amp; Technology; Hebrew University of Jerusalem; Chinese Academy of Sciences; Institute of Atmospheric Physics, CAS; China Meteorological Administration</t>
  </si>
  <si>
    <t>National Natural Science Foundation of China(National Natural Science Foundation of China (NSFC)); Qing Lan Project of Jiangsu Province; ISF-NSFC joint research program</t>
  </si>
  <si>
    <t>This work was sponsored by the National Natural Science Foundation of China (Grant 42175069 and 42075052), the Qing Lan Project of Jiangsu Province, and &amp; nbsp;the ISF-NSFC joint research program (3259/19). The authors thank the WCRP and ESGF for their freely providing the CMIP5/6 datasets. We also acknowledge ECMWF for providing the modern reanalysis.</t>
  </si>
  <si>
    <t>10.1175/JCLI-D-22-0801.1</t>
  </si>
  <si>
    <t>WOS:001032341500001</t>
  </si>
  <si>
    <t>Meco, Joaquin; Lomoschitz, Alejandro; Betancort, Juan-Francisco</t>
  </si>
  <si>
    <t>Janthina typica is an extinct, rare, floating species of gastropod from the early Pliocene whose fossils have an unusual geographic distribution, appearing in the eastern North Atlantic archipelagos (Canary, Azores, Madeira and Selvagen Islands), Morocco, and Pacific (New Zealand, Australia and Japan). This study examines the origin of this biogeography and how the species may have dispersed via sea surface currents. We have considered the published ecological aspects of the genus Janthina, the Janthina typica fossil localities, and ocean palaeocurrents. Abundant specimens of J. typica are found in marine deposits on Gran Canaria island (northeast Atlantic), 40Ar/39Ar dated at 4.2 Ma. These deposits therefore accumulated just before the end of the early Pliocene warm climate and closely predate the start of global changes that gave rise to the world's present climate. In the early Pliocene, the cold Canary Current did not yet exist. The subtropical northeastern Atlantic Ocean was warmer than today and its waters would have met the Circumtropical Current that crossed the Central American Seaway from the Caribbean to the Pacific. From there, the South Equatorial Current flowed towards the eastern coast of Indonesia before splitting north towards Japan and south as the East Australian Current. The latter must also have extended along the southern coast of Australia, crossing the Bass Strait before reaching the area of modern-day Perth in southwestern Australia. The reverse journey (from Australia to the eastern Atlantic Ocean) would have posed far more obstacles, and is considered improbable. J. typica therefore likely originated in the East Atlantic. The main causes for its extraordinary geographic distribution are its ecology as a floating animal in warm water, tectonic plate movements that permitted an open Central American Seaway and a restricted Indonesian Seaway, and Earth's rotation and its influence on marine currents.</t>
  </si>
  <si>
    <t>[Meco, Joaquin; Betancort, Juan-Francisco] ULPGC, Dept Biol, Las Palmas Gran Canaria 35017, Canary Islands, Spain; [Lomoschitz, Alejandro] ULPGC, Inst Oceanog &amp; Cambio Global, Las Palmas Gran Canaria 35017, Canary Islands, Spain</t>
  </si>
  <si>
    <t>Universidad de Las Palmas de Gran Canaria; Universidad de Las Palmas de Gran Canaria</t>
  </si>
  <si>
    <t>CENTRO GEOCIENCIAS UNAM</t>
  </si>
  <si>
    <t>QUERETARO</t>
  </si>
  <si>
    <t>CENTRO GEOCIENCIAS, UNAM, CAMPUS JURIQUILLA, QUERETARO, QRO 76230, MEXICO</t>
  </si>
  <si>
    <t>1026-8774</t>
  </si>
  <si>
    <t>2007-2902</t>
  </si>
  <si>
    <t>REV MEX CIENC GEOL</t>
  </si>
  <si>
    <t>Rev. Mex. Cienc. Geol.</t>
  </si>
  <si>
    <t>WOS:000386597300004</t>
  </si>
  <si>
    <t>Qian, Daili; Guan, Zhaoyong; Tang, Weiya</t>
  </si>
  <si>
    <t>Using the NCEP/NCAR reanalysis and HadISST sea surface temperature (SST) data, the joint effects of the tropical Indian Ocean and Pacific on variations of area of the summertime western Pacific subtropical high (WPSH) for period 1980-2016 are investigated. It is demonstrated that the central tropical Indian Ocean (CTI) and central equatorial Pacific (CEP) are two key oceanic regions that affect the summertime WPSH. During autumn and winter, warm SST anomalies (SSTAs) in CEP force the Walker circulation to change anomalously, resulting in divergence anomalies over the western Pacific and Maritime Continent (MC). Due to the Gill-type response, the abnormal anticyclonic circulation is generated over the western Pacific and South China Sea (SCS). In the subsequent spring, the warm SSTAs in CEP weaken, while the SST over CTI demonstrates a lagged response to Pacific SSTA. The warm CTISSTA and CEP-SSTA cooperate with the eastward propagation of cold Kelvin waves in the western Pacific, leading to the eastward shift of the abnormal divergence center that originally locates at the western Pacific and MC. The anticyclone forced by this divergence subsequently moves eastward, leading to the intensification of the negative vorticity there. Meanwhile, warm SSTA in CTI triggers eastward propagating Kelvin waves, which lead to easterly anomalies over the equatorial Indian Ocean and Indonesia, being favorable for maintenance and intensification of the anticyclone over the SCS and western Pacific. The monsoonal meridional-vertical circulation strengthens, which is favorable for the intensification of the WPSH. Using SSTA over the two key oceanic regions as predictors, a multiple regression model is successfully constructed for prediction of WPSH area. These results are useful for our better understanding the variation mechanisms of WPSH and better predicting summer climate in East Asia.</t>
  </si>
  <si>
    <t>[Qian, Daili; Guan, Zhaoyong; Tang, Weiya] Nanjing Univ Informat Sci &amp; Technol, Collaborat Innovat Ctr Forecast &amp; Evaluat Meteoro, Joint Int Res Lab Climate &amp; Environm Change, Key Lab,Minist Educ Meteorol Disasters, Nanjing 210044, Jiangsu, Peoples R China; [Qian, Daili] Chinese Acad Meteorol Sci, State Key Lab Severe Weather, Beijing 100081, Peoples R China</t>
  </si>
  <si>
    <t>Nanjing University of Information Science &amp; Technology; China Meteorological Administration; Chinese Academy of Meteorological Sciences (CAMS)</t>
  </si>
  <si>
    <t>China Meteorological Administration Special Public Welfare Research Fund; National Natural Science Foundation of China(National Natural Science Foundation of China (NSFC)); State Key Laboratory of Severe Weather; Priority Academic Program Development (PAPD) project of Jiangsu Province</t>
  </si>
  <si>
    <t>Supported jointly by the China Meteorological Administration Special Public Welfare Research Fund (GYHY201406024), National Natural Science Foundation of China (41330425), Creative Program of the State Key Laboratory of Severe Weather (2015LASW-A03), and Priority Academic Program Development (PAPD) project of Jiangsu Province.</t>
  </si>
  <si>
    <t>10.1007/s13351-018-7172-0</t>
  </si>
  <si>
    <t>WOS:000444126400003</t>
  </si>
  <si>
    <t>Spicer, Robert A.; Yang, Jian; Herman, Alexei B.; Kodrul, Tatiana; Maslova, Natalia; Spicer, Teresa E. V.; Aleksandrova, Galina; Jin, Jianhua</t>
  </si>
  <si>
    <t>The onset and development of the Asian monsoon systems is a topic that has attracted considerable research effort but proxy data limitations, coupled with a diversity of definitions and metrics characterizing monsoon phenomena, have generated much debate. Failure of geological proxies to yield metrics capable of distinguishing between rainfall seasonality induced by migrations of the Inter-tropical Convergence Zone (ITCZ) from that attributable to topographically modified seasonal pressure reversals has frustrated attempts to understand mechanisms underpinning monsoon development and dynamics. Here we circumvent the use of such single climate parameter metrics in favor of detecting directly the distinctive attributes of different monsoon regimes encoded in leaf fossils. Leaf form adapts to the prevailing climate, particularly under the extreme seasonal stresses imposed by monsoons, so it is likely that fossil leaves carry a unique signature of past monsoon regimes. Leaf form trait spectra obtained from fossils from Eocene basins in southern China were compared with those seen in modern leaves growing under known climate regimes. The fossil leaf trait spectra, including those derived from previously published fossil floras from northwestern India, were most similar to those found in vegetation exposed to the modern Indonesia Australia Monsoon (I AM), which is largely a product of seasonal migrations of the ITCZ. The presence of this distinctive leaf physiognomic signature suggests that although a monsoon climate existed in Eocene time across southern Asia the characteristics of the modem topographically enhanced South Asia Monsoon had yet to develop. By the Eocene leaves in South Asia had become well adapted to an I AM type regime across many taxa and points to the existence of a pervasive monsoon climate prior to the Eocene. No fossil trait spectra typical of exposure to the modern East Asia monsoon were seen, suggesting the effects of this system in southern China were a much later development. (C) 2016 Elsevier B.V. All rights reserved.</t>
  </si>
  <si>
    <t>[Spicer, Robert A.; Kodrul, Tatiana; Jin, Jianhua] Sun Yat Sen Univ, Sch Life Sci, State Key Lab Biocontrol, Guangzhou 510275, Guangdong, Peoples R China; [Spicer, Robert A.; Kodrul, Tatiana; Jin, Jianhua] Sun Yat Sen Univ, Sch Life Sci, Guangdong Prov Key Lab Plant Resources, Guangzhou 510275, Guangdong, Peoples R China; [Spicer, Robert A.] Open Univ, Environm, Earth, Ecosyst, Milton Keynes MK7 6AA, Bucks, England; [Yang, Jian; Spicer, Teresa E. V.] Chinese Acad Sci, Inst Bot, State Key Lab Systemat &amp; Evolutionary Bot, Beijing 100093, Peoples R China; [Herman, Alexei B.; Kodrul, Tatiana; Aleksandrova, Galina] Russian Acad Sci, Inst Geol, Moscow 119017, Russia; [Maslova, Natalia] Russian Acad Sci, Borissiak Paleontol Inst, Moscow 117647, Russia</t>
  </si>
  <si>
    <t>Sun Yat Sen University; Sun Yat Sen University; Open University - UK; Chinese Academy of Sciences; Institute of Botany, CAS; Russian Academy of Sciences; Geological Institute, Russian Academy of Sciences; Russian Academy of Sciences; Paleontological Institute of the Russian Academy of Sciences</t>
  </si>
  <si>
    <t>National Natural Science Foundation of China(National Natural Science Foundation of China (NSFC)); Recruitment Program of High-end Foreign Experts of the State Administration of Foreign Experts Affairs, P. R. China; Key Project of Sun Yat-sen University for inviting foreign teachers; Russian Foundation for Basic Research(Russian Foundation for Basic Research (RFBR)Spanish Government); ; ;</t>
  </si>
  <si>
    <t>The research was supported by the National Natural Science Foundation of China (Nos. 41210001, 41572011, 31370254), the Recruitment Program of High-end Foreign Experts of the State Administration of Foreign Experts Affairs, P. R. China, the Key Project of Sun Yat-sen University for inviting foreign teachers, the State projects Nos. 0135-2014-0023 (AH), 0135-2014-0024 (TIC, GA) (Geological Institute, Russian Acad. Sci.), No. 0113-2014-0002 (NM) (Borissiak Paleontological Institute, Russian Acad. Sci.) and Russian Foundation for Basic Research, project No. 15-55-53019. We also thank Torsten Utescher and an anonymous reviewer for their constructive comments.</t>
  </si>
  <si>
    <t>10.1016/j.epsl.2016.05.036</t>
  </si>
  <si>
    <t>WOS:000380419700007</t>
  </si>
  <si>
    <t>Wu, Haohao; Fu, Congsheng; Wu, Huawu; Zhang, Lingling</t>
  </si>
  <si>
    <t>Recent studies have incorporated hydraulic redistribution (HR) schemes into Earth system models to explore its effects on the hydrological, biogeochemical, and ecological processes of terrestrial ecosystems. However, the influence of HR on ecosystems during increasingly frequent extreme drought events, and the performance of different HR schemes at sites with contrasting ecosystem types and climate regimes, remains unclear, especially among ecologically fragile forest ecosystems in Asia. In this study, we incorporated two different HR schemes into Community Land Model version 4.5 (CLM4.5). The model generally improved predictions of soil moisture, evapotranspiration (ET), and carbon (C) fluxes at five AsiaFlux sites with contrasting climate regimes. Upward HR stimulated surface soil moisture, and increased ET by 0.29-0.68 mm H2O day(-1), and net ecosystem C uptake by 1.03 x 10(-6) to 1.64 x 10(-5) g C m(-2) s(-1), at the five forest sites during dry events. Remarkable downward HR was found only in a semi-arid ecosystem located at the northeastern margin of the Qinghai-Tibet Plateau. Incorporating of a simple empirical HR scheme into CLM4.5 yielded better performance than incorporating a physically based scheme into the model for ecosystems with seasonal frozen soil layers. Combined with previous studies at AmeriFlux sites, it can be concluded that climate zones with overlapped dry season and growing season showed clear hydraulic lift during dry season; climate zones with overlapped wet season and growing season showed clear hydraulic descent if precipitation was limited (e.g. &lt;= 400 mm a(-1)), and did not showed clear influences of HR if the precipitation was unlimited (e.g. &gt;= 800 mm a(-1)).</t>
  </si>
  <si>
    <t>[Wu, Haohao; Fu, Congsheng; Wu, Huawu] Chinese Acad Sci, Nanjing Inst Geog &amp; Limnol, Key Lab Watershed Geog Sci, 73 East Beijing Rd, Nanjing 210008, Peoples R China; [Zhang, Lingling] Jiangsu Acad Agr Sci, Inst Agr Informat, 50 Zhongling St, Nanjing 210014, Peoples R China</t>
  </si>
  <si>
    <t>Chinese Academy of Sciences; Nanjing Institute of Geography &amp; Limnology, CAS; Jiangsu Academy of Agricultural Sciences</t>
  </si>
  <si>
    <t>National Key RAMP;D Program of China; Natural Science Foundation of Jiangsu Province, China(Natural Science Foundation of Jiangsu Province); Pioneer Hundred Talent Program, Chinese Academy of Sciences, China; NIGLAS startup project for introducing talents, China; National Natural Science Foundation of China(National Natural Science Foundation of China (NSFC))</t>
  </si>
  <si>
    <t>This work was funded by National Key R&amp;D Program of China (Grants No: 2019YFA0607100), Natural Science Foundation of Jiangsu Province, China (Grants No: BK20191099), Pioneer Hundred Talent Program, Chinese Academy of Sciences, China, grant number (Y7BR021001), NIGLAS startup project for introducing talents, China, grant number (Y7SL041001), and the National Natural Science Foundation of China, grant number (41971044).</t>
  </si>
  <si>
    <t>10.1016/j.jhydrol.2020.124979</t>
  </si>
  <si>
    <t>WOS:000568819100024</t>
  </si>
  <si>
    <t>Alexander, Cici; Korstjens, Amanda H.; Usher, Graham; Nowak, Matthew G.; Fredriksson, Gabriella; Hill, Ross A.</t>
  </si>
  <si>
    <t>Tropical rainforests support a large proportion of the Earth's plant and animal species within a restricted global distribution, and play an important role in regulating the Earth's climate. However, the existing knowledge of forest types or habitats is relatively poor and there are large uncertainties in the quantification of carbon stock in these forests. Airborne Laser Scanning, using LiDAR, has advantages over other remote sensing techniques for describing the three-dimensional structure of forests. With respect to the habitat requirements of different species, forest structure can be defined by canopy height, canopy cover and vertical arrangement of biomass. In this study, forest patches were identified based on classification and hierarchical merging of a LiDAR-derived Canopy Height Model in a tropical rainforest in Sumatra, Indonesia. Attributes of the identified patches were used as inputs for k-medoids clustering. The clusters were then analysed by comparing them with identified forest types in the field. There was a significant association between the clusters and the forest types identified in the field, to which arang forests and mixed agro-forests contributed the most. The topographic attributes of the clusters were analysed to determine whether the structural classes, and potentially forest types, were related to topography. The tallest clusters occurred at significantly higher elevations (&gt; 850 m) and steeper slopes (&gt; 26 degrees) than the other clusters. These are likely to be remnants of undisturbed primary forests and are important for conservation and habitat studies and for carbon stock estimation. This study showed that LiDAR data can be used to map tropical forest types based on structure, but that structural similarities between patches of different floristic composition or human use histories can limit habitat separability as determined in the field.</t>
  </si>
  <si>
    <t>[Alexander, Cici; Korstjens, Amanda H.; Hill, Ross A.] Bournemouth Univ, Dept Life &amp; Environm Sci, Talbot Campus, Poole BH12 5BB, Dorset, England; [Usher, Graham; Nowak, Matthew G.; Fredriksson, Gabriella] PanEco Fdn, Sumatran Orangutan Conservat Programme, Chileweg 5, CH-8415 Berg Am Irchel, Switzerland; [Nowak, Matthew G.] Southern Illinois Univ, Dept Anthropol, 1000 Faner Dr, Carbondale, IL 62901 USA; [Alexander, Cici] Aarhus Univ, AIAS, Hoegh Guldbergs Gade 6B, DK-8000 Aarhus C, Denmark</t>
  </si>
  <si>
    <t>Bournemouth University; Southern Illinois University System; Southern Illinois University; Aarhus University</t>
  </si>
  <si>
    <t>EU Marie Sklodowska-Curie Actions (H2020-MSCA-IF-2014)(European Union (EU)); LEAP (Landscape Ecology and Primatology) project; Marie Curie Actions (MSCA)(Marie Curie Actions)</t>
  </si>
  <si>
    <t>This research received funding through EU Marie Sklodowska-Curie Actions (H2020-MSCA-IF-2014) under grant agreement no [657607], and is part of the LEAP (Landscape Ecology and Primatology) project. We are grateful to Mr. Johannes Sagala (Sarulla Operations Ltd., Indonesia) for providing us with the Airborne Laser Scanner data, and to PT McElhanney, Indonesia for airborne data collection and initial processing to classify ground and non-ground points. We are also grateful to Eka Siswiyati, Dewi Kurnia, Nursaniah Nasution, Ronald AP Siagian, Sugesti Mohamad Arif, Mokhamad Faeasl Khakim, Irvan Sipayung, Hermansyah, Alamsyah Nasution and Nardi Simbolon of PanEco-YEL, and Roma Irama, Kamarudin, Sumurudin, Pardi Sitompul, Hanjandri Matondang and Parel Sitompul of Sarulla Operations Ltd. for field data collection. We would also like to thank the anonymous reviewers for their valuable comments and suggestions.</t>
  </si>
  <si>
    <t>10.1016/j.jag.2018.06.020</t>
  </si>
  <si>
    <t>WOS:000446291100023</t>
  </si>
  <si>
    <t>Vernier, Jean-Paul; Fairlie, T. Duncan; Deshler, Terry; Natarajan, Murali; Knepp, Travis; Foster, Katie; Wienhold, Frank G.; Bedka, Kristopher M.; Thomason, Larry; Trepte, Charles</t>
  </si>
  <si>
    <t>Volcanic eruptions are important causes of natural variability in the climate system at all time scales. Assessments of the climate impact of volcanic eruptions by climate models almost universally assume that sulfate aerosol is the only radiatively active volcanic material. We report satellite observations from the Cloud-Aerosol Lidar with Orthogonal Polarization (CALIOP) on board the Cloud-Aerosol Lidar and Infrared Pathfinder Satellite Observations (CALIPSO) satellite after the eruption of Mount Kelud (Indonesia) on 13 February 2014 of volcanic materials in the lower stratosphere. Using these observations along with in situ measurements with the Compact Optical Backscatter AerosoL Detector (COBALD) backscatter sondes and optical particle counters (OPCs) made during a balloon field campaign in northern Australia, we find that fine ash particles with a radius below 0.3 mu m likely represented between 20 and 28% of the total volcanic cloud aerosol optical depth 3months after the eruption. A separation of 1.5-2km between the ash and sulfate plumes is observed in the CALIOP extinction profiles as well as in the aerosol number concentration measurements of the OPC after 3months. The settling velocity of fine ash with a radius of 0.3 mu m in the tropical lower stratosphere is reduced by 50% due to the upward motion of the Brewer-Dobson circulation resulting a doubling of its lifetime. Three months after the eruption, we find a mean tropical clear-sky radiative forcing at the top of the atmosphere from the Kelud plume near -0.08W/m(2) after including the presence of ash; a value similar to 20% higher than if sulfate alone is considered. Thus, surface cooling following volcanic eruptions could be affected by the persistence of ash and should be considered in climate simulations.</t>
  </si>
  <si>
    <t>[Vernier, Jean-Paul; Knepp, Travis] Sci Syst &amp; Applicat Inc, Hampton, VA 23666 USA; [Vernier, Jean-Paul; Fairlie, T. Duncan; Natarajan, Murali; Knepp, Travis; Bedka, Kristopher M.; Thomason, Larry; Trepte, Charles] NASA, Langley Res Ctr, Hampton, VA 23665 USA; [Deshler, Terry; Foster, Katie] Univ Wyoming, Dept Atmospher Sci, Laramie, WY 82071 USA; [Wienhold, Frank G.] Swiss Fed Inst Technol ETHZ, Zurich, Switzerland</t>
  </si>
  <si>
    <t>Science Systems &amp; Applications Inc; National Aeronautics &amp; Space Administration (NASA); NASA Langley Research Center; University of Wyoming; Swiss Federal Institutes of Technology Domain; ETH Zurich</t>
  </si>
  <si>
    <t>10.1002/2016JD025344</t>
  </si>
  <si>
    <t>WOS:000385836000033</t>
  </si>
  <si>
    <t>Elsbury, Dillon; Peings, Yannick; Magnusdottir, Gudrun</t>
  </si>
  <si>
    <t>The teleconnection between the Quasi-Biennial Oscillation (QBO) and the boreal winter polar vortex, the Holton-Tan effect, is analyzed in the Whole Atmosphere Community Climate Model (WACCM) with a focus on how stationary wave propagation varies by QBO phase. These signals are difficult to isolate in reanalyses because of large internal variability in short observational records, especially when decomposing the data by QBO phase. A 1,500-year ensemble is leveraged by defining the QBO index at five different isobars between 10 and 70 hPa. The Holton-Tan effect is a robust part of the atmospheric response to the QBO in WACCM with warming of the polar stratosphere during easterly QBO (QBOE). A nudging technique is used to reduce polar stratospheric variability in one simulation. This enables isolation of the impact of the QBO on the atmosphere in the absence of a polar stratospheric response to the QBO: referred to as the direct effect and the polar stratospheric response, indirect effect. This simulation reveals that the polar stratospheric warming during QBOE pushes the tropospheric jet equatorward, opposing the poleward shift of the jet by the QBOE, especially over the North Pacific. The Holton-Tan effect varies over longitude. The QBO induces stronger planetary wave forcing to the mean flow in the extratropical lower stratosphere between Indonesia and Alaska. The North Pacific polar stratosphere responds to this before other longitudes. What follows is a shift in the position of the polar vortex toward Eurasia (North America) during easterly (westerly) QBO. This initiates downstream planetary wave responses over North America, the North Atlantic, and Siberia. This spatiotemporal evolution is found in transient simulations in which QBO nudging is switched on. The North Pacific lower stratosphere seems more intrinsically linked to the QBO while other longitudes appear more dependent on the mutual interaction between the QBO and polar stratosphere.</t>
  </si>
  <si>
    <t>[Elsbury, Dillon; Peings, Yannick; Magnusdottir, Gudrun] Univ Calif Irvine, Dept Earth Syst Sci, Irvine, CA 92617 USA</t>
  </si>
  <si>
    <t>National Science Foundation, Division of Atmospheric Geospace Sciences(National Science Foundation (NSF)); National Science Foundation, Division of Graduate Education(National Science Foundation (NSF)); Department of Energy, Office of Biological Environment Research(United States Department of Energy (DOE))</t>
  </si>
  <si>
    <t>National Science Foundation, Division of Atmospheric Geospace Sciences, AGS-1624038; Division of Graduate Education, DGE-1839285; Department of Energy, Office of Biological Environment Research, DE-SC0019407.</t>
  </si>
  <si>
    <t>10.1002/qj.3993</t>
  </si>
  <si>
    <t>WOS:000620222200001</t>
  </si>
  <si>
    <t>Zhao, Baoxu; Lei, Huimin; Yang, Dawen; Yang, Shuyu; Santisirisomboon, Jerasorn</t>
  </si>
  <si>
    <t>Deforestation has been reported to increase annual streamflow, baseflow, and sediment load in many parts of the world. However, studies about the hydrological effects of deforestation are scant in the tropical monsoon region. In this study, these effects were examined in the Upper Chao Phraya River basin (UCPRB) which is a typical tropical monsoon basin and is an important area of water resources in Thailand. A significant breakpoint for annual streamflow and annual precipitation in the entire UCPRB is identified as 1993, and this breakpoint is also identified for annual baseflow in most upstream sub-basins during the past decades (1981-2015). Significant increasing trend is detected in the annual suspended sediment load of the Wang River sub-basin. Land use maps generated by a CA-Markov model suggest that continuous deforestation occurred during the study period. The contributions of climate change and deforestation to the hydrological and sedimentary changes are then attributed within the Budyko Framework. Precipitation increment dominates the annual streamflow increment in the entire UCPRB and the annual baseflow increment in the Ping River sub-basin, and deforestation dominates the annual streamflow increment in the upstream sub-basins, the annual baseflow increment in most of the upstream sub-basins, and the increasing suspended sediment load in the Wang River sub-basin. The hydrological and sedimentary response to deforestation is then quantified. In the entire UCPRB, one percent reduction of the forest cover can increase the annual streamflow by 1.9%. In the upstream sub-basins, one percent reduction of the forest cover can increase the annual streamflow and annual baseflow by 2.5%-5.4% and 2.6%-6.7%, respectively. One percent reduction of the forest cover can increase the annual suspended sediment load by 8.7%. These findings will help develop better understanding of land use management in the UCPRB for water-soil conservation.</t>
  </si>
  <si>
    <t>[Zhao, Baoxu; Lei, Huimin; Yang, Dawen; Yang, Shuyu] Tsinghua Univ, Dept Hydraul Engn, State Key Lab Hydrosci &amp; Engn, Beijing 100084, Peoples R China; [Santisirisomboon, Jerasorn] Ramkhamhang Univ, Fac Engn, Div Energy Engn, Bangkok, Thailand</t>
  </si>
  <si>
    <t>Tsinghua University; Ramkhamhaeng University</t>
  </si>
  <si>
    <t>This research was financially supported by the National Natural Science Foundation of China (Grant No. 41661144031).</t>
  </si>
  <si>
    <t>10.1016/j.jhydrol.2022.127432</t>
  </si>
  <si>
    <t>WOS:000752514400005</t>
  </si>
  <si>
    <t>Yang, Shuyu; Zhao, Baoxu; Yang, Dawen; Wang, Taihua; Yang, Yuting; Ma, Teng; Santisirisomboon, Jerasorn</t>
  </si>
  <si>
    <t>Global Climate change and local human activities have profoundly affected the regional hydrological cycle and water resources. It is imperative to explore the potential changes in future water resources and water-related hazards at the regional scale under global warming and local socioeconomic development, while a scientific assessment of future hydrological risks requires reasonable projection of future climate, land use and vegetation changes. In order to improve the traditional statistical downscaling method, this study combines the machine learning and quantile mapping methods to project future climate under four shared socio-economic pathwayrepresentative concentration pathways (SSP-RCP) of the CMIP6. Future land use is projected jointly with the future climate by the CA-Markov model, and the vegetation dynamics are simulated by the Biome-BGC model. Then we employ a physically-based distributed hydrological model to simulate the future hydrological changes in the Upper Chao Phraya basin under the interaction among climate and land use changes and the vegetation dynamics. The results show that under the joint impact of climate and land-use changes, the study area may face increasing water scarcity and more frequent floods and droughts in the future. Water scarcity will reach the worst in the mid-21st century (water resources per capita decrease 34.2% compared to the 2010 s). By the end-21st century, the 100-year historical flood and drought in the study basin will increase by 1.63 times and 0.59 times, respectively, under the SSP126 scenario (the most sustainable pathway), and by 4.55 times and 1.56 times under the SSP370 scenario (the most pessimistic rocky-road pathway). Results demonstrate that climate change is the major cause for more frequent floods and droughts in the future, while afforestation or more sustainable land use management will mitigate the adverse effects of climate change to some extent. This finding is helpful to the local government in managing future water resources, floods, and droughts in the study basin.</t>
  </si>
  <si>
    <t>[Yang, Shuyu; Zhao, Baoxu; Yang, Dawen; Wang, Taihua; Yang, Yuting; Ma, Teng] Tsinghua Univ, Dept Hydraul Engn, State Key Lab Hydrosci &amp; Engn, Beijing 100084, Peoples R China; [Yang, Shuyu] Shanghai Chengtou Grp Corp, Shanghai 200000, Peoples R China; [Santisirisomboon, Jerasorn] Ramkhamhang Univ, Fac Engn, Div Energy Engn, Bangkok, Thailand</t>
  </si>
  <si>
    <t>National Natural Science Foundation of China(National Natural Science Foundation of China (NSFC)); Ministry of Science and Technology of China(Ministry of Science and Technology, China); Postdoctoral Innovation Talents Support Program of China; Shuimu Tsinghua Scholar Program</t>
  </si>
  <si>
    <t>This study is supported by the National Natural Science Foundation of China (Grant No. 41661144031) and the Ministry of Science and Technology of China (Grant No. 2019YFC1510604). T. Wang acknowledges the financial support from the Postdoctoral Innovation Talents Support Program of China (Grant No. BX2021166) and the Shuimu Tsinghua Scholar Program. The authors would like to thank the Royal Irrigation Department of Thailand and the Department of Land Development of Thailand for providing historical observations, including daily runoff data, daily precipitation, daily air temperature (mean, maximum and minimum), daily mean relative humidity, daily sunshine duration and land use maps. In addition, the authors are appreciative of the datasets used in this study provided by the researchers and their teams. The DEM dataset is available at https://hydrosheds.org/. GIMMS NDVI3g is available at https://ecocast.arc.nasa.gov/data/pub/gimms/3g.v1/. The GCM data can be directly downloaded at https://esgf-node. llnl.gov/search/cmip6/, and future population data from the SSP data-base are available at https://tntcat.iiasa.ac.at/SspDb. The LUH2 dataset is available at https://luh.umd.edu/data.shtml, and the SoilGrids data-set is available at https://soilgrids.org/.</t>
  </si>
  <si>
    <t>10.1016/j.jhydrol.2023.129454</t>
  </si>
  <si>
    <t>WOS:001029736800001</t>
  </si>
  <si>
    <t>Jafarzadeh-Haghighi, Amir Hossein; Shamshuddin, Jusop; Hamdan, Jol; Zainuddin, Norhazlin</t>
  </si>
  <si>
    <t>Information on structural composition of organic matter (OM) in particle-size fractions of soils along a climo-biosequence is sparse. The objective of this study was to examine structural composition and morphological characteristics of OM in particle-size fractions of soils along a climo-biosequence in order to better understand the factors and processes affecting structural composition of soil organic matter. To explore changes in structural composition of OM in soils with different pedogenesis, the A-horizon was considered for further analyses including particle-size fractionation, solid-state C-13 nuclear magnetic resonance (NMR) spectroscopy and scanning electron microscopy (SEM). Due to the increase in the thickness of organic layer with increasing elevation, the A-horizon was situated at greater depth in soils of higher elevation. The relationship between relative abundances of carbon (C) structures and particle-size fractions was examined using principal component analysis (PCA). It was found that alkyl C (20.1-73.4%) and O-alkyl C (16.867.7%) dominated particle-size fractions. The proportion of alkyl C increased with increasing elevation, while O-alkyl C showed an opposite trend. Results of PCA confirmed this finding and showed the relative enrichment of alkyl C in soils of higher elevation. Increase in the proportion of alkyl C in 250-2000 mu m fraction is linked to selective preservation of aliphatic compounds derived from root litter. SEM results showed an increase in root contribution to the 250-2000 mu m fraction with increasing elevation. For the &lt;53 mu m fraction, pedogenic process of podzolization is responsible for the relative enrichment of alkyl C. This study demonstrates that changes in structural composition of OM in particle-size fractions of soils along the studied climo-biosequence are attributed to site-specific differences in pedogenesis as a function of climate and vegetation.</t>
  </si>
  <si>
    <t>[Jafarzadeh-Haghighi, Amir Hossein; Shamshuddin, Jusop; Hamdan, Jol] Univ Putra Malaysia, Fac Agr, Dept Land Management, Serdang 43400, Selangor, Malaysia; [Zainuddin, Norhazlin] Univ Putra Malaysia, Fac Sci, Dept Chem, Serdang 43400, Selangor, Malaysia</t>
  </si>
  <si>
    <t>Universiti Putra Malaysia; Universiti Putra Malaysia</t>
  </si>
  <si>
    <t>Research University Grant Scheme (RUGS)</t>
  </si>
  <si>
    <t>Thanks are given to Universiti Putra Malaysia (UPM) for providing technical and financial support for this study. This work was funded by the Research University Grant Scheme (RUGS) under Grant No. 01-02-12-1700RU (9327000) provided by UPM. We would like to express our gratitude to Dr Jeffrey Baldock at CSIRO Land and Water, Australia for providing helpful information on the method of particle-size fractionation, Siti Busyra Abu Hassan and Francis Voon Wai Thoo for their role in NMR analysis.</t>
  </si>
  <si>
    <t>10.1515/geo-2016-0034</t>
  </si>
  <si>
    <t>WOS:000385797300025</t>
  </si>
  <si>
    <t>Thompson, Lonnie G.; Davis, Mary E.; Mosley-Thompson, Ellen; Porter, Stacy E.; Valdivia Corrales, Gustavo; Shuman, Christopher A.; Tucker, Compton J.</t>
  </si>
  <si>
    <t>Alpine glaciers in the low- and mid-latitudes respond more quickly than large polar ice sheets to changes in temperature, precipitation, cloudiness, humidity, and radiation. Many high-altitude glaciers are monitored by ground observations, aerial photography, and satellite-borne sensors. Regardless of latitude and elevation, nearly all nonpolar glaciers and ice caps are undergoing mass loss, which compromises the records of past climate preserved within them. Almost without exception, the retreat of these ice fields is persistent, and a very important driver is the recent warming of the tropical troposphere and oceans. Here we present data on the decrease in the surface area of four glaciers from low- to mid-latitude mountainous regions: the Andes of Peru and northern Bolivia, equatorial east Africa, equatorial Papua, Indonesia, and the western Tibetan Plateau. Climate records based on oxygen isotopic ratios (delta O-18) measured in ice cores drilled from several glaciers in these regions reveal that the records from elevations below similar to 6000 m above sea level have been substantially modified by seasonal melting and the movement of meltwater through porous upper firn layers. Fortunately, delta O-18 records recovered from higher altitude sites still contain well-preserved seasonal variations to the surface; however, the projected increase in the rate of atmospheric warming implies that climate records from higher elevation glaciers will eventually also be degraded. A long-term ice core collection program on the Quelccaya ice cap in Peru, Earth's largest tropical ice cap, illustrates that the deterioration of its climate record is concomitant with the increase in mid-troposphere temperatures. The melting ice and resulting growth of proglacial lakes presents an imminent hazard to nearby communities. The accelerating melting of glaciers, if sustained, ensures the eventual loss of unique and irreplaceable climate histories, as well as profound economic, agricultural, and cultural impacts on local communities.</t>
  </si>
  <si>
    <t>[Thompson, Lonnie G.; Davis, Mary E.; Mosley-Thompson, Ellen; Porter, Stacy E.] Ohio State Univ, Byrd Polar &amp; Climate Res Ctr, Columbus, OH 43210 USA; [Thompson, Lonnie G.] Ohio State Univ, Sch Earth Sci, Columbus, OH 43210 USA; [Mosley-Thompson, Ellen] Ohio State Univ, Dept Geog, Columbus, OH 43210 USA; [Valdivia Corrales, Gustavo] Consortium Sustainable Dev Andean Ecoreg CONDESAN, Calle Codornices 253, Lima 15047, Peru; [Valdivia Corrales, Gustavo] Univ Nacl Mayor San Marcos, Fac Ciencias Sociales, Ciudad Univ,Av Venezuela Cdra 34, Lima 15081, Peru; [Shuman, Christopher A.] NASA, Cryospher Sci Lab, Goddard Space Flight Ctr, Greenbelt, MD 20771 USA; [Shuman, Christopher A.] Univ Maryland Baltimore Cty, Joint Ctr Earth Syst Technol, Baltimore, MD 21228 USA; [Tucker, Compton J.] NASA, Earth Sci Div, Goddard Space Flight Ctr, Greenbelt, MD 20771 USA</t>
  </si>
  <si>
    <t>University System of Ohio; Ohio State University; University System of Ohio; Ohio State University; University System of Ohio; Ohio State University; Universidad Nacional Mayor de San Marcos; National Aeronautics &amp; Space Administration (NASA); NASA Goddard Space Flight Center; University System of Maryland; University of Maryland Baltimore County; National Aeronautics &amp; Space Administration (NASA); NASA Goddard Space Flight Center</t>
  </si>
  <si>
    <t>National Science Foundation (NSF) Paleoclimate Program(National Science Foundation (NSF)NSF - Directorate for Geosciences (GEO)); Ohio State University (OSU)(Ohio State University); NSF(National Science Foundation (NSF)); NSF(National Science Foundation (NSF)); NOAA(National Oceanic Atmospheric Admin (NOAA) - USA); OSU; OSU's Climate, Water and Carbon Program; Johns Hopkins Environment, Energy, Sustainability &amp; Health Institute</t>
  </si>
  <si>
    <t>Funding for the 2016 field work on Huascaran and Quelccaya was provided by the National Science Foundation (NSF) Paleoclimate Program award RAPID AGS-1603377 and by The Ohio State University (OSU) . Funding for the 2019 Huascarn and 2003 Quelccaya deep drilling programs was provided by NSF awards AGS-1805819 and AGS0318430, respectively. Prior field projects back to 1976 were funded by multiple awards from NSF, NOAA, and OSU. Funding for the photography of the Kilimanjaro glaciers was provided by OSU's Climate, Water and Carbon Program, and NSF Award ATM9910172. The Naimona'nyi program was funded by NSF Award ATM0502476, and the Guliya program was funded by NSF Award P2C21502919. Funding for the Papua, Indonesia program was provided by NSF Award ATM0823586. Support for ethnographic fieldwork in Phinaya in 2015 and 2016 was provided by a fellowship from the Johns Hopkins Environment, Energy, Sustainability &amp; Health Institute. The authors wish to thank all the participants in the Quelccaya, Cordillera Blanca, Himalaya, Papua, and Kilimanjaro ice core drilling and surface sampling programs conducted by BPCRC-OSU since 1976. This is Byrd Polar and Climate Research Center contribution number C1592.</t>
  </si>
  <si>
    <t>10.1016/j.gloplacha.2021.103538</t>
  </si>
  <si>
    <t>WOS:000670281800003</t>
  </si>
  <si>
    <t>Syah, Muhlash Hada Firman; Kano, Akihiro; Iizuka, Tsuyoshi; Kakizaki, Yoshihiro</t>
  </si>
  <si>
    <t>Lithological and geochemical features of platformal carbonates record the signatures of the global climates and the regional environmental settings and also reconstruct the diagenetic history and porosity evolution, which are essential to evaluate the potential of hydrocarbon reservoirs. This study investigates the platformal carbonates of the Oligo-Miocene Krunji Formation of North East Java Basin, which are potentially significant hydrocarbon reservoirs. The carbonate sequence in a 283 m thick section at Kranji in East Java is subdivided into three lithological units: limestone unit 1, dolostone unit 2, and limestone unit 3, in ascending order. The strontium-isotope ratios of well-preserved calcite samples indicate the depositional period from Chattian (late Oligocene) to Burdigalian (early Miocene), which is consistent with ages of the foraminifer assemblages. Unit 1 consists of low-porosity limestone, in which two horizons of subaerial exposure are recognized by the occurrence of red-colored matrix and lower delta C-13 values. Unit 2 consists of dolomitic rock and exhibits coarse-grained calcitic grains and cross-stratified structure. Considering that this unit has been subject to dolomitization, the sediment of unit 2 was initially permeable and was likely deposited in a shoal setting. The overlying unit 3 of Aquitanian-Burdigalian age is characterized by a highly granular texture. High porosity and uniformly low delta C-13 and delta O-18 values indicate that Unit 3 was subjected to more intense meteoric diagenesis than the Chattian unit 1. This was likely a consequence of the Antarctic ice-sheet expansion during the Oligocene/Miocene transition, which amplified sea level change. The unit 2 dolomite has high delta C-13 and delta O-18 values and a high Sr-87/Sr-86 ratio which resulted from the reflux of seawater into permeable the sediment body in middle-late Miocene (Burdigalian Tortonian) following the deposition of unit 3. The porosity and permeability of the Kujung Formation were initially controlled by sedimentological processes, but largely modified by later diagenetic processes.</t>
  </si>
  <si>
    <t>[Syah, Muhlash Hada Firman] Kyushu Univ, Integrated Sci Global Soc, Nishi Ku, Motooka 744, Fukuoka, Fukuoka 8190395, Japan; [Kano, Akihiro; Iizuka, Tsuyoshi; Kakizaki, Yoshihiro] Univ Tokyo, Dept Earth &amp; Planetary Sci, Bunkyo Ku, Hongo 7-3-1, Tokyo 1130033, Japan</t>
  </si>
  <si>
    <t>Kyushu University; University of Tokyo</t>
  </si>
  <si>
    <t>1038-4871</t>
  </si>
  <si>
    <t>1440-1738</t>
  </si>
  <si>
    <t>ISL ARC</t>
  </si>
  <si>
    <t>Isl. Arc.</t>
  </si>
  <si>
    <t>10.1111/iar.12326</t>
  </si>
  <si>
    <t>WOS:000497680800003</t>
  </si>
  <si>
    <t>Ding, Shuoyi; Chen, Wen; Graf, Hans-F.; Guo, Yuanyuan; Nath, Debashis</t>
  </si>
  <si>
    <t>In this paper, distinct patterns of boreal winter convection anomalies over the tropical Pacific and associated wave trains in the extratropics are addressed. The first leading mode (EOF1) of convection anomalies as measured by outgoing longwave radiation demonstrates an east-west oscillation of deep convection with centers over the equatorial central Pacific (CP) and over the tropical western North Pacific and the Maritime Continent. The second leading mode (EOF2) is also a dipole pattern with opposite centers straddling 170A degrees W, possibly modifying EOF1 to some extent. Combining the first two leading modes, five major categories of tropical convection anomalies can be identified for the period 1979/80-2012/13. The comparison between these five categories and the corresponding SST anomaly patterns indicates a nonlinear relationship between convection and SST. The combination of EOF1 and EOF2 with in-phase PCs exhibits an east-west dipole pattern with opposite signs over west of the dateline and the Maritime Continent. The negative phase of the two PCs, named La Nia pattern, induces a negative Pacific/North American-positive North Atlantic Oscillation teleconnection in the extratropics. Approximately opposite responses can be detected in its positive phase, named CP El Nio pattern. The negative PC2 superposing positive PC1, named EP El Nio pattern, shows the strongest convection anomalies with enhanced (depressed) convection over the eastern (western) Pacific and leads to a Tropical/Northern Hemisphere-like teleconnection pattern and an anomalous anticyclone extending from the North Pacific to the North Atlantic. The positive PC2 with neutral PC1, named western CP pattern, shows weakly enhanced convection to the west of the dateline as a response to local SST warming around the dateline. This convection anomaly pattern, although weak, is important and excites a northeastward wave train from the tropics to Greenland, resulting in surface air temperature cooling covering the northeastern North America and warmer and wetter conditions over Western Europe.</t>
  </si>
  <si>
    <t>[Ding, Shuoyi; Chen, Wen; Graf, Hans-F.; Nath, Debashis] Chinese Acad Sci, Inst Atmospher Phys, Ctr Monsoon Syst Res, Beijing 100190, Peoples R China; [Ding, Shuoyi; Chen, Wen] Univ Chinese Acad Sci, Sch Earth Sci, Beijing, Peoples R China; [Guo, Yuanyuan] Sun Yat Sen Univ, Sch Atmospher Sci, Ctr Monsoon &amp; Environm Res, Guangzhou, Guangdong, Peoples R China</t>
  </si>
  <si>
    <t>National Key Research and Development Program; Chinese Academy of Sciences Key Research Program of Frontier Sciences; The Belt and Road Initiatives Program on International Cooperation: Climate Change Research and Observation Project</t>
  </si>
  <si>
    <t>We thank the two anonymous reviewers for their very constructive comments and suggestions, which led to significant improvement in the manuscript. This study is supported jointly by the National Key Research and Development Program (Grant no. 2016YFA0600604), the Chinese Academy of Sciences Key Research Program of Frontier Sciences (QYZDY-SSW-DQC024) and The Belt and Road Initiatives Program on International Cooperation: Climate Change Research and Observation Project (134111KYSB20160010).</t>
  </si>
  <si>
    <t>10.1007/s00382-017-3995-0</t>
  </si>
  <si>
    <t>WOS:000442433200023</t>
  </si>
  <si>
    <t>de Albuquerque Cavalcanti, Iracema Fonseca; Marengo, Jose A.; Alves, Lincoln Muniz; Costa, Duarte Filipe</t>
  </si>
  <si>
    <t>During the austral summer of 2014 and 2015, a severe drought occurred in southeastern Brazil at the same time when flooding conditions were registered in the state of Acre in the western Amazonia of Brazil. This study aimed the identification of the atmospheric and oceanic large-scale characteristics and regional features associated with these conditions, and verification of the Center of Weather Forecasting and Climate Studies/National Institute of Space Research (CPTEC/INPE) atmospheric global circulation model ability in reproducing the observed features. The state of Acre was chosen as a pilot area of the PULSE-Brazil project - a web platform tool that contains climate, ecological and health data for Brazil. The observational data and model results were analysed for the climatological period of 1981-2010. Correlation analyses between precipitation over west Amazon and atmospheric and oceanic variables indicated the main patterns in both data sets. Extreme wet and dry Januaries over west Amazon were selected to explore the regional and large-scale associated features. The general results of climate analyses indicated an opposite relation of precipitation between western Amazon and southeastern Brazil, in January, besides the typical precipitation dipole between the south Atlantic convergence zone and southeastern South America. This configuration is related to anomalous humidity flux at low levels and associated anomalous sea level pressure over southeastern South America induced by subsidence. The role of convection anomalies over the Pacific Ocean on South America anomalies is discussed. The wet and dry cases in Acre region display opposite atmospheric anomalies over South America that are linked to wavetrains over the Pacific Ocean, likely related to the opposite conditions of Indonesia-Pacific tropical convection. Similar patterns of the dry cases were observed during January of 2014 and 2015. The model reproduced some observed atmospheric patterns related to precipitation extremes and the results are discussed in terms of regional and large-scale climate variability.</t>
  </si>
  <si>
    <t>[de Albuquerque Cavalcanti, Iracema Fonseca] Natl Inst Space Res CPTEC INPE, Ctr Weather Forecasting &amp; Climate Studies, Cachoeira Paulista, Brazil; [Marengo, Jose A.] Natl Ctr Monitoring &amp; Early Warning Nat Disasters, Sao Jose Dos Campos, Brazil; [Alves, Lincoln Muniz] Natl Inst Space Res CCST INPE, Earth Syst Sci Ctr, Sao Jose Dos Campos, Brazil; [Costa, Duarte Filipe] Univ Exeter, Coll Engn Math &amp; Phys Sci, Exeter, Devon, England</t>
  </si>
  <si>
    <t>Instituto Nacional de Pesquisas Espaciais (INPE); University of Exeter</t>
  </si>
  <si>
    <t>FAPESP(Fundacao de Amparo a Pesquisa do Estado de Sao Paulo (FAPESP)); NERC(UK Research &amp; Innovation (UKRI)Natural Environment Research Council (NERC)); National Institute of Science and Technology for Climate Change INCT-MC - CNPq(Conselho Nacional de Desenvolvimento Cientifico e Tecnologico (CNPQ)); Rede Clima from Brazil; Conselho Nacional de Desenvolvimento Cientifico e Tecnologico (CNPq)(Conselho Nacional de Desenvolvimento Cientifico e Tecnologico (CNPQ)); NERC(UK Research &amp; Innovation (UKRI)Natural Environment Research Council (NERC)); Fundacao de Amparo a Pesquisa do Estado de Sao Paulo (FAPESP)(Fundacao de Amparo a Pesquisa do Estado de Sao Paulo (FAPESP)); Natural Environment Research Council(UK Research &amp; Innovation (UKRI)Natural Environment Research Council (NERC))</t>
  </si>
  <si>
    <t>This work was funded by the joint FAPESP 2011/51843-2 and NERC NE/J016276/1 International Opportunities Fund. PULSE-Brazil development is also funded by the FAPESP grant (2012/51876-0) under the Belmont Forum Cooperation Agreement. Additional funding comes from the National Institute of Science and Technology for Climate Change INCT-MC funded by CNPq grant number 573797/2008-0 and FAPESP grants 2008/57719-9, and the Rede Clima from Brazil. IFAC and JAM are grateful to the Conselho Nacional de Desenvolvimento Cientifico e Tecnologico (CNPq) for their Research Productivity Fellowship. We acknowledge Paulo Yoshio Kubota for running the CPTEC/INPE AGCM. ERA Interim was obtained from ECMWF and Uninterpolated OLR data was provided by the NOAA/OAR/ESRL PSD, Boulder, Colorado, USA, from their web site at http://www.esrl.noaa.gov/psd/.</t>
  </si>
  <si>
    <t>10.1002/joc.4942</t>
  </si>
  <si>
    <t>WOS:000404854600008</t>
  </si>
  <si>
    <t>Spicer, Robert; Yang, Jian; Herman, Alexei; Kodrul, Tatiana; Aleksandrova, Galina; Maslova, Natalia; Spicer, Teresa; Ding, Lin; Xu, Qiang; Shukla, Anumeha; Srivastava, Gaurav; Mehrotra, Rakesh; Liu, Xiao-Yan; Jin, Jian-Hua</t>
  </si>
  <si>
    <t>Monsoonal climates at low latitudes (&lt;32 degrees N) are an inevitable consequence of seasonal migrations of the Inter-tropical Convergence Zone (ITCZ), but the character of these monsoons depends on continental configuration, oro-graphic expression and the strength of Hadley circulation. To explore the evolution of monsoon systems across southern Asia we compare climate signatures archived in ten Paleogene floras from northern India, Tibet and southern China, occupying low palaeolatitudes at a time of extreme global warmth and elevated CO2. Fossil leaf form reveals that under such 'hothouse' conditions megathermal early Eocene to earliest Miocene forests were exposed to strong monsoonal climates typical of those experienced today arising from annual migrations of the ITCZ, possibly enhanced by a lower equator-to-pole temperature gradient. Throughout the Paleogene an elevated Tibetan highland produced no discernable modification of this ITCZ monsoon, although rainfall seasonality similar to that of the modern South Asia Monsoon (SAM) is observed in northern India as early as the beginning of the Eocene, despite its near-equatorial palaeoposition. In South China rainfall seasonality increased progressively achieving modem monsoon-like wet season/dry season precipitation ratios by the early Oligocene. Despite evidencing weak rainfall seasonality overall, fossil leaves from South China have exhibited monsoon-adapted morphologies, comparable to those seen in today's Indonesia-Australia Monsoon, for at least 45 million years. Together, the Indian and South China fossil leaf assemblages show that the evolution of megathermal ecosystems across southern Asia has been influenced profoundly by monsoonal climates for at least the last 56 million years. The Paleogene ITCZ-driven monsoon system strongly impacted India as it transited the Equator likely eliminating Gondwanan taxa not able to adapt to seasonal precipitation extremes. Furthermore, powerful seasonally-reversing winds, and associated surface ocean currents, are likely to have facilitated two-way biotic transfer between India and Eurasia long before closure of the Tethys Ocean. (C) 2017 International Association for Gondwana Research. Published by Elsevier B.V. All rights reserved.</t>
  </si>
  <si>
    <t>[Spicer, Robert; Kodrul, Tatiana; Liu, Xiao-Yan; Jin, Jian-Hua] Sun Yat Sen Univ, Sch Life Sci, Guangdong Prov Key Lab Plant Resources, State Key Lab Biocontrol, Guangzhou 510275, Guangdong, Peoples R China; [Spicer, Robert] Open Univ, Sch Environm Earth &amp; Ecosyst Sci, Milton Keynes MK7 6AA, Bucks, England; [Yang, Jian; Spicer, Teresa] Chinese Acad Sci, Inst Bot, State Key Lab Systemat &amp; Evolutionary Bot, Beijing 100093, Peoples R China; [Herman, Alexei; Kodrul, Tatiana; Aleksandrova, Galina] Russian Acad Sci, Geol Inst, Moscow 119017, Russia; [Maslova, Natalia] Russian Acad Sci, Borissiak Paleontol Inst, Moscow 117647, Russia; [Ding, Lin; Xu, Qiang] Chinese Acad Sci, Ctr Excellence Tibetan Plateau Earth Sci, Inst Tibetan Plateau Res, Key Lab Continental Collis &amp; Plateau Uplift, Beijing 100101, Peoples R China; [Shukla, Anumeha; Srivastava, Gaurav; Mehrotra, Rakesh] Birbal Sahni Inst Paleobot, Lucknow 226007, Uttar Pradesh, India</t>
  </si>
  <si>
    <t>Sun Yat Sen University; Open University - UK; Chinese Academy of Sciences; Institute of Botany, CAS; Geological Institute, Russian Academy of Sciences; Russian Academy of Sciences; Russian Academy of Sciences; Paleontological Institute of the Russian Academy of Sciences; Chinese Academy of Sciences; Institute of Tibetan Plateau Research, CAS; Department of Science &amp; Technology (India); Birbal Sahni Institute of Palaeobotany (BSIP)</t>
  </si>
  <si>
    <t>National Natural Science Foundation of China(National Natural Science Foundation of China (NSFC)); State Administration of Foreign Experts Affairs, PR China; Sun Yat-sen University; Borissiak Paleontological Institute; Russian Acad. Sci.; Russian Foundation for Basic Research(Russian Foundation for Basic Research (RFBR)Spanish Government); NERC/NSFC; Geological Institute, Russian Acad. Sci.</t>
  </si>
  <si>
    <t>The research was supported by the National Natural Science Foundation of China (Nos. 41210001, 41572011, 31370254), the Recruitment Program of High-end Foreign Experts of the State Administration of Foreign Experts Affairs, PR China, the Key Project of Sun Yat-sen University for inviting foreign teachers, State projects Nos. 0135-2016-0001 (AH), 0135-2014-0024 (AH, TK, GA) (Geological Institute, Russian Acad. Sci.), No. 0113-2014-0002 (NM) (Borissiak Paleontological Institute; Russian Acad. Sci.), Russian Foundation for Basic Research, projects Nos. 15-55-53019 and 17-54-53069 and NERC/NSFC project NE/P013805/1.</t>
  </si>
  <si>
    <t>10.1016/j.gr.2017.06.006</t>
  </si>
  <si>
    <t>WOS:000414383200018</t>
  </si>
  <si>
    <t>Gray, Laura C.; Zhao, Lei; Stillwell, Ashlynn S.</t>
  </si>
  <si>
    <t>Climate models consistently project that frequency, severity, and duration of hydroclimatic extremes will increase over this century under climate change. Urban flooding and runoff in general have become prominent issues for many cities and regions, arising from a combination of altered precipitation patterns, urban growth, development in floodplains, and increases in impervious surfaces. In this study, we first validate total (grid cell-level) runoff from the fully coupled Community Earth System Model (CESM) historical simulations against one observed-runoff/streamflow-based dataset and one reanalysis dataset, and further analyze both grid cell-level runoff and urban subgrid runoff under future climate change scenarios. We calculated global annual average of monthly runoff from the period 1986-1995 for the validation and calculated bias and correlation coefficients between CESM and each of the datasets. Additionally, we analyzed future grid cell and urban runoff across three CMIP6 coupled Shared Socioeconomic Pathways and Representative Concentration Pathways - 2- 4.5, 3-7.0, and 5-8.5 - and evaluated changes between the future period of 2041-2050 and the same past period of 1986-1995 for each scenario. Results show spatial consistency and robustness between the CESM simulations and both datasets. However, there is some spatial inconsistency in the areas highlighted as major runoff producers, such as the Amazon basin and Southeast Asia, as well as mountainous regions outside the United States. Grid cell-level runoff and urban runoff projections suggest that future hydroclimatic conditions will vary depending on the climate scenario. However, certain locations, such as Madagascar, Indonesia, and the Himalayan mountain range, consistently see decreases in both grid cell-level runoff and urban runoff across all scenarios, and locations such as Nigeria and Ecuador consistently see increases in both grid cell runoff and urban runoff across all scenarios. Our findings provide quantitative insights on hydrology representation in the global Earth system model and advance the understanding of the impacts of large-scale climate change on future local-scale urban runoff.</t>
  </si>
  <si>
    <t>[Gray, Laura C.; Zhao, Lei; Stillwell, Ashlynn S.] Univ Illinois, Dept Civil &amp; Environm Engn, Urbana, IL 61801 USA; [Zhao, Lei] Univ Illinois, Natl Ctr Supercomp Applicat, Urbana, IL USA</t>
  </si>
  <si>
    <t>University of Illinois System; University of Illinois Urbana-Champaign; University of Illinois System; University of Illinois Urbana-Champaign</t>
  </si>
  <si>
    <t>L. Zhao's NSF CAREER Award; Center for Infrastructure Resilience in Cities as Livable Environments through the ZJU-UIUC Joint Research Center Project - Zhejiang University, China; Support for Under-Represented Groups in Engineering Fellowship from the Grainger College of Engineering at the University of Illinois Urbana -Champaign</t>
  </si>
  <si>
    <t>This work was supported in part by L. Zhao's NSF CAREER Award (grant no. 2145362) and under the provisions of section 104 of the Water Resources Research Act annual base grants (104b) program made possible and distributed through the Illinois Water Resources Center and United States Geological Survey. Additional support was provided by the Center for Infrastructure Resilience in Cities as Livable Environments through the ZJU-UIUC Joint Research Center Project No. DREMES202001, funded by Zhejiang University, China, and the Support for Under-Represented Groups in Engineering Fellowship from the Grainger College of Engineering at the University of Illinois Urbana -Champaign.</t>
  </si>
  <si>
    <t>10.1016/j.jhydrol.2023.129352</t>
  </si>
  <si>
    <t>WOS:000973014100001</t>
  </si>
  <si>
    <t>Irsyad, Hutama A. W.; Hitoshi, Nakamura</t>
  </si>
  <si>
    <t>Emergency evacuation is regarded as the most important disaster response action for protecting human life from potentially lethal threats. Despite growing research aimed at evaluating and modelling evacuation for strategic flood disaster preparedness, remarkably little is known about how informal settlement dwellers realized and negotiated surrounding environment for evacuation path route choice. The purpose of this paper is to analyze the dynamic interaction between human characteristics, path risk elements, and path network configuration in constructing flood evacuation route choices based on two cases study of urban riverbank kampongs in Yogyakarta, Indonesia. To understand these interactions, we applied a mixed method based on a qualitative research approach, which included (1) walking evacuation simulation with video analysis to understand the informality practices and kampong's space setting, (2) an analysis of dweller's narrative experience collected from walking interviews, (3) computational path network configuration analysis using space syntax. Our findings suggest that kampong dwellers selected evacuation routes differently based on their individual capacity, the safety performance of path design, and path network characteristics in accommodating the safest travel. When juxtaposing space syntax results with walking evacuation simulation, the individual evacuation route choice is highly related to space syntax measures (normalized angular choice at local radii), implying that the majority of residents still prefer to walk on the straightest route (the route with the least angular deviation) to reach the assembly/exit points. Furthermore, this research demonstrates that not all residents have the same capabilities to walk on the straightest evacuation route due to physical capacity and limitation that relates to gender and ages differences in negotiating path risk elements. The use of mixed method approaches provided a practical insight into emphasizing the human-centered perspective in planning an effective flood emergency evacuation for informal riverbank settlements through spatial design, planning, that respect vulnerable groups.</t>
  </si>
  <si>
    <t>[Irsyad, Hutama A. W.] Shibaura Inst Technol, Grad Sch Engn &amp; Sci, 307 Fukasaku Minuma ku, Saitama 3378570, Japan; [Hitoshi, Nakamura] Shibaura Inst Technol, Dept Planning Architecture &amp; Environm Syst, 307 Fukasaku Minuma ku, Saitama 3378570, Japan</t>
  </si>
  <si>
    <t>Shibaura Institute of Technology; Shibaura Institute of Technology</t>
  </si>
  <si>
    <t>10.1016/j.ijdrr.2022.103275</t>
  </si>
  <si>
    <t>WOS:000868906300005</t>
  </si>
  <si>
    <t>Du, Zheyuan; Ge, Linlin; Ng, Alex Hay-Man; Lian, Xugang; Zhu, Qinggaozi; Horgan, Finbarr G.; Zhang, Qi</t>
  </si>
  <si>
    <t>After operating the middle route of South-to-North Water Diversion Project (SNWDP), the total water transfer to Beijing has exceeded 5.0 km(3), bringing significant changes to the water use structure of Beijing. This article compiles historic data from 2007 to 2020 to analyze changes in water circulation, groundwater level, climate factors and subsidence patterns in Beijing following implementation of the middle SNWDP. It is found that the main current pressure on Beijing's water supply has come from improved living standards, the gradual popularization of water-using appliances, and a rapid development of the accommodation and catering industries. An InSAR time series approach was used to map subsidence in Beijing between 2007 and 2020 using satellite images from Sentinel-1A/B, Radarsat-2 and ALOS-1. Climate factors including precipitation and evapotranspiration were estimated using the Penman-Monteith-Leuning Evapotranspiration V2 (PML_V2) product. By compiling ground subsidence data for Beijing and corresponding climate data, the impact of the SNWDP and climate factors on groundwater levels and ground subsidence in Beijing were examined We identified three periods to characterize the changes of surface displacement after implementation of the SNWDP as a) the pre-effect stage, b) the effective stage, and c) the post-effective stage. The contribution of the SNWDP was apparent at the second stage, alleviating the problem of land subsidence to some extent. The ease of subsidence at different stages are accounted for 4%, 26.5%, and 41.7%, respectively, in terms of the mean velocity changes. Based on the result of some general circulation models. Precipitation in the Beijing region is expected to increase over the next decade, implying a greater likelihood of rapid groundwater recovery. However, although groundwater is expected to recover in the long run, climate extremes in the future could possibly challenge the success of SNWDP during certain dry periods.</t>
  </si>
  <si>
    <t>[Du, Zheyuan; Ge, Linlin; Zhang, Qi] UNSW Australia, Sch Civil &amp; Environm Engn, Sydney, NSW, Australia; [Du, Zheyuan] Geosci Australia, Positioning &amp; Community Safety Div, GPO Box 378, Canberra, ACT, Australia; [Ng, Alex Hay-Man] Guangdong Univ Technol, Sch Civil &amp; Transportat Engn, Guangzhou 510006, Peoples R China; [Ng, Alex Hay-Man] Guangdong Univ Technol, Inst Environm &amp; Ecol Engn, Key Lab City Cluster Environm Safety &amp; Green Dev, Minist Educ, Guangzhou 510006, Peoples R China; [Lian, Xugang] Taiyuan Univ Technol, Sch Min Engn, Taiyuan 030024, Peoples R China; [Zhu, Qinggaozi] NSW Dept Primary Ind, Orange Agr Inst, Orange, NSW 2800, Australia; [Horgan, Finbarr G.] EcoLaVerna Integral Restorat Ecol, Kildinan, Cork, Ireland; [Horgan, Finbarr G.] Univ Catolica Maule, Fac Ciencias Agr &amp; Forestales, Escuela Agron, Casilla 7-D, Curico, Chile</t>
  </si>
  <si>
    <t>University of New South Wales Sydney; Geoscience Australia; Guangdong University of Technology; Guangdong University of Technology; Taiyuan University of Technology; NSW Department of Primary Industries; Universidad Catolica del Maule</t>
  </si>
  <si>
    <t>Program for Guangdong Introducing Innovative and Entrepreneurial Teams; Natural Science Foundation of Guangdong Province(National Natural Science Foundation of Guangdong Province)</t>
  </si>
  <si>
    <t>The authors wish to thank the European Space Agency (ESA) for providing the Sentinel-1, Canadian Space Agency (CSA) for providing the Radarsat-2, and Japan Aerospace Exploration Agency (JAXA) for providing the ALOS PALSAR data. This research was supported by the Program for Guangdong Introducing Innovative and Entrepreneurial Teams (2019ZT08L213), Natural Science Foundation of Guangdong Province (grant number 2018A030310538 and 2021A1515011483).</t>
  </si>
  <si>
    <t>10.1016/j.jhydrol.2021.126990</t>
  </si>
  <si>
    <t>WOS:000706318300065</t>
  </si>
  <si>
    <t>Wang, Ce; Liang, Xinquan; Xie, Yuhong; Tong, Chuanxin; Pei, Jianxiang; Zhou, Yun; Jiang, Ying; Fu, Jiangang; Wen, Shunv</t>
  </si>
  <si>
    <t>Understanding the provenance of the reservoir in a sedimentary basin is of great importance in hydrocarbon exploration and production. The Yinggehai-Song Hong Basin is one of the most important Cenozoic petroliferous basins in the South China Sea. To better understand the provenance characteristics of the Upper Miocene Huangliu Formation (Tortonian-Messinian) on the eastern margin of the basin and test the influence of uplift of the Tibetan Plateau in the South China Sea, 172 single zircons from two sandstone samples in the Lingtou gas field were dated by U-Pb chronometer, and 54 of these grains were spot analyzed for Hf isotopes. The results indicate that the upper member of the Huangliu Formation in this gas field shows two major peaks of U-Pb ages at ca. 250 Ma and ca. 432 Ma, along with four subordinate peaks at ca. 757 Ma, ca. 1926 Ma, ca. 2529 Ma and ca. 2775 Ma. The initial Hf isotope ratios [epsilon(Hf)(t)] of these zircons are negative to positive for each age group, suggesting that existing crustal materials were mixing with new mantle melts in some magmatic episodes. In contrast, the lower member of the Huangliu Formation show two major age peaks at ca. 98 Ma and 248 Ma, with a subordinate peak at ca. 1453 Ma. The epsilon Hf(t) values are concentrated between -11.6 and -3.4, revealing that they were derived from older crust. Comparing with the source characteristics of tectonic units surrounding the basin, the source of the upper member in the gas field was mainly from the southern Yangtze Block, whereas the lower member was derived from the Hainan Uplift. Together with the change of climate and sedimentation rate after 10 Ma on the northern margin of the South China Sea, we attribute the provenance change to the uplift of the Tibetan Plateau at the same time. Crown Copyright (C) 2014 Published by Elsevier Ltd. All rights reserved.</t>
  </si>
  <si>
    <t>[Wang, Ce; Liang, Xinquan; Zhou, Yun; Jiang, Ying; Fu, Jiangang] Chinese Acad Sci, Guangzhou Inst Geochem, State Key Lab Isotope Geochem, Guangzhou 510640, Guangdong, Peoples R China; [Wang, Ce; Zhou, Yun; Jiang, Ying; Fu, Jiangang] Univ Chinese Acad Sci, Beijing 100049, Peoples R China; [Xie, Yuhong; Tong, Chuanxin; Pei, Jianxiang] China Natl Offshore Oil Corp Ltd, Zhanjiang 524057, Peoples R China; [Wen, Shunv] Guilin Univ Technol, Sch Earth Sci, Guilin 541004, Peoples R China</t>
  </si>
  <si>
    <t>Chinese Academy of Sciences; Guangzhou Institute of Geochemistry, CAS; Chinese Academy of Sciences; University of Chinese Academy of Sciences, CAS; China National Offshore Oil Corporation (CNOOC); Guilin University of Technology</t>
  </si>
  <si>
    <t>National Science and Technology Major Project of China; Nation Natural Science Foundation of China(National Natural Science Foundation of China (NSFC))</t>
  </si>
  <si>
    <t>The authors would like to express our sincere acknowledgments to X.L. Tu, X.R. Liang, C.Y. Li and L. Zhang for their assistance in U-Pb dating and Hf isotopic analyses at the Guangzhou Institute of Geochemistry, Chinese Academy of Sciences. We are very grateful to Dr. Patricia L. Corcoran and Dr. L.X. Tong for their kindly help with the English correction of this manuscript. Thanks are also given to China National Offshore Oil Corporation, Zhanjiang Branch for their help and supplying the drilling core samples. The financial support from the National Science and Technology Major Project of China (No. 2011ZX05023-004-011) and the Nation Natural Science Foundation of China (Nos. 41072081 and 40872080).</t>
  </si>
  <si>
    <t>0264-8172</t>
  </si>
  <si>
    <t>1873-4073</t>
  </si>
  <si>
    <t>MAR PETROL GEOL</t>
  </si>
  <si>
    <t>Mar. Pet. Geol.</t>
  </si>
  <si>
    <t>10.1016/j.marpetgeo.2014.12.004</t>
  </si>
  <si>
    <t>WOS:000350840300010</t>
  </si>
  <si>
    <t>Liu, Bin; Zhao, Chen; Zhu, Ling; Liu, Jian</t>
  </si>
  <si>
    <t>To investigate the pure long-term influence of single mega volcanic eruption (SMVE) of universal significance on Arctic temperature changes in summer and winter, the Samalas eruption in Indonesia which is the largest eruption over the past millennium is selected as an ideal eruption for simulation study based on Community Earth System Model. The significant Arctic cooling lasts for 16 years after the Samalas eruption. The obvious Arctic cooling shifts from summer to winter, and this seasonal change of cooling after the SMVE only exists in the high-latitude Arctic region. The cooling range in Arctic summer is larger than that in winter during the first 2 years, due to the strong weakening effect of volcanic aerosol on summer incident solar radiation and the snow-ice positive feedback caused by the rapid expansion of summer sea ice, while the winter sea ice in the same period doesn't increase obviously. Starting from the third year, the Arctic winter cooling is more intense and lasting than summer cooling. The direct weakening effect of aerosol on solar radiation, which is the main heat source in Arctic summer, is greatly weakened during this period, making summer cooling difficult to sustain. However, as the main heat source in Arctic winter, the sea surface upward longwave radiation, sensible heat, and latent heat transport still maintain a large decrease. Furthermore, sea ice expansion and albedo increase result in the decrease in solar radiation and heat absorbed and stored by the ocean in summer. And the isolation effect of sea ice expansion on air-sea heat transfer in winter during this period makes the heat transfer from the ocean to the atmosphere correspondingly reduce in winter, thus intensifying the Arctic winter cooling. Additionally, the Arctic Oscillation (AO) changes from the negative phase to the positive phase in summer after the SMVE (such as Samalas), while it is reversed in winter. This phase change of AO is also one of the reasons for the seasonal changes in Arctic cooling.</t>
  </si>
  <si>
    <t>[Liu, Bin] Nanjing Univ Posts &amp; Telecommun, Sch Geog &amp; Biol Informat, Nanjing, Peoples R China; [Liu, Bin] Nanjing Univ Posts &amp; Telecommun, Smart Hlth Big Data Anal &amp; Locat Serv Engn Res Ct, Nanjing, Peoples R China; [Liu, Bin] Nanjing Univ Posts &amp; Telecommun, Res Ctr Carbon Neutral &amp; Urban Low Carbon Dev, Nanjing, Peoples R China; [Zhao, Chen] Nanjing Audit Univ, Inst Nat Resources &amp; Environm Audits, Nanjing, Peoples R China; [Zhu, Ling; Liu, Jian] Nanjing Normal Univ, State Key Lab Cultivat Base Geog Environm Evolut, Jiangsu Ctr Collaborat Innovat Geog Informat Reso, Minist Educ,Sch Geog Sci,Key Lab Virtual Geog Env, Nanjing, Peoples R China; [Liu, Jian] Nanjing Normal Univ, Sch Math Sci, Jiangsu Prov Key Lab Numer Simulat Large Scale Co, Nanjing, Peoples R China; [Liu, Jian] Qingdao Natl Lab Marine Sci &amp; Technol, Open Studio Simulat Ocean Climate Isotope, Qingdao, Peoples R China</t>
  </si>
  <si>
    <t>Nanjing University of Posts &amp; Telecommunications; Nanjing University of Posts &amp; Telecommunications; Nanjing University of Posts &amp; Telecommunications; Nanjing Audit University; Nanjing Normal University; Nanjing Normal University; Laoshan Laboratory</t>
  </si>
  <si>
    <t>National Natural Science Foundation of China(National Natural Science Foundation of China (NSFC)); Priority Academic Program Development of Jiangsu Higher Education Institutions; Research Foundation for Humanities and Social Science of NJUPT; Postgraduate Research and Practice Innovation Program of Jiangsu Province; Jiangsu Center for Collaborative Innovation in Geographical Information Resource Development and Application</t>
  </si>
  <si>
    <t>This research is jointly supported by the National Natural Science Foundation of China (Grant Nos. 41971108, 42130604, 42111530182, and 91437218), the Priority Academic Program Development of Jiangsu Higher Education Institutions (Grant No. 164320H116), the Research Foundation for Humanities and Social Science of NJUPT (Scientific Research Start-up Funds), the Postgraduate Research and Practice Innovation Program of Jiangsu Province (Grant No. KYZZ16_0456), and the Jiangsu Center for Collaborative Innovation in Geographical Information Resource Development and Application.</t>
  </si>
  <si>
    <t>10.3389/feart.2021.688250</t>
  </si>
  <si>
    <t>WOS:000730425900001</t>
  </si>
  <si>
    <t>Dhungana, Santosh; Shrestha, Sangam; Tuan Pham Van; Kc, Saurav; Das Gupta, Ashim; Thi Phuoc Lai Nguyen</t>
  </si>
  <si>
    <t>Hydrological and meteorological studies demand accurate, continuous, long-term, reliable, and uniformly distributed precipitation data. Considering low density rain gauges with incomplete data in developing nations, a plethora of gridded precipitation products (GPPs) have made their place as an alternative to rain gauge records. However, GPPs house inherent errors depending on the type of data, gauge density, gridding algorithm, etc. Hence, it is crucial to evaluate them prior to their application. This study evaluated monthly products of eight GPPs over 17 years (1998-2014) - Asian Precipitation Highly Resolved Observational Data Integration towards Evaluation data (APHRODITE), Climate Prediction Center (CPC), Climate Hazards Group InfraRed Precipitation with Station data (CHIRPS), Southeast Asian Observed dataset (SA-OBS), Climate Prediction Center Morphing Technique (CMORPH), The Tropical Rainfall Measuring Mission (TRMM)-daily products, Climate Research Unit (CRU), and Global Precipitation Climatology Center (GPCC). An entropy-based weight calculation for each statistical index and compromise programming was employed to rank the GPPs in the selected sub-basins (Nam Ngum River Basin, NRB, and Vietnam Mekong Delta, VMD) of the Lower Mekong Region (LMR) for mean and six extreme precipitation indices. The correlation coefficient (r), root mean square error (RMSE), skilled score (SS), and bias were the continuous statistical indices and probability of detection (POD), false alarm ratio (FAR) and critical success index (CSI) were the categorical indices used in this study. In terms of capturing mean monthly precipitation, GPCC outweighed all other products for both the studied basins. However, APHRODITE ranked first for daily precipitation products based on compromise programming algorithm for NRB. APHRODITE consistently recorded r between 0.85 and 0.95, RMSE between 50 and 100 mm/month, and SS between 0.72 and 0.90 for the 5 observed stations. Similarly, in case of VMD, TRMM ranked first for the daily precipitation products with r between 0.8 and 0.95, RMSE between 50 and 70 mm/month, and SS between 0.56 and 0.9 when evaluated with 11 observed stations. The APHRODITE for NRB and TRMM for VMD can be used as alternate to gauge data for hydrological and meteorological studies.</t>
  </si>
  <si>
    <t>[Dhungana, Santosh; Shrestha, Sangam; Tuan Pham Van; Kc, Saurav; Das Gupta, Ashim] Asian Inst Technol AIT, Sch Engn &amp; Technol SET, Water Engn &amp; Management WEM, Civil &amp; Infrastruct Engn CIE, Pathum Thani 12120, Thailand; [Shrestha, Sangam] Asia Ctr, Stockholm Environm Inst SEI, Chulalongkorn Soi 64,Phyathai Rd 1033, Bangkok, Thailand; [Thi Phuoc Lai Nguyen] Asian Inst Technol AIT, Dept Dev &amp; Sustainabil Sch Environm Resources &amp; D, Sch Environm Resources &amp; Dev SERD, Dev Planning Management &amp; Innovat DPMI, Pathum Thani 12120, Thailand</t>
  </si>
  <si>
    <t>Asian Institute of Technology; Asian Institute of Technology</t>
  </si>
  <si>
    <t>Stockholm Environment Institute (SEI)</t>
  </si>
  <si>
    <t>This work was funded by Stockholm Environment Institute (SEI) under the SUMERNET 4 All Programme.</t>
  </si>
  <si>
    <t>10.1007/s00704-022-04268-1</t>
  </si>
  <si>
    <t>WOS:000884175500004</t>
  </si>
  <si>
    <t>Vial, Jessica; Cassou, Christophe; Codron, Francis; Bony, Sandrine; Ruprich-Robert, Yohan</t>
  </si>
  <si>
    <t>The increase of atmospheric greenhouse gases is expected to affect the hydrological cycle and large-scale precipitation patterns. In parallel, unforced natural variability on decadal-to-multidecadal timescales can also modulate forced changes at the regional scales. Based on multimember ensembles from a coupled General Circulation Model, we investigate the sensitivity of CO2-forced changes in tropical precipitation and atmospheric circulation to fluctuations of the Atlantic Multidecadal Overturning Circulation (AMOC). We show that contrasted AMOC states yield considerable differences in equatorial Pacific precipitation forced changes, by impacting the direct (within a year) CO2-induced weakening of the Walker circulation. We use global atmospheric energetics, as a theoretical backdrop, to explain the relationship between the tropical atmospheric circulation and the AMOC state. A physical mechanism is then proposed, relating the direct CO2-forced weakening of the atmospheric tropical circulation to its climatological strength in unperturbed climate and indirectly to the AMOC state. Plain Language Summary The precipitation response to increased greenhouse gases atmospheric concentration is one of the most critical factors of the overall impact of climate change. The presence of natural climate variability on decadal-to-multidecadal timescales is expected to modulate the long-term projections at the regional scales.This can be viewed as an irreducible source of uncertainties for the climate response to GHG forcing, which should be quantified and better understood. Based on an ensemble of experiments from a fully coupled General Circulation Model, we quantify and investigate the sensitivity of the CO2-forced climate response in terms of tropical precipitation and circulation, to the internal fluctuation of the Atlantic Multidecadal Overturning Circulation (AMOC). We show that contrasted states of AMOC, used as initial conditions in increased-CO2 experiments, yield considerable differences in the tropical precipitation forced changes over Indonesia, Southeast Asia, and the equatorial Pacific Ocean. We provide evidence that the AMOC-related influence on precipitation changes is essentially due to the fast and direct (within a year) CO2-induced weakening of the Walker circulation. Our findings are further supported by physical understanding based on large-scale atmospheric energetics.</t>
  </si>
  <si>
    <t>[Vial, Jessica; Codron, Francis] Univ Paris 06, Sorbonne Univ, CNRS, LOCEAN IPSL, Paris, France; [Vial, Jessica] Max Planck Inst Meteorol, Hamburg, Germany; [Cassou, Christophe] Univ Toulouse, CNRS, CECI, Cerfacs, Toulouse, France; [Bony, Sandrine] Univ Paris 06, Sorbonne Univ, CNRS, LMD IPSL, Paris, France; [Ruprich-Robert, Yohan] Barcelona Supercomp Ctr, Barcelona, Spain</t>
  </si>
  <si>
    <t>Sorbonne Universite; Centre National de la Recherche Scientifique (CNRS); Museum National d'Histoire Naturelle (MNHN); Max Planck Society; CERFACS; Universite de Toulouse; Centre National de la Recherche Scientifique (CNRS); Institut Polytechnique de Paris; Ecole Polytechnique; Sorbonne Universite; Centre National de la Recherche Scientifique (CNRS); Ecole des Ponts ParisTech; Universitat Politecnica de Catalunya; Barcelona Supercomputer Center (BSC-CNS)</t>
  </si>
  <si>
    <t>French National Research Agency (ANR) project MORDICUS(Agence Nationale de la Recherche (ANR))</t>
  </si>
  <si>
    <t>This work is supported by the French National Research Agency (ANR) project MORDICUS (ANR-13-SENV-0002-01). Primary data and scripts used in the analysis and other supporting information are archived at ftp://ftp.cerfacs.fr/pub/globc/exchanges/cassou/Data4Papers/GRL_Vial_etal_2018/. We acknowledge the World Climate Research Programme's Working Group on Coupled Modelling, which is responsible for CMIP, and we thank the climate modeling groups (listed in Table S1 of this paper) for producing and making available their model output on the CEDA portal (http://browse.ceda.ac.uk). Additionally, we are grateful to the two reviewers for their helpful comments.</t>
  </si>
  <si>
    <t>10.1029/2018GL078558</t>
  </si>
  <si>
    <t>WOS:000445612500071</t>
  </si>
  <si>
    <t>Hasan, Hasrul Hazman; Razali, Siti Fatin Mohd; Muhammad, Nur Shazwani; Hamzah, Firdaus Mohamad</t>
  </si>
  <si>
    <t>Rapid urbanization in the state of Selangor, Malaysia, has led to a change in the land use, physical properties of basins, vegetation cover and impermeable surface water. These changes have affected the pattern and processes of the hydrological cycle, resulting in the ability of the basin region to store water supply to decline. Reliability on water supply from river basins depends on their low-flow characteristics. The impacts of minimum storage on hydrological drought are yet to be incorporated and assessed. Thus, this study aims to understand the concept of low-flow drought characteristics and the predictive significance of river storage draft rates in managing sustainable water catchment. In this study, the long-term streamflow data of 40 years from seven stations in Selangor were used, and the streamflow trends were analyzed. Low-flow frequency analysis was derived using the Weibull plotting position and four specific frequency distributions. Maximum likelihood was used to parameterize, while Kolmogorov-Smirnov tests were used to evaluate their fit to the dataset. The mass curve was used to quantify the minimum storage draft rate required to maintain the 50% mean annual flow for the 10-year recurrence interval of low flow. Next, low-flow river discharges were analyzed using the 7 d mean annual minimum, while the drought event was determined using the 90th percentile (Q(90)) as the threshold level. The inter-event time and moving average was employed to remove the dependent and minor droughts in determining the drought characteristics. The result of the study shows that the lognormal (2P) distribution was found to be the best fit for low-flow frequency analysis to derive the low-flow return period. This analysis reveals September to De-cember to be a critical period in river water storage to sustain the water availability during low flow in a 10-year occurrence interval. These findings indicated that hydrological droughts have generally become more critical in the availability of rivers to sustain water demand during low flows. These results can help in emphasizing the natural flow of water to provide water supply for continuous use during low flow.</t>
  </si>
  <si>
    <t>[Hasan, Hasrul Hazman; Razali, Siti Fatin Mohd; Muhammad, Nur Shazwani] Univ Kebangsaan Malaysia, Fac Engn &amp; Built Environm, Dept Civil Engn, Bangi 43600, Malaysia; [Hamzah, Firdaus Mohamad] Univ Kebangsaan Malaysia, Fac Engn &amp; Built Environm, Dept Engn Educ, Bangi 43600, Malaysia</t>
  </si>
  <si>
    <t>Ministry of Education of Malaysia</t>
  </si>
  <si>
    <t>This research has been supported by the Ministry of Education of Malaysia (grant no. FRGS/1/2018/TK01/UKM/02/2).</t>
  </si>
  <si>
    <t>10.5194/nhess-21-1-2021</t>
  </si>
  <si>
    <t>WOS:000606736500001</t>
  </si>
  <si>
    <t>Makoundi, Charles; Endut, Zakaria; Zaw, Khin</t>
  </si>
  <si>
    <t>Selected Malaysian black shale sequences of the Permo-Triassic and Devonian ages that crop out in the Central Belt were investigated to discuss their chemical composition, provenance, tectonic setting, and weathering history. X-ray fluorescence (XRF) analysis shows that the BRSZ Unit 1 black shale has elevated SiO2, TiO2, and K2O contents compared to the Semantan and Gua Musang black shale. In terms of trace elements, the BRSZ Unit 1 black shale has elevated trace element contents compared to the Semantan and Gua Musang black shales. The BRSZ Unit 1 has the highest V, U, Pb, and Mo contents relative to the other two formations. The Mo content is significant in the BRSZ Unit 1 and is thought to be associated with the elevated total organic carbon (TOC) in the BRSZ Unit 1 black shale. Compared to Post-Archean Australian Shale (PAAS), the BRSZ Unit 1 and Gua Musang black shales are low in Fe2O3, MnO, CaO, Na2O, and P2O5. The Semantan black shales are deficient in CaO, K2O, and P2O5 and enriched in MnO. The black shales of BRSZ Unit 1 are enriched in V, Cu, Ga, Rb, Mo, Sn, Pb, and U. Except for Pb (mean: 32.3 ppm), the Gua Musang black shales are largely depleted in trace elements. Similar to the Semantan black shales, all trace element concentrations are largely depleted with the exception of Sc (mean: 22.3 ppm), which is slightly higher. Provenance analysis shows that the BRSZ Unit 1, Semantan, and Gua Musang black shales derived from felsic and intermediate parental source rocks. The BRSZ Unit 1 and Gua Musang black shales indicate a collision setting, whereas the Semantan black shales show affinity to a continental arc setting. The CIA values for all the samples analyzed in this study range between 79.4 and 95.8, indicating an intense chemical weathering in warm and wet paleoclimatic conditions. The average CIW values of samples from the BRSZ Unit 1, Semantan, and Gua Musang are 99.4, 94.5, and 98.6, respectively, implying an intense degree of weathering of the source rocks.</t>
  </si>
  <si>
    <t>[Makoundi, Charles; Zaw, Khin] Univ Tasmania, Ctr Ore Deposit &amp; Earth Sci, Hobart, Tas 7001, Australia; [Makoundi, Charles; Endut, Zakaria] Univ Sains Malaysia, Sch Mat &amp; Mineral Resources Engn, Nibong Tebal 14300, Penang, Malaysia; [Makoundi, Charles] Mineral Resources Tasmania, Dept State Growth, Rosny Pk, Tas 7018, Australia</t>
  </si>
  <si>
    <t>University of Tasmania; Universiti Sains Malaysia; Department of State Growth Australia</t>
  </si>
  <si>
    <t>University of Tasmania; Southeast Asia Ore Deposit Research Projects</t>
  </si>
  <si>
    <t>This research was funded by the University of Tasmania Ph.D. Scholarship and the Southeast Asia Ore Deposit Research Projects.</t>
  </si>
  <si>
    <t>10.3390/min13070911</t>
  </si>
  <si>
    <t>WOS:001038836600001</t>
  </si>
  <si>
    <t>Ahmed, Nisar; Siddiqui, Numair A.; Ramasamy, Nagarajan; Ramkumar, Muthuvairavasamy; Jamil, Muhammad; Usman, Muhammad; Sajid, Zulqarnain; Rahman, Abdul Hadi Bin Abd</t>
  </si>
  <si>
    <t>The Belaga Formation of the Rajang Group or Rajang Fold and Thrust Belt (Late Cretaceous to Late Eocene) is mostly exposed in Sibu Zone along with some exposures in the Miri Zone of Central Sarawak. This entire turbiditic sequence was believed to have been deposited in a deep marine environment in a basin having an overall passive margin setting, that is, the Rajang Sea. However, the Eocene age-related stratigraphic record of this group (including Bawang Member) is much more complex, due to the complicated geological and tectonic settings which prevailed during their deposition. Here, we present field observations along with the application of various geochemical proxies and their constraints for the understanding of provenance, palaeo-weathering, and tectonic evolution of the area during the deposition of Bawang turbidites. Based on field observation, it has been found that this member consists of four main lithofacies, including massive sandstone facies (MSF), thick-bedded facies (TBF), heterolithic facies (HF), and mud facies (MF). Using geochemical data, chemical weathering indices (CIA and CIW) values and A-CN-K plot show that the source area for Bawang turbidites has undergone a moderate to an intense degree of chemical weathering and was influenced by the recycling effect. The slight depletion in sandstones and shales for Cr, Ni, and V values is consistent with the felsic dominated source region; however, La/Sc versus Co/Th and La/Th versus Hf plots show a mixed source (felsic and intermediate volcanic source) with some input of recycled sediments from the older sedimentary to metasedimentary rocks. Various geochemical ratios and discriminant diagrams verify that the Schwaner Mountains and its metamorphic group of rocks were the principal provenances for these sediments, along with some input from West Borneo. The results of the geochemical analysis also show that Bawang turbidite sediments were deposited in a basin associated with an initial active continental margin setting and the basin was shifting towards a passive setting (Late Eocene-Oligocene). The volcanic input in Bawang Member during the Late Eocene also suggests the involvement of some subsequent possible arc setting around the Bawang subbasin.</t>
  </si>
  <si>
    <t>[Ahmed, Nisar; Siddiqui, Numair A.; Jamil, Muhammad; Usman, Muhammad; Sajid, Zulqarnain; Rahman, Abdul Hadi Bin Abd] Univ Teknol Petronas, Dept Geosci, Seri Iskandar 32610, Perak, Malaysia; [Ahmed, Nisar] Univ Punjab, Inst Geol, Lahore, Pakistan; [Siddiqui, Numair A.] Univ Teknol Petronas, Inst Hydrocarbon Recovery, Seri Iskandar, Perak, Malaysia; [Ramasamy, Nagarajan] Curtin Univ, Fac Sci &amp; Engn, Dept Appl Geol, Miri, Malaysia; [Ramkumar, Muthuvairavasamy] Periyar Univ, Dept Geol, Salem, India; [Jamil, Muhammad] COMSATS Univ Islamabad, Dept Earth Sci, Abbottabad Campus, Abbottabad, Pakistan</t>
  </si>
  <si>
    <t>Universiti Teknologi Petronas; University of Punjab; Universiti Teknologi Petronas; Curtin University Malaysia; Periyar University; COMSATS University Islamabad (CUI)</t>
  </si>
  <si>
    <t>Petroleum Research Fund(American Chemical Society); Universiti Teknologi PETRONAS</t>
  </si>
  <si>
    <t>Petroleum Research Fund, Grant/Award Number: 0153AB-A33; Universiti Teknologi PETRONAS</t>
  </si>
  <si>
    <t>10.1002/gj.4062</t>
  </si>
  <si>
    <t>WOS:000600356600001</t>
  </si>
  <si>
    <t>Amin, Mohd Zaki M.; Islam, Tanvir; Ishak, Asnor M.</t>
  </si>
  <si>
    <t>The authors have applied an automated regression-based statistical method, namely, the automated statistical downscaling (ASD) model, to downscale and project the precipitation climatology in an equatorial climate region (Peninsular Malaysia). Five precipitation indices are, principally, downscaled and projected: mean monthly values of precipitation (Mean), standard deviation (STD), 90th percentile of rain day amount, percentage of wet days (Wet-day), and maximum number of consecutive dry days (CDD). The predictors, National Centers for Environmental Prediction (NCEP) products, are taken from the daily series reanalysis data, while the global climate model (GCM) outputs are from the Hadley Centre Coupled Model, version 3 (HadCM3) in A2/B2 emission scenarios and Third-Generation Coupled Global Climate Model (CGCM3) in A2 emission scenario. Meanwhile, the predictand data are taken from the arithmetically averaged rain gauge information and used as a baseline data for the evaluation. The results reveal, from the calibration and validation periods spanning a period of 40 years (1961-2000), the ASD model is capable to downscale the precipitation with reasonable accuracy. Overall, during the validation period, the model simulations with the NCEP predictors produce mean monthly precipitation of 6.18-6.20 mm/day (root mean squared error 0.78 and 0.82 mm/day), interpolated, respectively, on HadCM3 and CGCM3 grids, in contrast to 6.00 mm/day as observation. Nevertheless, the model suffers to perform reasonably well at the time of extreme precipitation and summer time, more specifically to generate the CDD and STD indices. The future projections of precipitation (2011-2099) exhibit that there would be an increase in the precipitation amount and frequency in most of the months. Taking the 1961-2000 timeline as the base period, overall, the annual mean precipitation would indicate a surplus projection by nearly 14 similar to 18 % under both GCM output cases (HadCM3 A2/B2 scenarios and CGCM3 A2 scenario). According to the model simulation, the September-November periods might be the more significant months projecting the increment of the precipitation amount around over 50 %, while the precipitation deficit would be seen in March-May periods.</t>
  </si>
  <si>
    <t>[Amin, Mohd Zaki M.] Minist Nat Resources &amp; Environm, Natl Hydraul Res Inst Malaysia, Seri Kembangan 43300, Selangor, Malaysia; [Islam, Tanvir] Univ Bristol, Dept Civil Engn, Bristol, Avon, England; [Islam, Tanvir] Univ Tokyo, Inst Ind Sci, Tokyo, Japan; [Islam, Tanvir] Nagasaki Univ, Dept Civil Engn, Nagasaki 852, Japan; [Ishak, Asnor M.] Minist Water Resources, DID, Hydrol &amp; Water Resources Div, Kuala Lumpur, Malaysia</t>
  </si>
  <si>
    <t>University of Bristol; University of Tokyo; Nagasaki University</t>
  </si>
  <si>
    <t>Hydrology and Water Resources Division, DID, Ministry of Water Resources, Malaysia</t>
  </si>
  <si>
    <t>The author(s) would like to acknowledge the Data Access Integration (DAI, see http://quebec.ccsn.ca/DAI/) Team for providing the data and technical support. The DAI data download gateway is made possible through collaboration among the Global Environmental and Climate Change Centre (GEC3), the Adaptation and Impacts Research Division of Environment Canada, and the Drought Research Initiative (DRI). The Ouranos Consortium (in Quebec) also provides IT support to the DAI team. This research is funded by the Hydrology and Water Resources Division, DID, Ministry of Water Resources, Malaysia.</t>
  </si>
  <si>
    <t>10.1007/s00704-013-1062-2</t>
  </si>
  <si>
    <t>WOS:000342439300029</t>
  </si>
  <si>
    <t>Baioumy, Hassan; Salim, Ahmed Mohamed Ahmed; Ahmed, Nisar; Maisie, Maame; Al-Kahtany, Khaled</t>
  </si>
  <si>
    <t>The Upper Cretaceous-Upper Eocene Belaga Formation is characterized by thick deep-water sediments that were accumulated as one of the biggest ancient submarine fans covering a time interval of 30 Ma. Although the Belaga Formation is the extensively investigated formation in the Rajang Group, its source and tectonic setting are still arguable. This study utilizes, for the first time, detailed mineralogical and geochemical investigations on sediments from the Belga Formation to examine its origin. The Belaga Formation is subdivided into five members that are made of seven lithofacies dominated by mudstone. Clay fractions from the mudstones of the five members are composed of illite (40-60 wt %), kaolinite (30-45 wt %) and chlorite (5-15 wt %). Al2O3/TiO2 ratios and calculated SiO2 (wt. %) as well as Zr-TiO2, Al2O3-TiO2, SiO2-Al2O3/TiO2 and Ce-cn-La/Yb-cn plots suggested felsic to intermediate igneous source rocks for all members probably the Lower-Upper Cretaceous granites and tonalities of the Schwaner Mountains situated southwest of the studied area. The abundance of kaolinite, Sr/Cu ratios, C-values, Sr/Cu ratios, Sr/Cu versus Ga/Rb plot and high Chemical Index Alteration (CIA) indicate warm and humid paleoclimate throughout the formation of the Belaga Formation. Geochemical proxies from the major oxides (SiO2-K2O/Na2O, K2O/Na2O-SiO2/Al2O3 binary plots and CaO-Na2O-K2O ternary plot), trace elements (Sc/Cr-La/Y discrimination diagram) and uniform REE patterns with distinct Eu negative anomalies propose a mature passive margin tectonic setting for the five members of the Belaga Formation. Facies analysis indicate typical turbidite sequences in all members. Domination of mudstone and the passive margin tectonic setting suggest a channel-levee complex without lobes submarine fan model (Type III) for these turbidites. Stability in source area composition, paleoclimate, palaeogeography and tectonic setting of Sundaland during the Late Cretaceous-Late Eocene (similar to 30 Ma) indicated from sedimentology and geochemical proxies is consistent with the global paleogeographic and paleoclimatic models for this area during this period. Due to their geological and economic importance as potential hydrocarbon source in the region an all over the world, results of this study provide new insights for the architecture and sedimentology of turbidites.</t>
  </si>
  <si>
    <t>[Baioumy, Hassan] Cent Met R&amp;D Inst, Minerals Technol Dept, POB 87 Helwan, Cairo, Egypt; [Salim, Ahmed Mohamed Ahmed; Ahmed, Nisar; Maisie, Maame] Univ Teknol Petronas, Geosci Dept, Seri Iskandar 32610, Perak, Malaysia; [Al-Kahtany, Khaled] King Saud Univ, Coll Sci, Seism Studies Ctr, Geol &amp; Geophys Dept, Riyadh, Saudi Arabia</t>
  </si>
  <si>
    <t>Egyptian Knowledge Bank (EKB); Central Metallurgical Research &amp; Development Institute (CMRDI); Universiti Teknologi Petronas; King Saud University</t>
  </si>
  <si>
    <t>King Saud University, Riyadh, Saudi Arabia(King Saud University)</t>
  </si>
  <si>
    <t>The authors extend their appreciation to Researchers Supporting Project number (RSP-2020/139), King Saud University, Riyadh, Saudi Arabia.</t>
  </si>
  <si>
    <t>10.1016/j.marpetgeo.2021.104897</t>
  </si>
  <si>
    <t>WOS:000620619300001</t>
  </si>
  <si>
    <t>Rahim, Nadirah Binti Abdul; Shah, Nur Hazierah Binti Mohd; Badron, Khairayu Binti</t>
  </si>
  <si>
    <t>This research is the continuation from the previous paper which has been published. The focus of this paper is to analyse the tropospheric scintillation which consists of both fades and enhancements and the worst-month of scintillation fades and enhancements. This analysis is then compared against the six scintillation prediction models, namely Karasawa, ITU-R, Van de Kamp, Otung, Anthony-Mandeep and Nadirah-Rafiqul. The result shows that both measured scintillation fades and enhancements are 0.50 dB and 0.48 dB at 0.01% of time. Whereas the other six scintillation models have the following reading for the scintillation amplitude (both fades and enhancements) respectively: 0.44 dB and 0.36 dB (Karasawa), 0.42 dB (ITU-R only for fades but not enhancements), 0.23 dB for both (Van De Kamp), 0.70 dB and 0.68 dB (Anthony &amp; Mandeep) and 0.38 dB and 0.33 dB (Nadirah &amp; Rafiqul) at 0.01% of time. Otung has the highest scintillation fades and enhancements with values of 1.29 dB and 0.67 dB respectively. On the other hand, the measured worst-month of both scintillation fades and enhancements have the highest amplitude at 0.01% of time, which are 0.88 dB and 0.90 dB if compared to the annual cumulative distribution function (CDF), which yield 0.50 dB and 0.48 dB respectively. The month of February 2016 is declared to be the worst-month because it has the highest values for the scintillation fades and enhancements. Furthermore, the percentage fractional error and Root Mean Square (RMS) error are shown. Particularly at 0.01% of time, Van de Kamp has the highest fractional error for both scintillation fades and enhancements which are 100.8% and 100% respectively. Similarly, the same for RMS errors for both scintillation fades and enhancements with the values of 78.3% and 65.3% respectively. Whereas the other models have higher values for both percentage fractional error and RMS error except for Karasawa with the values of 11.6% and 17.2% for fades and enhancements respectively. Thus, this model is suitable to be used in Malaysia. (C)2022 COSPAR. Published by Elsevier B.V. All rights reserved.</t>
  </si>
  <si>
    <t>[Rahim, Nadirah Binti Abdul; Shah, Nur Hazierah Binti Mohd; Badron, Khairayu Binti] Int Islamic Univ Malaysia IIUM, Elect &amp; Comp Engn Dept, Kulliyyah Engn, Kuala Lumpur 50728, Malaysia</t>
  </si>
  <si>
    <t>International Islamic University Malaysia</t>
  </si>
  <si>
    <t>10.1016/j.asr.2022.02.036</t>
  </si>
  <si>
    <t>WOS:000795158600003</t>
  </si>
  <si>
    <t>Stoffel, Markus; Corona, Christophe; Ludlow, Francis; Sigl, Michael; Huhtamaa, Heli; Garnier, Emmanuel; Helama, Samuli; Guillet, Sebastien; Crampsie, Arlene; Kleemann, Katrin; Camenisch, Chantal; McConnell, Joseph; Gao, Chaochao</t>
  </si>
  <si>
    <t>The mid-17th century is characterized by a cluster of explosive volcanic eruptions in the 1630s and 1640s, climatic conditions culminating in the Maunder Minimum, and political instability and famine in regions of western and northern Europe as well as China and Japan. This contribution investigates the sources of the eruptions of the 1630s and 1640s and their possible impact on contemporary climate using ice core, tree-ring, and historical evidence but will also look into the socio-political context in which they occurred and the human responses they may have triggered. Three distinct sulfur peaks are found in the Greenland ice core record in 1637, 1641-1642, and 1646. In Antarctica, only one unambiguous sulfate spike is recorded, peaking in 1642. The resulting bipolar sulfur peak in 1641-1642 can likely be ascribed to the eruption of Mount Parker (6 degrees N, Philippines) on 26 December 1640, but sulfate emitted from Komaga-take (42 degrees N, Japan) volcano on 31 July 1641 has potentially also contributed to the sulfate concentrations observed in Greenland at this time. The smaller peaks in 1637 and 1646 can be potentially attributed to the eruptions of Hekla (63 degrees N, Iceland) and Shiveluch (56 degrees N, Russia), respectively. To date, however, none of the candidate volcanoes for the mid-17th century sulfate peaks have been confirmed with tephra preserved in ice cores. Tree-ring and written sources point to cold conditions in the late 1630s and early 1640s in various parts of Europe and to poor harvests. Yet the early 17th century was also characterized by widespread warfare across Europe - and in particular the Thirty Years' War (1618-1648) - rendering any attribution of socio-economic crisis to volcanism challenging. In China and Japan, historical sources point to extreme droughts and famines starting in 1638 (China) and 1640 (Japan), thereby preceding the eruptions of Komaga-take (31 July 1640) and Mount Parker (4 January 1641). The case of the eruption cluster between 1637 and 1646 and the climatic and societal conditions recorded in its aftermath thus offer a textbook example of difficulties in (i) unambiguously distinguishing volcanically induced cooling, wetting, or drying from natural climate variability and (ii) attributing political instability, harvest failure, and famines solely to volcanic climatic impacts. This example shows that while the impacts of past volcanism must always be studied within the contemporary socio-economic contexts, it is also time to move past reductive framings and sometimes reactionary oppositional stances in which climate (and environment more broadly) either is or is not deemed an important contributor to major historical events.</t>
  </si>
  <si>
    <t>[Stoffel, Markus; Corona, Christophe; Guillet, Sebastien] Univ Geneva, Inst Environm Sci, Change Impacts &amp; Risks Anthropocene C CIA, CH-1205 Geneva, Switzerland; [Stoffel, Markus] Univ Geneva, Dept Earth Sci, CH-1205 Geneva, Switzerland; [Stoffel, Markus] Univ Geneva, Dept FA Forel Environm &amp; Aquat Sci, CH-1205 Geneva, Switzerland; [Corona, Christophe] Univ Clermont Auvergne, CNRS, Geolab, F-63000 Clermont Ferrand, France; [Ludlow, Francis] Trinity Coll Dublin, Sch Hist &amp; Humanities, Trinity Ctr Environm Humanities, Dublin 2, Ireland; [Sigl, Michael] Univ Bern, Climate &amp; Environm Phys, CH-3012 Bern, Switzerland; [Sigl, Michael; Huhtamaa, Heli; Camenisch, Chantal] Univ Bern, Oeschger Ctr Climate Change Res, CH-3012 Bern, Switzerland; [Huhtamaa, Heli; Camenisch, Chantal] Univ Bern, Inst Hist, CH-3012 Bern, Switzerland; [Garnier, Emmanuel] Univ Bourgogne Franche Comte, UMR 6249 CNRS Chronoenvironm, F-25000 Besancon, France; [Helama, Samuli] Nat Resources Inst Finland, Ounasjoentie 6, Rovaniemi 96200, Finland; [Crampsie, Arlene] Univ Coll Dublin, Sch Geog, Dublin 4, Ireland; [Kleemann, Katrin] Univ Freiburg, Dept Hist, D-79085 Freiburg, Germany; [Kleemann, Katrin] Leibniz Inst Maritime Hist, German Maritime Museum, D-27568 Bremerhaven, Germany; [McConnell, Joseph] Desert Res Inst, Div Hydrol Sci, Reno, NV 89512 USA; [Gao, Chaochao] Zhejiang Univ, Sch Environm &amp; Resource Sci, Hangzhou 310058, Peoples R China</t>
  </si>
  <si>
    <t>University of Geneva; University of Geneva; University of Geneva; Centre National de la Recherche Scientifique (CNRS); Universite Clermont Auvergne (UCA); Universite de Limoges; Trinity College Dublin; University of Bern; University of Bern; University of Bern; Universite de Franche-Comte; Natural Resources Institute Finland (Luke); University College Dublin; University of Freiburg; Deutsche Schiffahrtsmuseum - Leibniz-Institut fur deutsche Schifffahrtsgeschichte; Nevada System of Higher Education (NSHE); Desert Research Institute NSHE; Zhejiang University</t>
  </si>
  <si>
    <t>Schweizerischer Nationalfonds zur Forderung der Wissenschaftlichen Forschung(Swiss National Science Foundation (SNSF)); Swiss National Science Foundation (SNF)(Swiss National Science Foundation (SNSF))</t>
  </si>
  <si>
    <t>This research has been supported by the Schweizerischer Nationalfonds zur Forderung der Wissenschaftlichen Forschung (grant no. CRSII5_183571).</t>
  </si>
  <si>
    <t>10.5194/cp-18-1083-2022</t>
  </si>
  <si>
    <t>WOS:000798016400001</t>
  </si>
  <si>
    <t>Yan, Yi; Yao, Deng; Tian, Zhi-Xian; Huang, Chi-Yue; Dilek, Yildirim; Clift, Peter D.; Lis, Zi-An</t>
  </si>
  <si>
    <t>The mode and tempo of Cenozoic fluvial input into the South China Sea by Asian rivers were strongly controlled by tectonically induced topographic changes and landscape development that resulted in repeated river captures and reversals. New Nd isotope and U-Pb detrital zircon data from clastic sedimentary sequences in the northern South China Sea display secular variations reflecting significant changes in the compositions of fluvial sediment as well as changes in source rocks. The oldest, Eocene-Oligocene (before similar to 25 Ma) clastic rocks of the South China Sea contain sediments with epsilon(Nd) values of 25 to -7.5 and detrital zircons of Cretaceous, Jurassic, and Permo-Triassic, all derived from southern Cathaysia. The Oligocene-Middle Miocene (similar to 25-11 Ma) sediments in the South China Sea strata display epsilon(Nd) values of 212 to 214 and Archean, Proterozoic, and Paleozoic detrital zircons, suggesting northern Cathaysia and/or the Yangtze Blocks as their provenance. The headward expansion of the Pearl River and reversal of the Middle Yangtze River correlates with the opening of the South China Sea and growth of the eastern Tibetan Plateau at similar to 25 Ma. Further uplift of the eastern Tibetan Plateau and the Wuyi-Nanling Mountains in SE China around 11 Ma reshaped the landscape and caused another phase of erosion-pattern adjustment and drainage-divide migration in East Asia, leading to the establishment of the modern fluvial systems of the Pearl, Minjiang, and Lower Yangtze Rivers. Plain Language Summary The mode and tempo of Cenozoic fluvial input into the South China Sea by Asian rivers were strongly controlled by tectonically induced topographic changes and landscape development that resulted in repeated river captures and reversals. This study reconstructs tectonic topography changes and drainage development over 30 million years using Nd isotope and single grain zircon U-Pb data from the South China Sea. Our study shows that tectonic topography and river systems in East Tibet experienced two major reorganization events, reflecting the protracted and episodic growth of eastern Tibet, East Asia marginal seas, and Asian monsoonal climate. Our findings shed light on how tectonic, climate, and river drainage processes have interacted in this part of the world during the latter part of the Cenozoic. We believe our work is international interest and contributed to unravel the history of tectonic topographic evolution and drainage development through time in eastern Tibet.</t>
  </si>
  <si>
    <t>[Yan, Yi; Yao, Deng; Tian, Zhi-Xian; Huang, Chi-Yue] Chinese Acad Sci, Guangzhou Inst Geochem, Key Lab Ocean &amp; Marginal Sea Geol, Guangzhou, Guangdong, Peoples R China; [Yao, Deng] Univ Chinese Acad Sci, Coll Earth &amp; Planetary Sci, Beijing, Peoples R China; [Dilek, Yildirim] Miami Univ, Dept Geol &amp; Environm Earth Sci, Oxford, OH 45056 USA; [Clift, Peter D.] Louisiana State Univ, Dept Geol &amp; Geophys, Baton Rouge, LA 70803 USA; [Lis, Zi-An] Sun Yat Sen Univ, Sch Marine Sci, Guangzhou, Guangdong, Peoples R China</t>
  </si>
  <si>
    <t>Chinese Academy of Sciences; Guangzhou Institute of Geochemistry, CAS; Chinese Academy of Sciences; University of Chinese Academy of Sciences, CAS; University System of Ohio; Miami University; Louisiana State University System; Louisiana State University; Sun Yat Sen University</t>
  </si>
  <si>
    <t>This work was financially cosupported by the National Natural Science Foundation of China (grant 41176041, 41676048, U1701641, and 41476036). This is contribution (GIGRC-10-01) IS-2537 from GIGCAS. All the data used in this paper are provided in the supporting information and can be available.</t>
  </si>
  <si>
    <t>10.1029/2017GC007356</t>
  </si>
  <si>
    <t>WOS:000445194000002</t>
  </si>
  <si>
    <t>Buckley, Brendan M.; Ummenhofer, C. C.; D'Arrigo, R. D.; Hansen, K. G.; Truong, L. H.; Le, C. N.; Stahle, D. K.</t>
  </si>
  <si>
    <t>The interdecadal Pacific Oscillation (IPO) represents the decadal mode of the El Nino-Southern Oscillation phenomenon. As such the IPO is one of the dominant modes of decadal climate variability on both sides of the Pacific Ocean basin. For this paper we utilized a newly developed tree-ring data network comprised of five multi-centennial Vietnamese cypress ring-width chronologies that range from around 11 degrees N-23 degrees N latitude. We combined these data with an average of tree-ring derived drought indices from the North American Drought Atlas over the south central USA, from a box that spans from 27.5 degrees N-35.0 degrees N, 85.0 degrees-110.0 degrees W and contains 55 gridpoints and more than 100 tree ring site chronologies, these 2 locations exhibit rainfall variations that are strongly, negatively correlated with each other and are representative of the influence of the IPO on terrestrial rainfall. The final reconstruction model, weighted most heavily on the three most southerly of the five Vietnamese cypress records, spans from 1350 to 2004, and explains nearly 57% of the variance in the original IPO data for the 5-month season of October-February. The reconstruction model passes all standard statistical tests using a split calibration-verification scheme. We reveal 15 positive and 15 negative phase shifts of the IPO prior to the period of instrumentation, suggesting that the IPO has been active for at least the past seven centuries with varying degrees of intensity. We compare our reconstruction with two related millennial records: the MacDonald and Case (Geophys Res Lett 32(8):L08703, 2005) tree ring-derived reconstruction of the Pacific Decadal Oscillation, and an ice core-derived reconstruction of the IPO from the Law Dome Ice core in Antarctica by Vance et al. (Geophys Res Lett 33(6):L06712, 2015). While there is good general agreement with the latter record, there are three key periods of the past where the two records are out of phase, and we explore the reasons for this disparity. Direct comparison with the related Tripole Index (TPI) shows weaker correlation, likely owing to the stronger relationship between our tree ring data and the equatorial Pacific region relative to the north and south regions of the Pacific that combine to comprise the TPI calculation.</t>
  </si>
  <si>
    <t>[Buckley, Brendan M.; D'Arrigo, R. D.; Hansen, K. G.; Stahle, D. K.] Columbia Univ, Lamont Doherty Earth Observ, Tree Ring Lab, 61 Route 9W, Palisades, NY 10964 USA; [Ummenhofer, C. C.] Woods Hole Oceanog Inst, Phys Oceanog Dept, Woods Hole, MA 02543 USA; [Truong, L. H.] Vietnam Acad Sci &amp; Technol, Southern Inst Ecol, Ho Chi Minh City, Vietnam; [Le, C. N.] Cent Highlands &amp; South Cent Vietnam, Forest Sci Inst, Dept Silviculture, 09 Hung Vuong St, Da Lat, Lam Dong, Vietnam</t>
  </si>
  <si>
    <t>Columbia University; Woods Hole Oceanographic Institution; Vietnam Academy of Science &amp; Technology (VAST)</t>
  </si>
  <si>
    <t>US. DOE, Office of Science Innovative and Novel Computational Impact on Theory and Experiment program, Office of Biological and Environmental Research(United States Department of Energy (DOE)); National Science Foundation of the USA(National Science Foundation (NSF)); Lamont-Doherty Earth Observatory's Climate Center and Climate and Life initiatives; NOAA Climate Program Office(National Oceanic Atmospheric Admin (NOAA) - USA)</t>
  </si>
  <si>
    <t>Use of the following data sets is gratefully acknowledged: Global Precipitation Climatology Center data set by the German Weather Service (DWD) through http://gpcc.dwd.de, NOAA ERSST and TPI data provided by NOAA/OAR/ESRL PSD, Boulder, Colorado, USA, through https ://www.esrl.noaa.gov/psd and https ://www.esrl.noaa.gov/psd/data/times eries/IPOTP I; and the Twentieth Century Reanalysis Project supported by the US. DOE, Office of Science Innovative and Novel Computational Impact on Theory and Experiment program, Office of Biological and Environmental Research, and NOAA Climate Program Office. This research was funded by the National Science Foundation of the USA research Grants AGS 12-03818, AGS 13-03976, AGS 12-03704, AGS 13-04245, AGS 13-03976, AGS 16-02455 and AGS 16-02629, with additional funding from the Lamont-Doherty Earth Observatory's Climate Center and Climate and Life initiatives. We are most grateful to our colleagues in Vietnam from Bidoup-Nui Ba National Park in Lam Dong Province and the Southern Institute of Ecology in HCMC for logistical help throughout the course of this project, along with the forest rangers and staff at the various site locations from which we sampled throughout Vietnam. We also extend our sincere thanks to Masaki Sano for the use of his Mu Cang Chai Fokienia hodginsii record. Lamont-Doherty Contribution no. 8295.</t>
  </si>
  <si>
    <t>10.1007/s00382-019-04694-4</t>
  </si>
  <si>
    <t>WOS:000483626900041</t>
  </si>
  <si>
    <t>Dong, Bo; Dai, Aiguo</t>
  </si>
  <si>
    <t>The Interdecadal Pacific Oscillation (IPO) is a 40-60 year quasi-oscillation seen mostly in the Pacific basin, but its impacts on surface temperature (T) and precipitation (P) have been found over Australia, the Southwest U.S. and other regions. Here, a global analysis of IPO's impacts on T and P and its modulation of ENSO's influence on T and P over the globe is performed using observational and reanalysis data and model simulations. Since 1920, there are two warm (1924-1944 and 1977-1998) and two cold (1945-1976 and 1999-present) IPO phases, whose change is associated with abrupt shifts in North Pacific sea level pressure (SLP) and contrasting anomaly patterns in T and P and atmospheric circulation over the eastern and western Pacific. The IPO explains more than half of the interdecadal variations in T and P over many regions, such as northeastern Australia, western Canada and northern India. Significant correlations between the IPO and local P are observed over eastern Australia, southern Africa and the Southwest U.S. The IPO also modulates ENSO's influence on local T and P over most of these regions. T over northern India is positively correlated with Nio3.4 ENSO index during cold IPO phases but the correlation turns negative or insignificant during IPO warm phases. Over northeastern Australia, the T versus ENSO and P versus ENSO correlations are stronger during the IPO cold phases than during the warm phases. The P versus ENSO correlation over southern Africa tends to be negative during IPO warm phases but becomes weaker or insignificant during IPO cold phases. The IPO-induced P anomalies can be explained by the associated anomaly circulation, which is characterized by a high SLP center and anti-cyclonic flows over the North Pacific, and negative SLP anomalies and increased wind convergence over the Indonesia and western Pacific region during IPO cold phases. These observed influences of the IPO on regional T and P are generally reproduced by an atmospheric model forced by observed sea surface temperatures.</t>
  </si>
  <si>
    <t>[Dong, Bo; Dai, Aiguo] SUNY Albany, Dept Atmospher &amp; Environm Sci, Albany, NY 12222 USA; [Dai, Aiguo] Natl Ctr Atmospher Res, Boulder, CO 80307 USA</t>
  </si>
  <si>
    <t>State University of New York (SUNY) System; State University of New York (SUNY) Albany; National Center Atmospheric Research (NCAR) - USA</t>
  </si>
  <si>
    <t>National Science Foundation(National Science Foundation (NSF)); U.S. Department of Energy's Office of Science(United States Department of Energy (DOE)); U.S. Department of Energy (DOE)(United States Department of Energy (DOE))</t>
  </si>
  <si>
    <t>We thank the Canadian Centre for Climate Modelling and Analysis and the PCMDI for making the CanAM4 simulations available to the public and the U.K. Met Office Hadley Centre for providing the HadISST data set. This work was supported by the National Science Foundation (Grant #AGS-1353740) and U.S. Department of Energy's Office of Science (Award #DE-SC0012602).</t>
  </si>
  <si>
    <t>10.1007/s00382-015-2500-x</t>
  </si>
  <si>
    <t>WOS:000363952100025</t>
  </si>
  <si>
    <t>Schmidt, Daniel F.; Grise, Kevin M.</t>
  </si>
  <si>
    <t>Numerous lines of observational evidence suggest that Earth's tropical belt has expanded over the past 30-40 years. It is natural to expect that this poleward displacement should be associated with drying on the poleward margins of the subtropics, but it is less clear to what degree the drying should be zonally symmetric. This study tests the degree to which poleward motion of the Hadley cell boundary is associated with changes in local precipitation or sea level pressure and the degree to which those changes are zonally symmetric. Evidence from both reanalysis data and global climate models reveals that the local changes associated with Hadley cell expansion are mostly confined to certain centers of action which lie primarily over oceans. Consequently, the tropical expansion measured by zonally averaged variables is not associated with systematic drying over subtropical land regions, as is often assumed. Plain Language Summary The climate of the earth's tropical regions is dominated by atmospheric circulation patterns known as the Hadley cells. In these circulations, heated air rises at the equator, moves poleward, and sinks around 30 degrees latitude in each hemisphere. The rising air is responsible for the heavy precipitation of the equatorial regions such as the Amazon, central Africa, and Indonesia. The sinking air is responsible for the so-called subtropical dry zones which roughly form two bands around the Earth around 30 degrees N and 30 degrees S. These dry zones include many of the world's desert regions, including North Africa, the Middle East, and parts of Mexico and Australia, among others. Computer models of Earth's climate suggest that global warming will cause the Hadley cells to expand poleward, shifting the dry zones poleward in the process. Observations confirm that Hadley cell expansion has already started. However, this study finds that the drying associated with Hadley cell expansion is stronger over oceans than over land. While this drying does still affect some land regions, it does not occur in unbroken bands around the Earth. This work emphasizes the fact that while climate change may be global, its effects often play out differently depending on location.</t>
  </si>
  <si>
    <t>[Schmidt, Daniel F.; Grise, Kevin M.] Univ Virginia, Dept Environm Sci, Clark Hall, Charlottesville, VA 22903 USA</t>
  </si>
  <si>
    <t>University of Virginia</t>
  </si>
  <si>
    <t>We thank R. E. Davis for helpful discussions. This project was supported by start-up funding awarded to K. M. G. by the University of Virginia. All data are freely and publicly available as follows: ERA-Interim (http://apps.ecmwf.int/datasets), ERSST (http://www.cpc.ncep.noaa.gov/data/indices/), CMIP5 (http://esgf-node.llnl.gov/search/cmip5/), CFSR (https://www.ncdc.noaa.gov/data-access/model-data#cfsr), JRA-55 (http://jra.kishou.go.jp/JRA-55/index_en.html), MERRA-2 (https://gmao.gsfc.nasa.gov/reanalysis/MERRA-2/), and CMAP, GPCP, NCEP-DOE Reanalysis 2, and HadSLP2r (http://www.esrl.noaa.gov/psd/).</t>
  </si>
  <si>
    <t>10.1002/2017GL075380</t>
  </si>
  <si>
    <t>WOS:000416761600057</t>
  </si>
  <si>
    <t>Abdulkareem, J. H.; Pradhan, B.; Sulaiman, W. N. A.; Jamil, N. R.</t>
  </si>
  <si>
    <t>The devastating effect of soil erosion is one of the major sources of land degradation that affects human lives in many ways which occur mainly due to deforestation, poor agricultural practices, overgrazing, wildfire and urbanization. Soil erosion often leads to soil truncation, loss of fertility, slope instability, etc. which causes irreversible effects on the poorly renewable soil resource. In view of this, a study was conducted in Kelantan River basin to predict soil loss as influenced by long-term land use/land-cover (LULC) changes in the area. The study was conducted with the aim of predicting and assessing soil erosion as it is influenced by long-term LULC changes. The 13,100 km(2) watershed was delineated into four sub-catchments Galas, Pergau, Lebir and Nenggiri for precise result estimation and ease of execution. GIS-based Universal Soil Loss Equation (USLE) model was used to predict soil loss in this study. The model inputs used for the temporal and spatial calculation of soil erosion include rainfall erosivity factor, topographic factor, land cover and management factor as well as erodibility factor. The results showed that 67.54% of soil loss is located under low erosion potential (reversible soil loss) or 0-1 t ha(-1) yr(-1) soil loss in Galas, 59.17% in Pergau, 53.32% in Lebir and 56.76% in Nenggiri all under the 2013 LULC condition. Results from the correlation of soil erosion rates with LULC changes indicated that cleared land in all the four catchments and under all LULC conditions (1984-2013) appears to be the dominant with the highest erosion losses. Similarly, grassland and forest were also observed to regulate erosion rates in the area. This is because the vegetation cover provided by these LULC types protects the soil from direct impact of rain drops which invariably reduce soil loss to the barest minimum. Overall, it was concluded that the results have shown the significance of LULC in the control of erosion. Maps generated from the study may be useful to planners and land use managers to take appropriate decisions for soil conservation. (C) 2017, China University of Geosciences (Beijing) and Peking University. Production and hosting by Elsevier B.V.</t>
  </si>
  <si>
    <t>[Abdulkareem, J. H.; Sulaiman, W. N. A.; Jamil, N. R.] Univ Putra Malaysia, Fac Environm Studies, Dept Environm Sci, Serdang 43400, Selangor, Malaysia; [Abdulkareem, J. H.] Ahmadu Bello Univ, Fac Agr, Inst Agr Res, Dept Soil Sci, PMB 1044, Zaria, Nigeria; [Pradhan, B.] Univ Putra Malaysia, GISRC, Fac Engn, Dept Civil Engn, Serdang 43400, Selangor, Malaysia; [Pradhan, B.] Univ Technol Sydney, Fac Engn &amp; Informat Technol, CAMGIS, Bldg 11,Level 06,81 Broadway,POB 123, Ultimo, NSW 2007, Australia; [Pradhan, B.] Sejong Univ, Dept Energy &amp; Mineral Resources Engn, 209 Neungdong Ro, Seoul 05006, South Korea</t>
  </si>
  <si>
    <t>Universiti Putra Malaysia; Institute for Agricultural Research, Samaru, Zaria; Ahmadu Bello University; Universiti Putra Malaysia; University of Technology Sydney; Sejong University</t>
  </si>
  <si>
    <t>This research was funded by the Fundamental Research Grant Scheme (FRGS) 2015-1 from the Ministry of Higher Education (MOHE), Malaysia. The authors would like to thank Department of Irrigation and Drainage (DID) Ampang, Malaysia for providing rainfall data used in this study and the Department of Agriculture (DOA) for making available LULC and soil maps.</t>
  </si>
  <si>
    <t>10.1016/j.gsf.2017.10.010</t>
  </si>
  <si>
    <t>WOS:000459141200005</t>
  </si>
  <si>
    <t>Liew, Soo Chin; Gupta, Avijit; Chia, Aik Song; Ang, Wu Chye</t>
  </si>
  <si>
    <t>The paper illustrates application of satellite images for studying the anatomy of a long-duration, extensive, and slow flood on the Chao Phraya River in 2011 that inundated Bangkok in its lower reach. The spread of floods in the valley was mapped with MODIS, month by month, from July 2011 to February 2012. A subsampled WorldView-2 mosaic was used to observe part of the valley in detail. The flood in Bangkok was studied with four higher-resolution images from Spot 4, WorldView-2, and GeoEye-1 satellites. We suspect that the floodwaters jumped the banks of the Chao Phraya south of Chai Nat, and then travelled overland and along river channels. The overland passage made it difficult to protect settlements. We also studied sedimentation from the images of this shallow overland flow across the country, which was complicated by the presence of preexisting embankments, other anthropogenic structures, and smaller stream channels. This is a descriptive study but it highlights the nature of flooding that is likely to be repeated in this low flat valley from high rainfall. The pattern of flooding was similar to that of a previous large flood in 1996 recorded in a SPOT 2 image. These floods impact Bangkok periodically, a city of about 10 million people, which started on a levee in a low flat delta, then expanded into backswamps, and is marked with local depressions from groundwater extraction. These slow extensive floods can be mapped from satellite images and properly recorded as an early step in analysis of large floods. Mapping of such floods on ground is logistically impossible. Slow, extensive, and long-lasting floods affect lower valleys and deltas of a number of major rivers, impacting agricultural fields and large populations. These floods are especially disastrous for cities located on low deltas. We submit that basic exercises on satellite images provide valuable introductory information for understanding geomorphology of such floods, and also for structuring plans for flood amelioration. Satellite images at very high resolutions, also used in this study, provide complimentary data to mapping and ground observation. Basin environments that are inundated by large shallow extensive floods are not unusual. In future, climate change is expected to raise the frequency of floods in lower parts of a number of river valleys and deltas, so that for such an environment slow extensive floods may become common and need to be studied. In that sense this is a template for studying large slow floods, arguably more frequent in future. (C) 2016 Elsevier B.V. All rights reserved.</t>
  </si>
  <si>
    <t>[Liew, Soo Chin; Gupta, Avijit; Chia, Aik Song; Ang, Wu Chye] Natl Univ Singapore, Ctr Remote Imaging Sensing &amp; Proc, Singapore 119076, Singapore; [Gupta, Avijit] Univ Wollongong, Sch Earth &amp; Environm Sci, Wollongong, NSW 2522, Australia</t>
  </si>
  <si>
    <t>National University of Singapore; University of Wollongong</t>
  </si>
  <si>
    <t>0169-555X</t>
  </si>
  <si>
    <t>1872-695X</t>
  </si>
  <si>
    <t>Geomorphology</t>
  </si>
  <si>
    <t>10.1016/j.geomorph.2016.03.022</t>
  </si>
  <si>
    <t>WOS:000376713600010</t>
  </si>
  <si>
    <t>Arosi, Hamed A.; Wilson, Moyra E. J.</t>
  </si>
  <si>
    <t>The influence of coeval tectonics on carbonate platform development is widely documented, yet the diagenesis of such syntectonic platforms is barely evaluated. An outcrop, petrographic and geochemical study details here for the first time the diagenesis of the Tonasa Limestone Formation developed in an extensional regime in central Indonesia. This equatorial carbonate system was affected by block faulting, tilt-block rotation, differential uplift and subsidence throughout its Eocene to Early Miocene history (Wilson, 1999; Wilson et al., 2000). The Tonasa carbonate platform is dominated by alteration in shallow to deeper burial depths by fluids with predominantly marine precursor origins. Mechanical and chemical compaction features are common, as are a range of mainly burial-related granular mosaic, blocky and equant calcite cements. Earlier marine cements and meteoric influences are rare, being highly localised to block faulted highs and/or bathymetrically upstanding platform margin areas. Early marine micritisation of allochems was common on the platform top. Tectonic uplift together with a major oceanic throughflow current are thought to be key influences on localised karstification, meteoric diagenesis and marine cementation. The distribution and orientation of faults, fractures and calcite veins together with evidence for their relative timing are the strongest manifestation of tectonism coeval with diagenesis. There is concordance in the orientation and timing of structures affecting the Tonasa Platform with those basin-wide, with the potential for reactivation of pre-existing basement fabrics. Tectonic subsidence, including fault-associated differential subsidence, controlled the degree of burial diagenesis impacting different areas of the platform. A predominance of burial diagenetic features and dearth of earlier marine or meteoric cementation is seen in other Tertiary equatorial platforms and is partly attributed to: (1) predominance of non-framework building larger benthic foraminifera and/or algae that are prone to remobilisation, have low production rates and limited potential to build to sea level, and (2) high runoff due to the equatorial humid climate contributing to lowered marine salinities in SE Asia. Underlying tectonic reasons for the preponderance of a regional diagenetic signature over a syntectonic one, fracturing excepted, are: (1) development on the flanks of a backarc basin not on typical continental crust, (2) key platform influencing structures are oblique to the main extensional direction in the basin, and (3) development in an overall subsiding tectonic regime, post-dating basin initiation. The aim here is that this study will contribute to understanding diagenetic alteration of syntectonic carbonate platforms, and those from equatorial regions. (C) 2015 Elsevier B.V. All rights reserved.</t>
  </si>
  <si>
    <t>[Arosi, Hamed A.; Wilson, Moyra E. J.] Curtin Univ, Dept Appl Geol, Perth, WA 6845, Australia</t>
  </si>
  <si>
    <t>Curtin University</t>
  </si>
  <si>
    <t>Libyan Higher Education Ministry; BP Exploration, UK; SE Asia Research Group, London University</t>
  </si>
  <si>
    <t>This research forms a part of Hamed Arosi's PhD studies, supervised by Moyra Wilson, at Curtin University. Hamed received a PhD scholarship from the Libyan Higher Education Ministry. BP Exploration, UK and the SE Asia Research Group, London University provided the funding and logistical support for the fieldwork in Sulawesi, undertaken by Moyra as part of her PhD studies. Tony Barber, Dan Bosence, Diane Cameron, Darwis Falah, Robert Hall and Alexander Limbong are all thanked for their help in the original primarily sedimentological study of the Tonasa Formation. In Indonesia, GRDC, Bandung, Kanwil, South Sulawesi, BP offices in Jakarta and Ujung Pandang, LIPI and many people in Sulawesi all provided technical and practical support. Dr. Ted Finch and Prof. Fred Banner (deceased), both at University College London, and Dr. Toine Wonders, Consultant, UK (deceased), are thanked for their detailed biostratigraphic work. Neil Holloway at Royal Holloway, and Moyra (under the tutelage of Neil), made the thin sections. Cathodoluminescent analysis was run with the help of Francis Witkowski at Royal Holloway, London University. Stable isotope analyses were run in collaboration with Tony Fallick and Terry Donnelly at SUERC, East Kilbride, UK. We thank Robert Madden and an anonymous reviewer, together with editor Brian Jones, for their constructive comments focusing us to improve the manuscript. This is for Hamed's wife Fatima, and children Khadeeja and Siddeeg, and their futures.</t>
  </si>
  <si>
    <t>0037-0738</t>
  </si>
  <si>
    <t>1879-0968</t>
  </si>
  <si>
    <t>SEDIMENT GEOL</t>
  </si>
  <si>
    <t>Sediment. Geol.</t>
  </si>
  <si>
    <t>10.1016/j.sedgeo.2015.06.010</t>
  </si>
  <si>
    <t>WOS:000360252500008</t>
  </si>
  <si>
    <t>Poerbandono; Julian, Miga M.; Ward, Philip J.</t>
  </si>
  <si>
    <t>In Jakarta, climate change has been detected through rising air temperatures, increased intensity of rainfall in the wet season, and sea level rise. The coupling of such changes with local anthropogenic driven modifications in the environmental setting could contribute to an increased probability of flooding, due to increase in both extreme river discharge and sedimentation (as a result of erosion in the watersheds above Jakarta and as indicated by sediment yield in the downstream area). In order to respond to the observed and projected changes in river discharge and sediment yield, and their secondary impacts, adaptation strategies are required. A possible adaptation strategy is through policy making in the field of spatial planning. For example, in Indonesia, presidential regulation number 54 year 2008 (Peraturan Presiden Nomor 54 Tahun 2008-Perpres 54/2008) was issued as a reference for the implementation of water and soil conservation. This paper assesses the impact of climate and land cover change on river discharge and sediment yield, as well as the effects of Perpres 54/2008 on that river discharge and sediment yield. The spatial water balance model Spatial Tools for River Basins and Environmental and Analysis of Management Option was used for the runoff computations, whilst the Spatial Decision Assistance of Watershed Sedimentation model was used to simulate erosion, Sediment Delivery Ratio, and sediment yield. The computation period is from January 1901 to December 2005, at the scale of the following watersheds: Ciujung, Cisadane, Ciliwung, and Citarum. During the twentieth century, computed average discharge in the downstream area (near Jakarta) increased between 2.5 and 35 m(3)/s/month, and sediment yield increased between 1 x 10(3) and 42 x 10(3) tons/year. These changes were caused by changes in both land cover and climate, with the former playing a stronger role. Based on a computation under a theoretical full implementation of the spatial plan proposed by Perpres 54/2008, river discharge would decrease by up to 5 % in the Ciliwung watershed and 26 % in the Cisadane watershed. The implementation of Perpres 54/2008 could also decrease the sediment yield, by up to 61 and 22 % in the Ciliwung and Cisadane watersheds, respectively. These findings show that the implementation of the spatial plan of Perpres 54/2008 could significantly improve watershed response to runoff and erosion. This study may serve as a tool for assessing the reduction in climate change impacts and evaluating the role of spatial planning for adaptation strategies.</t>
  </si>
  <si>
    <t>[Poerbandono] Inst Teknol Bandung, Fac Earth Sci &amp; Technol, Bandung 40132, Indonesia; [Julian, Miga M.] Univ Jena, Inst Geog, Lehrstuhl Geoinformat Geohydrol &amp; Modellierung, D-07743 Jena, Germany; [Ward, Philip J.] Vrije Univ Amsterdam, Inst Environm Studies IVM, NL-1081 HV Amsterdam, Netherlands</t>
  </si>
  <si>
    <t>Institute Technology of Bandung; Friedrich Schiller University of Jena; Vrije Universiteit Amsterdam</t>
  </si>
  <si>
    <t>SPIN grant from the Royal Netherlands Academy of Arts and Sciences (KNAW); Dutch research programme Knowledge for Climate and Delta Alliance; VENI grant from the Netherlands Organisation for Scientific Research (NWO)(Netherlands Organization for Scientific Research (NWO))</t>
  </si>
  <si>
    <t>We thank the two anonymous reviewers for their comments on an earlier version of this manuscript. This research was funded by a SPIN grant (09-MP-10) from the Royal Netherlands Academy of Arts and Sciences (KNAW), and project HSINT02a of the Dutch research programme Knowledge for Climate and Delta Alliance. Philip J. Ward was also funded by a VENI grant from the Netherlands Organisation for Scientific Research (NWO).</t>
  </si>
  <si>
    <t>10.1007/s11069-014-1083-x</t>
  </si>
  <si>
    <t>WOS:000340490100021</t>
  </si>
  <si>
    <t>Khan, Mahasin Ali; Spicer, Robert A.; Bera, Subir; Ghosh, Ruby; Yang, Jian; Spicer, Teresa E. V.; Guo, Shuang-xing; Su, Tao; Jacques, Frederic; Grote, Paul J.</t>
  </si>
  <si>
    <t>Four fossil floras ranging in age from the mid Miocene to the early Pleistocene from the eastern Siwaliks near Darjeeling and in Arunachal Pradesh (AP) were compared taxonomically and subjected to a CLAMP (Climate Leaf Analysis Multivariate Program) analysis using a new calibration dataset that includes sites from India, southern China and Thailand and high resolution gridded climate data. Two lower Siwalik mid Miocene floras yielded almost the same values suggesting mean annual temperatures (MATs) of 25.4 and 25.3 degrees C +/- 2.8 degrees C (all uncertainties +/- 2 sigma) with warm month mean temperatures (WMMTs) of 28.4 and 27.8 +/- 3.39 degrees C and cold month mean temperatures (CMMTs) of 17.9 and 21.3 +/- 4 degrees C. Precipitation estimates have high uncertainties but suggest a weak monsoon with growing season precipitations of 242 +/- 92 cm for Darjeeling and 174 +/- 92 cm for AP. Leaves from the middle Siwalik (Pliocene) sediments of AP indicate a lowering of the MAT to 23.7 degrees C, a function of cooler winter months (CMMT 16.9 degrees C). The AP early Pleistocene temperatures and rainfall were similar to those of the mid Miocene. Changes in the monsoon index suggest that in the AP area there has been little change in the intensity of the monsoon since mid Miocene time, while further west at Darjeeling there has been an intensification since the mid Miocene. Mid Miocene CLAMP-derived enthalpy estimates provide sea level (&lt;200 a.m.s.l.) data for a re-evaluation of the palaeoelevation of a 15 Ma flora from the Namling-Oiyug Basin, southern Tibet. Enthalpy values from Darjeeling and AP were 354.1 and 355.8 +/- 10.3 kJ/kg respectively, while that derived from the Namling-Oiyug flora was 296.3 kJ/kg. This yields a palaeoelevation of 5888 m for the Namling site using the Darjeeling enthalpy estimate as a sea level datum and 6065 m using the AP assemblage. The combined uncertainty is +/- 728 m. Model corrected enthalpy trends at sea level across palaeolatitude and longitude reduce the mean elevation to 5.54 km. These elevations are higher than earlier estimates from the same site (but within uncertainty) and the corrected mean is similar to 1 km higher than the present day basin floor elevation in the region, suggesting some deflation since 15 Ma associated with east-west extension, particularly if a shift in the locus of deformation and uplift south to the Himalayas in post middle Miocene times relieved N-S compressional stress on southern Tibet. (C) 2013 Elsevier B.V. All rights reserved.</t>
  </si>
  <si>
    <t>[Khan, Mahasin Ali; Bera, Subir] Univ Calcutta, Ctr Adv Study, Kolkata 700019, W Bengal, India; [Spicer, Robert A.] Open Univ, Ctr Earth Planetary Space &amp; Astron Res, Milton Keynes MK7 6AA, Bucks, England; [Spicer, Robert A.; Yang, Jian; Spicer, Teresa E. V.] Chinese Acad Sci, Inst Bot, Beijing 100093, Peoples R China; [Ghosh, Ruby] Birbal Sahni Inst Paleobot, Lucknow 226007, Uttar Pradesh, India; [Guo, Shuang-xing] Chinese Acad Sci, Nanjing Inst Geol &amp; Palaeontol, Dept Palaeobot &amp; Palynol, Nanjing 210008, Jiangsu, Peoples R China; [Su, Tao; Jacques, Frederic] Chinese Acad Sci, Xishuangbanna Trop Bot Garden, Key Lab Trop Forest Ecol, Mengla 666303, Peoples R China; [Grote, Paul J.] Suranaree Univ Technol, Sch Biol, Inst Sci, Nakhon Ratchasima 30000, Thailand</t>
  </si>
  <si>
    <t>University of Calcutta; Open University - UK; Chinese Academy of Sciences; Institute of Botany, CAS; Department of Science &amp; Technology (India); Birbal Sahni Institute of Palaeobotany (BSIP); Chinese Academy of Sciences; Chinese Academy of Sciences; Xishuangbanna Tropical Botanical Garden, CAS; Suranaree University of Technology</t>
  </si>
  <si>
    <t>Chinese Academy of Sciences(Chinese Academy of Sciences); International S &amp; T Cooperation Project of China; University of Kolkata; National Natural Science Foundation of China(National Natural Science Foundation of China (NSFC)); Department of Science and Technology, New Delhi(Department of Science &amp; Technology (India))</t>
  </si>
  <si>
    <t>This work was supported by a Visiting Professorship for Senior International Scientists awarded to R.A.S. by the Chinese Academy of Sciences (2009S1-20), by an International S &amp; T Cooperation Project of China No. 2009DFA32210 and by funding from the University of Kolkata. The work was also supported by the Strategic Priority Research Program B of the Chinese Academy of Sciences (Grant No. XDB03010103) and the National Natural Science Foundation of China grant (41030212, 41272007). We thank Taksin Artchawakom, Director of Sakaerat Environmental Research Station, Thailand, for permission to collect material for CLAMP calibration, and to Pitchanat Ngerndee, for her help in making that collection. M. K. and S. B acknowledge the financial assistance from the Department of Science and Technology, New Delhi. Thanks are due to the authorities of Central National Herbarium, Sibpur, Howrah for permission to consult the Herbarium. R.G thankfully acknowledges the Director, BSIP, Lucknow for his encouragement and permission to publish this work.</t>
  </si>
  <si>
    <t>10.1016/j.gloplacha.2013.12.003</t>
  </si>
  <si>
    <t>WOS:000331500600001</t>
  </si>
  <si>
    <t>Wu, Kaikai; Liu, Shengfa; Shi, Xuefa; Lou, Zhanghua; Kandasamy, Selvaraj; Wu, Bin; Wang, Kunshan; Cao, Peng; Zhang, Hui; Mohamed, Che Abd Rahim</t>
  </si>
  <si>
    <t>To understand the modern sedimentation and land-sea interaction processes in the Sunda Shelf, we evaluated the rare earth element (REE) compositions, the total organic carbon (TOC) contents, grain sizes, and detrital minerals of 39 surface sediments, collected from the western Sunda Shelf. All of the sampled sediments are characterised by a higher content of light REEs (LREEs) relative to the content of heavy REEs (HREEs) with negative Eu anomalies. The total content of REE (Sigma REE) in the sediments ranges from 7 mu g/g to 193 mu g/g, with an average of 119 mu g/g. Due to the uneven spatial distribution of REEs in the study area, a Q-cluster analysis is applied to the mean grain size (Mz), Sigma REE, delta Eu, delta Ce, (La/Yb)(N), and (Gd/Yb)(N) data. On this basis, the study area can be classified into three geochemical provinces. The north to central zone in the study area is designated as province I, which has the highest REE content among the three provinces. This is a result of the finer grain size, dominance of siderite, and higher TOC contents of the sediments in province I. The REE content of province II in the southwest coastal zone is lower than that of province I due primarily to a coarser grain size and high quartz, biodetritus, and plagioclase contents. Covering the central coastal zone, province III has the lowest REE content among the three provinces because of the extremely coarse grain size and very high quartz and biodetritus contents. The upper continental crust (UCC)-normalised REE patterns differ markedly among the three provinces, thereby indicating different provenances and transport mechanisms. Based on the provenance discrimination plot and the UCC-normalised REE patterns of these three provinces and adjacent rivers, we infer that province I is largely fed by the Mekong and Kelantan rivers. The fine-grained sediments from these rivers are transported to north and central zone by the northeast monsoon current. The Pahang River is identified as the main sediment source of province II. The coarse-grained sediments from this river mostly accumulate near the estuary via hydrodynamic sorting, while finer-grained sediments are transported to the south by the southward coastal currents. The sediments in province III are inferred as being primarily the result of coastal erosion due to the strong wave energy in this area, as well as offshore and longshore sediment transport acting, in parallel to the coast line. Our study can serve as a reference for studying the diffusion and transport processes of mountainous river sediment and the evolution of the paleoclimate and paleoenvironment in tropical low-latitude regions.</t>
  </si>
  <si>
    <t>[Wu, Kaikai; Lou, Zhanghua] Zhejiang Univ, Ocean Coll, Zhoushan 316021, Peoples R China; [Wu, Kaikai; Liu, Shengfa; Shi, Xuefa; Wu, Bin; Wang, Kunshan; Cao, Peng; Zhang, Hui] Minist Nat Resources, Key Lab Marine Geol &amp; Metallogeny, Qingdao 266061, Peoples R China; [Wu, Kaikai; Liu, Shengfa; Shi, Xuefa; Kandasamy, Selvaraj; Wang, Kunshan] Qingdao Natl Lab Marine Sci &amp; Technol, Lab Marine Geol, Qingdao 266061, Peoples R China; [Kandasamy, Selvaraj] Xiamen Univ, Dept Geol Oceanog, Xiamen 361005, Peoples R China; [Kandasamy, Selvaraj] Xiamen Univ, State Key Lab Marine Environm Sci, Xiamen 361005, Peoples R China; [Mohamed, Che Abd Rahim] Natl Univ Malaysia, Fac Sci &amp; Technol, Bangi 43600, Selangor, Malaysia</t>
  </si>
  <si>
    <t>Zhejiang University; Ministry of Natural Resources of the People's Republic of China; Laoshan Laboratory; Xiamen University; Xiamen University; Universiti Kebangsaan Malaysia</t>
  </si>
  <si>
    <t>National Programme on Global Change and Air-Sea Interaction; Natural Science Foundation of China-Shandong Joint Fund for Marine Science Research Centers; Scientific and Technological Innovation Project - Qingdao National Laboratory for Marine Science and Technology; China-Malaysia cooperation project Effect on variability of seasonal monsoon on sedimentary process in Peninsular Malaysia waters; Taishan Scholar Program of Shandong</t>
  </si>
  <si>
    <t>We thank staff of National University of Malaysia, crew of R.V. DISCOVERY, and Xisheng Fang, Xin Shan, Haitao Zhang, and Taoyu Xu from First Institute of Oceanography, Ministry of Natural Resources for sample collection on board, and Xingquan Sun and Wenxing Ye from Ocean University of China for sample pretreatment. We also acknowledge Jingrui Li from Qingdao National Laboratory for Marine Science and Technology for constructive discussion. This work was supported by the National Programme on Global Change and Air-Sea Interaction (GASI-GEOGE-03, GASI-02-SCS-CJB01), the Natural Science Foundation of China-Shandong Joint Fund for Marine Science Research Centers (U1606401), the Scientific and Technological Innovation Project Financially supported by Qingdao National Laboratory for Marine Science and Technology (2015ASKJ03s), the China-Malaysia cooperation project Effect on variability of seasonal monsoon on sedimentary process in Peninsular Malaysia waters and the Taishan Scholar Program of Shandong.</t>
  </si>
  <si>
    <t>DEC 13</t>
  </si>
  <si>
    <t>10.1016/j.csr.2020.104198</t>
  </si>
  <si>
    <t>WOS:000567735400001</t>
  </si>
  <si>
    <t>Sriwongsitanon, Nutchanart; Gao, Hongkai; Savenije, Hubert H. G.; Maekan, Ekkarin; Saengsawang, Sirikanya; Thianpopirug, Sansarith</t>
  </si>
  <si>
    <t>With remote sensing we can readily observe the Earth's surface, but direct observation of the sub-surface remains a challenge. In hydrology, but also in related disciplines such as agricultural and atmospheric sciences, knowledge of the dynamics of soil moisture in the root zone of vegetation is essential, as this part of the vadose zone is the core component controlling the partitioning of water into evaporative fluxes, drainage, recharge, and runoff. In this paper, we compared the catchment-scale soil moisture content in the root zone of vegetation, computed by a lumped conceptual model, with the remotely sensed Normalized Difference Infrared Index (NDII) in the Upper Ping River basin (UPRB) in northern Thailand. The NDII is widely used to monitor the equivalent water thickness (EWT) of leaves and canopy. Satellite data from the Moderate Resolution Imaging Spectroradiometer (MODIS) were used to determine the NDII over an 8-day period, covering the study area from 2001 to 2013. The results show that NDII values decrease sharply at the end of the wet season in October and reach lowest values near the end of the dry season in March. The values then increase abruptly after rains have started, but vary in an insignificant manner from the middle to the late rainy season. This paper investigates if the NDII can be used as a proxy for moisture deficit and hence for the amount of moisture stored in the root zone of vegetation, which is a crucial component of hydrological models. During periods of moisture stress, the 8-day average NDII values were found to correlate well with the 8-day average soil moisture content (S-u) simulated by the lumped conceptual hydrological rainfall-runoff model FLEX for eight sub-catchments in the Upper Ping basin. Even the deseasonalized S-u and NDII (after subtracting the dominant seasonal signal) showed good correlation during periods of moisture stress. The results illustrate the potential of the NDII as a proxy for catchmentscale root zone moisture deficit and as a potentially valuable constraint for the internal dynamics of hydrological models. In dry periods, when plants are exposed to water stress, the EWT (reflecting leaf water deficit) decreases steadily, as moisture stress in the leaves is connected to moisture deficits in the root zone. Subsequently, when the soil moisture is replenished as a result of rainfall, the EWT increases without delay. Once leaf water is close to saturation-mostly during the heart of the wet season - leaf characteristics and NDII values are not well correlated. However, for both hydrological modelling and water management, the stress periods are most important, which is why this product has the potential of becoming a highly efficient model constraint, particularly in ungauged basins.</t>
  </si>
  <si>
    <t>[Sriwongsitanon, Nutchanart; Maekan, Ekkarin; Saengsawang, Sirikanya; Thianpopirug, Sansarith] Kasetsart Univ, Dept Water Resources Engn, Fac Engn, Bangkok, Thailand; [Gao, Hongkai; Savenije, Hubert H. G.] Delft Univ Technol, Water Resources Sect, Delft, Netherlands</t>
  </si>
  <si>
    <t>Kasetsart University; Delft University of Technology</t>
  </si>
  <si>
    <t>Kasetsart University Research and Development Institute</t>
  </si>
  <si>
    <t>We gratefully acknowledge Kasetsart University Research and Development Institute for financially supporting this research. We also appreciate Royal Irrigation Department and Thai Meteorological Department for providing the rainfall data. Finally, we sincerely thank the MODIS Land Discipline Group for creating and sharing the MODIS Land data used in this study.</t>
  </si>
  <si>
    <t>AUG 23</t>
  </si>
  <si>
    <t>10.5194/hess-20-3361-2016</t>
  </si>
  <si>
    <t>WOS:000383798700001</t>
  </si>
  <si>
    <t>Delman, Andrew S.; McClean, Julie L.; Sprintall, Janet; Talley, Lynne D.; Bryan, Frank O.</t>
  </si>
  <si>
    <t>Negative sea surface temperature (SST) anomalies associated with positive Indian Ocean Dipole (pIOD) events first appear in the seasonal upwelling zone along the southern coast of Java during May-July. The evolution of anomalous SSTs in this coastal region is analyzed by computing a temperature budget using output from a strongly eddy-active ocean general circulation model. The seasonal cooling south of Java in May-July is driven by a reduction in incoming shortwave radiation and by vertical mixing, consistent with earlier studies in the region; however, the model budget also shows an advective contribution that drives anomalous cooling at the onset of pIOD events. To identify which process(es) are responsible for the anomalous advective cooling during pIOD events, a novel process index regression method is used to estimate the contributions of wind stress, equatorial Kelvin waves, mesoscale eddies, and Lombok Strait flow to anomalous cooling south of Java. Using this method, wind stress forcing along the west coast of Sumatra is found to make the most substantial contribution to anomalous cooling south of Java, with lesser contributions from equatorially sourced Kelvin waves and local wind stress. Mesoscale eddies redistribute heat from the Lombok Strait outflow, and have an anomalous warming effect on the eastern side of the upwelling region. The process-specific temperature budget south of Java highlights the importance of wind stress forcing west of Sumatra relative to equatorial and local forcing, and explains most of the mixed layer temperature anomaly evolution associated with advection during pIOD events. Plain Language Summary Climate variations from year to year in much of the Indian Ocean region are controlled by a phenomenon called the Indian Ocean Dipole, which is similar to El Nino but centered on the Indian Ocean basin. The positive phase of the Indian Ocean Dipole, or pIOD, typically brings drought conditions to Indonesia and unusually heavy rainfall to east Africa. These pIOD events are caused in part by unusually strong cooling in sea surface temperatures south of the Indonesian island of Java, but the series of events that causes this strong cooling has not been well understood previously. This paper uses the results obtained from a high-resolution ocean model, together with a new method for analyzing these results, to study exactly how much sea surface cooling (or warming) is caused by specific processes in the Java region. The study finds that changes in wind patterns adjacent to the Indonesian island of Sumatra can explain nearly all of the unusual cooling that develops south of Java in years when these pIOD events happen. The analysis method introduced in this paper may be adapted to study how processes in the ocean or atmosphere cause changes in the Earth's climate system.</t>
  </si>
  <si>
    <t>[Delman, Andrew S.; McClean, Julie L.; Sprintall, Janet; Talley, Lynne D.] Univ Calif San Diego, Scripps Inst Oceanog, La Jolla, CA 92093 USA; [Delman, Andrew S.] CALTECH, Jet Prop Lab, Pasadena, CA 91125 USA; [Bryan, Frank O.] Natl Ctr Atmospher Res, Climate &amp; Global Dynam Div, POB 3000, Boulder, CO 80307 USA</t>
  </si>
  <si>
    <t>University of California System; University of California San Diego; Scripps Institution of Oceanography; National Aeronautics &amp; Space Administration (NASA); NASA Jet Propulsion Laboratory (JPL); California Institute of Technology; National Center Atmospheric Research (NCAR) - USA</t>
  </si>
  <si>
    <t>NASA Earth and Space Science Fellowship; NASA(National Aeronautics &amp; Space Administration (NASA)); DOE Office of Science(United States Department of Energy (DOE)); National Science Foundation through NCAR; CNES(Centre National D'etudes Spatiales); Scripps/UCSD NCAR New and Young (SUNNY) fellowship program; U.S. Department of Energy (DOE)(United States Department of Energy (DOE)); NASA(National Aeronautics &amp; Space Administration (NASA))</t>
  </si>
  <si>
    <t>Andrew Delman (ASD) was supported by a NASA Earth and Space Science Fellowship, grant NNX13AM93H. Julie McClean (JLM) and Janet Sprintall (JS) were supported by NASA award NNX13AO38G. JLM was also supported by DOE Office of Science grant DE-SC0012778. Frank Bryan was supported by the National Science Foundation through its sponsorship of NCAR. The authors are very grateful to Benjamin Johnson and James Carton for generously allowing use of output from their POP simulation to compute the temperature budget; computing resources for the model run and subsequent analyses were provided on the Yellowstone high-performance computing system (Computational and Information Systems Laboratory, 2012). Output from the POP simulation for the region surrounding Java and Sumatra is available through the Research Data Archive (RDA) at NCAR (https://doi.org/10.5065/D64Q7STB). The code used in the temperature budget analyses may be accessed through GitHub (https://github.com/andrewdelman/Temperature-budget-from-POP). The optimal interpolation SST data were produced and distributed through the National Centers for Environmental Information (NCEI) of NOAA (https://www.ncdc.noaa.gov/oisst). The altimeter products were produced by Ssalto/Duacs and distributed by Aviso, with support from CNES (http://www.aviso.oceanobs.com/duacs/). The CCMP wind data were obtained from the Physical Oceanography Distributed Active Archive Center (PO.DAAC) at the NASA Jet Propulsion Laboratory, Pasadena, CA (http://podaac.jpl.nasa.gov). ASD also benefited from support provided through the Scripps/UCSD NCAR New and Young (SUNNY) fellowship program, which enabled him to visit NCAR and collaborate with Frank Bryan.</t>
  </si>
  <si>
    <t>10.1029/2017JC013749</t>
  </si>
  <si>
    <t>WOS:000440834100014</t>
  </si>
  <si>
    <t>Li, Wei; MacBean, Natasha; Ciais, Philippe; Defourny, Pierre; Lamarche, Celine; Bontemps, Sophie; Houghton, Richard A.; Peng, Shushi</t>
  </si>
  <si>
    <t>Land-use and land-cover change (LULCC) impacts local energy and water balance and contributes on global scale to a net carbon emission to the atmosphere. The newly released annual ESA CCI (climate change initiative) land cover maps provide continuous land cover changes at 300 m resolution from 1992 to 2015, and can be used in land surface models (LSMs) to simulate LULCC effects on carbon stocks and on surface energy budgets. Here we investigate the absolute areas and gross and net changes in different plant functional types (PFTs) derived from ESA CCI products. The results are compared with other datasets. Global areas of forest, cropland and grassland PFTs from ESA are 30.4, 19.3 and 35.7 million km(2) in the year 2000. The global forest area is lower than that from LUH2v2h (Hurtt et al., 2011), Hansen et al. (2013) or Houghton and Nassikas (2017) while cropland area is higher than LUH2v2h (Hurtt et al., 2011), in which cropland area is from HYDE 3.2 (Klein Goldewijk et al., 2016). Gross forest loss and gain during 1992-2015 are 1.5 and 0.9 million km(2) respectively, resulting in a net forest loss of 0.6 million km(2), mainly occurring in South and Central America. The magnitudes of gross changes in forest, cropland and grassland PFTs in the ESA CCI are smaller than those in other datasets. The magnitude of global net cropland gain for the whole period is consistent with HYDE 3.2 (Klein Goldewijk et al., 2016), but most of the increases happened before 2004 in ESA and after 2007 in HYDE 3.2. Brazil, Bolivia and Indonesia are the countries with the largest net forest loss from 1992 to 2015, and the decreased areas are generally consistent with those from Hansen et al. (2013) based on Landsat 30 m resolution images. Despite discrepancies compared to other datasets, and uncertainties in converting into PFTs, the new ESA CCI products provide the first detailed long-term time series of land-cover change and can be implemented in LSMs to characterize recent carbon dynamics, and in climate models to simulate land-cover change feedbacks on climate. The annual ESA CCI land cover products can be downloaded from http://maps.elie.ucl.ac.be/CCI/viewer/download.php (Land Cover Maps - v2.0.7; see details in Sect. 5). The PFT map translation protocol and an example in 2000 can be downloaded from https://doi.org/10.5281/zenodo.834229. The annual ESA CCI PFT maps from 1992 to 2015 at 0.5 degrees x 0.5 degrees resolution can also be downloaded from https://doi.org/10.5281/zenodo.1048163.</t>
  </si>
  <si>
    <t>[Li, Wei; Ciais, Philippe] Univ Paris Saclay, UVSQ, CNRS, CEA,IPSL,LSCE, F-91191 Gif Sur Yvette, France; [MacBean, Natasha] Univ Arizona, Sch Nat Resources &amp; Environm, Tucson, AZ 85721 USA; [Defourny, Pierre; Lamarche, Celine; Bontemps, Sophie] Catholic Univ Louvain, Earth &amp; Life Inst, Environm Sci, Louvain La Neuve, Belgium; [Houghton, Richard A.] Woods Hole Res Ctr, Falmouth, MA USA; [Peng, Shushi] Peking Univ, Coll Urban &amp; Environm Sci, Sinofrench Inst Earth Syst Sci, Beijing 100871, Peoples R China</t>
  </si>
  <si>
    <t>Universite Paris Saclay; Universite Paris Cite; CEA; Centre National de la Recherche Scientifique (CNRS); University of Arizona; Universite Catholique Louvain; Woodwell Climate Research Center; Peking University</t>
  </si>
  <si>
    <t>European-Commission(European Union (EU)European Commission Joint Research Centre); European Research Council(European Research Council (ERC)); Climate Change Initiative program; European Space Agency(European Space Agency)</t>
  </si>
  <si>
    <t>Wei Li was supported by the European-Commission-funded project LUC4C (grant no. 603542). Wei Li and Philippe Ciais were supported by the European Research Council through Synergy grant ERC-2013-SyG-610028 IMBALANCEP. Natasha MacBean, Sophie Bontemps, Celine Lamarche and Pierre Defourny were supported by the Climate Change Initiative program supported by the European Space Agency.</t>
  </si>
  <si>
    <t>1866-3508</t>
  </si>
  <si>
    <t>1866-3516</t>
  </si>
  <si>
    <t>EARTH SYST SCI DATA</t>
  </si>
  <si>
    <t>Earth Syst. Sci. Data</t>
  </si>
  <si>
    <t>JAN 30</t>
  </si>
  <si>
    <t>10.5194/essd-10-219-2018</t>
  </si>
  <si>
    <t>WOS:000423726200001</t>
  </si>
  <si>
    <t>Gong, Zhiqiang; Feng, Guolin; Dogar, Muhammad Mubashar; Huang, Gang</t>
  </si>
  <si>
    <t>The anomalous characteristics of summer precipitation and atmospheric circulation in the East Asia-West Pacific Region (EA-WP) associated with the co-action of East Asia/Pacific teleconnection-Silk Road teleconnection (EAP-SR) are investigated in this study. The compositions of EAP-SR phase anomalies can be expressed as pattern I (+ +), pattern II (+ -), pattern III (- -), and pattern IV (- +) using EAP and SR indices. It is found that the spatial distribution of summer precipitation anomalies in EA-WP corresponding to pattern I (III) shows a tripole structure in the meridional direction and a zonal dipole structure in the subtropical region, while pattern II (IV) presents a tripole pattern in meridional direction with compressed and continuous anomalies in the zonal direction over the subtropical region. The similar meridional and zonal structures are also found in the geopotential height anomalies at 500-hPa, as well as wind anomalies and moisture convergence at 850-hPa. Finally, a schematic mechanism for the EAP-SR co-action upon the summer precipitation in EA-WP is built: (1) Pattern I (III) exhibits that the negative (positive) sea surface temperature (SST) anomalies over tropical East Pacific may cause the enhanced (weakened) convective activity dominating the West Pacific, trigger the positive (negative) EAP teleconnection and produce more (less) precipitation. Besides, the negative (positive) SST anomalies over the Indonesia Maritime Continent (IMC) may further weaken (strengthen) anomalous downward (upward) motion over the South China Sea (SCS), cause negative (positive) geopotential height anomalies at the middle troposphere and surrounding regions through the function of the tropical Hadley circulation. Then the negative (positive) geopotential height anomalies could motivate the positive (negative) EAP teleconnection through the northward propagation of wave-activity perturbation. Meanwhile, a positive (negative) geopotential height anomalous pattern over Eastern Europe motivates a Rossby wave train propagation from Western Europe to west-central Asia. This circumstance can cause suppressed (enhanced) convection and less (more) precipitation over northwestern India and Pakistan, which could strengthen the negative (positive) geopotential height and positive (negative) vorticity anomalies over central East Asia, resulting in a negative (positive) SR teleconnection along the Asian jet stream. A positive (negative) lobe over the Korean Peninsula and Japan corresponding to SR overlaps with a positive (negative) lobe of EAP, which strengthens the anomalous phase contrast on both sides of 120A degrees E. Accordingly, summer precipitation anomalies in EA-WP exhibit the meridional tripole pattern and the zonal dipole pattern. (2) Pattern II (IV) indicates that the normal SST anomalies over the tropical East Pacific cause the weak tele-impact on the tropical West Pacific, while the positive (negative) SST anomalies over the IMC will lead to a negative (positive) lobe of EAP over the subtropical region. This circumstance can weaken the positive (negative) lobe of SR over subtropical region, causing compressed and continuous negative (positive) anomalies of 500-hPa geopotential height and positive (negative) surface precipitation anomalies from central East China to Japan.</t>
  </si>
  <si>
    <t>[Gong, Zhiqiang; Feng, Guolin] Natl Climate Res Ctr CMA, Lab Climate Studies, Beijing 100081, Peoples R China; [Dogar, Muhammad Mubashar] King Abdullah Univ Sci &amp; Technol, Earth Sci &amp; Engn, Thuwal, Saudi Arabia; [Dogar, Muhammad Mubashar] Minist Climate Change, Global Change Impact Studies Ctr, Islamabad, Pakistan; [Huang, Gang] Chinese Acad Sci, Inst Atmospher Phys, Beijing 100029, Peoples R China</t>
  </si>
  <si>
    <t>King Abdullah University of Science &amp; Technology; Chinese Academy of Sciences; Institute of Atmospheric Physics, CAS</t>
  </si>
  <si>
    <t>The authors wish to thank anonymous reviewers' meaningful comments that led to a much-improved manuscript. Thanks also are extended to Dr. Pete Saunders for his great help in improving the writing of this manuscript. This work is supported by the National Natural Science Foundation of China (Grant Nos. 41575082, 41530531, and 41475064), the Special Scientific Research Project for Public Interest (Grant No. GYHY201306021).</t>
  </si>
  <si>
    <t>10.1007/s00382-017-3967-4</t>
  </si>
  <si>
    <t>WOS:000439440200014</t>
  </si>
  <si>
    <t>Blunden, Jessica; Arndt, Derek S.; Aaron-Morrison, Arlene P.; Ackerman, Steven A.; Albanil, Adelina; Alfaro, Eric J.; Allan, Rob; Alves, Lincoln M.; Amador, Jorge A.; Ambenje, Peter; Anderson, L.; Andreassen, L. M.; Antonov, John; Arendt, A.; Arevalo, Juan; Arndt, Derek S.; Ashik, I.; Atheru, Zachary; Augustine, John; Baklanov, A.; Banzon, Viva; Baringer, Molly O.; Barreira, Sandra; Barriopedro, David; Baxter, Stephen; Bazo, Juan; Becker, Andreas; Behrenfeld, Michael J.; Bell, Gerald D.; Benedetti, Angela; Bernhard, Germar; Berrisford, Paul; Berry, David I.; Bhatt, U. S.; Bidegain, Mario; Bindoff, Nathan; Bissolli, Peter; Blake, Eric S.; Blenman, Rosalind C.; Blunden, Jessica; Bosilovich, Michael; Box, J. E.; Boyer, Tim; Braathen, Geir O.; Bromwich, David H.; Brown, Glenroy; Brown, L. C.; Brown, R.; Bruhwiler, Lori; Bulygina, Olga N.; Burgess, D.; Butler, Mary; Calderon, Blanca; Camargo, Suzana J.; Campbell, Garret G.; Campbell, Jayaka D.; Cappelen, John; Carrasco, Gualberto; Chambers, Don P.; Chang'a, L.; Chappell, Petra R.; Christiansen, Hanne H.; Christy, John R.; Chung, D.; Ciais, Phillipe; Clem, Kyle R.; Coelho, Caio A. S.; Coldewey-Egbers, Melanie; Colwell, Steve; Cooper, Owen R.; Coulibaly, K. Alama; Cox, C.; Cross, J. N.; Crouch, Jake; Cunningham, Stuart A.; Dahlback, A.; Davis, Sean M.; de Jeu, Rochard A. M.; Dekaa, Francis S.; Derksen, Chris; Diamond, Howard J.; Dlugokencky, Ed J.; Dohan, Kathleen; Dolman, A. Johannes; Domingues, Catia M.; Donat, Markus; Dong, Shenfu; Dorigo, Wouter A.; Drozdov, D. S.; Duguay, Claude; Dunn, Robert J. H.; Duran-Quesada, Ana M.; Dutton, Geoff S.; Ebrahim, Awatif; Elkins, James W.; Espinoza, Jhan C.; Euscategui, Christian; Evans, W.; Evans, Thomas E.; Famigliette, James S.; Fauchereau, Nicolas C.; Feely, Richard A.; Fenimore, Chris; Fettweis, X.; Fioletov, Vitali E.; Flanner, M. G.; Flemming, Johannes; Fogarty, Chris T.; Fogt, Ryan L.; Folland, Chris K.; Foster, Michael J.; Frajka-Williams, Eleanor; Francis, Jennifer; Franz, Bryan A.; Frith, Stacey M.; Frolov, I.; Ganter, Catherine; Garzoli, Silvia; Geai, M. -L.; Gerland, S.; Gitau, Wilson; Gleason, Karin L.; Gobron, Nadine; Goldenberg, Stanley B.; Goni, Gustavo; Gonzalez, Idelmis T.; Good, Simon A.; Gottschalck, Jonathan; Gregg, Margarita C.; Grooss, Jnes-Uwe; Guard, Charles P. 'Chip'; Gugliemin, Mauro; Gupta, Shashi K.; Ha, H. K.; Hahn, S.; Hall, Bradley D.; Halpert, Michael S.; Hamlington, Ben; Hanna, E.; Hanssen-Bauer, I.; Harada, Yayoi; Haran, Terry; Heidinger, Andrew K.; Heikkila, Anu; Heim, Richard R.; Hendricks, S.; Herber, A.; Hidalgo, Hugo G.; Hilburn, Kyle; Ho, Shu-oeng; Hobbs, Will R.; Hovhannisyan, Diana; Hu, Zeng-Zhen; Hurst, Dale F.; Ingvaldsen, R.; Inness, Antje; James, I. A.; Jeffries, Martin O.; Jensen, T. S.; Jin, Xiangze; Hole, M. A.; Johns, William E.; Johnsen, Bjorn; Johnson, Bryan; Johnson, Gregory C.; Jones, Luke T.; Jumaux, Guillaume; Kabidi, Khadija; Kaiser, Johannes W.; Kang, Kyun-Kuk; Kanzow, Torsten O.; Kao, Hsun-Ying; Keller, Linda M.; Kendon, Michael; Kennedy, John J.; Key, Jeff; Khatiwala, Samar; Kheyrollah, Pour H.; Kholodov, A. L.; Khoshkam, Mahbobeh; Kijazi, Agnes; Kikuchi, T.; Kim, B. -M.; Kim, Hyuanjun; Kim, S. -J.; Kim, T. W.; Kimberlain, Todd B.; Klotzbach, Philip; Knaff, John A.; Kohler, J.; Korshunova, Natalia N.; Koskela, Tapani; Kramarova, Natalya; Kratz, David P.; Krishfield, R.; Kruger, Andries; Kruk, Michael C.; Kumar, Arun; Kupiainen, K.; Lagerloef, Gary S. E.; Lakkala, Kaisa; Lander, Mark A.; Landsea, Chris W.; Lankhorst, Matthias; Lantz, Kathy O.; Laurila, T.; Law, K. S.; Lazzara, Matthew A.; Leuliette, Eric; Levira, Pamela; Salaam, Tanzania; L'Heureux, Michelle; Lieser, Jan; Lin, I. -I.; Liu, Hongxing; Liu, Y. Y.; Liu, Yinghui; Lobato-Sanchez, Rene; Locarnini, Ricardo; Loeb, Norman G.; Loeng, H.; Long, Craig S.; Lorrey, Andrew M.; Loyola, Diego; Luhunga, P.; Lumpkin, Rick; Luo, Jing-Jia; Luojus, K.; Lyman, John M.; Macara, Gregor R.; Maddux, Brent C.; Malkova, G. V.; Manney, Gloria; Marcellin-Honore, Vernie; Marchenko, S. S.; Marengo, Jose A.; Marotzke, Jochem; Marra, John J.; Rodney, Martinez-Gueingla; Massom, Robert A.; Mathis, Jeremy T.; McBride, Charlotte; McCarthy, Gerard; McGree, Simon; McInnes, Kathleen; McLean, Natalie; McVicar, Tim; Mears, Carl A.; Meier, W.; Meinen, Christopher S.; Menendez, Melisa; Merrifield, Mark A.; Mitchum, Gary T.; Montzka, Stephen A.; Morcrette, Jean-Jacques; Mote, Thomas; Muhle, Jens; Mullan, A. Brett; Muller, Rolf; Nash, Eric R.; Nerem, R. Steven; Newlin, Michele L.; Newman, Paul A.; Ng'ongolo, H.; Nicolaus, M.; Nieto, Juan J.; Nishino, S.; Nitsche, Helga; Noetzli, Jeannette; Oberman, N. G.; Obregon, Andre; Ogallo, Laban A.; Ohno, Hiroshi; Oki, Taikan; Oludhe, Christopher S.; Overland, James; Oyunjargal, Lamjav; Parinussa, Robert M.; Park, E-Hyung; Parker, David; Pasch, Richard J.; Pascual-Ramirez, Reynaldo; Paulik, C.; Pelto, Mauri S.; Penalba, Olga C.; Peng, Liang; Perovich, Don; Pezza, Alexandre B.; Phillips, David; Pickart, R.; Pinty, Bernard; Pitts, Michael C.; Polyakov, I.; Pope, Allen; Porter, Avalon O.; Quegan, Shaun; Quinn, P. K.; Rabe, B.; Rahimzadeh, Fatemeh; Rajeevan, Madhavan; Rakotomavo, Zo; Rayner, Darren; Rayner, Nick A.; Razuvaev, Vyacheslav N.; Ready, Steve; Reagan, James; Reid, Phillip; Reimer, C.; Remy, Samuel; Rennermalm, A. K.; Rennie, Jared; Renwick, James A.; Revadekar, Jayashree V.; Richter-Menge, Jacqueline; Rivera, Ingrid L.; Robinson, David A.; Rodell, Matthew; Romanovsky, Vladimir E.; Ronchail, Josyane; Rosenlof, Karen H.; Sabine, Christopher L.; Sanchez-Lugo, Ahira; Santee, Michelle L.; Santoro, M.; Sawaengphokhai, P.; Sayouri, Amal; Scambos, Ted A.; Schauer, U.; Schemm, Jae; Schlosser, P.; Schmale, J.; Schmid, Claudia; Schreck, Carl J.; Send, Uwe; Sensoy, Serhat; Setzer, Alberto; Sharma, S.; Sharp, Martin; Shiklomanov, Nicolai I.; Shu, Song; Siegel, David A.; Sima, Fatou; Simmons, Adrian; Smeed, David A.; Smethie, W. M.; Smith, Cathy; Smith, L. C.; Smith, Sharon L.; Smith, Thomas M.; Sokolov, V.; Spence, Jacqueline M.; Srivastava, A. K.; Stackhouse, Paul W.; Stammerjohn, Sharon; Steele, M.; Steinbrecht, Wolfgang; Stella, Jose L.; Stengel, M.; Stephenson, Tannecia S.; Stohl, A.; Stone, R.; Streletskiy, D. A.; Svendby, T.; Sweet, William; Takahashi, Taro; Tanaka, Shotaro; Tang, Q.; Taylor, Michael A.; Tedesco, Marco; Thiaw, Wassila M.; Thompson, Philip; Thorne, Peter W.; Timmermans, Mary-Louise; Tobin, Isabelle; Tobin, Skie; Toole, J.; Trachte, Katja; Trewin, Blair C.; Trigo, Ricardo; Trotman, Adrian R.; Tschudi, M.; van de Wal, Roderik S. W.; van der A, Ronald J.; van der Werf, Guido R.; Vautard, Robert; Vavrus, S.; Vazquez, J. L.; Vega, Carla; Vestreng, V.; Vincent, Lucie A.; Volkov, Denis; von Salzen, K.; Vose, Russell S.; Wagner, Wolfgang W.; Wahr, John; Walden, V.; Walsh, J.; Wang, Bin; Wang, Chunzai; Wang, Guojie; Wang, Junhong; Wang, Lei; Wang, M.; Wang, Sheng-Hung; Wang, Shujie; Wanninkhof, Rik; Weaver, Scott J.; Weber, Mark; Werdell, P. Jeremy; Whitewood, Robert; Wilber, Anne C.; Wild, Jeannette D.; Willett, Kate M.; Williams, W.; Willis, Joshua K.; Wolken, G.; Wong, Takmeng; Woodgate, R.; Worthy, D.; Wouters, B.; Xue, Yan; Yamada, Ryuji; Yamamoto-Kawai, M.; Yin, Xungang; Yoshimatsu, Kazuyoshi; Yu, Lisan; Zambrano, Eduardo; Zhang, Peiqun; Zhao, Lin; Ziemke, Jerry; Zimmermann, S.</t>
  </si>
  <si>
    <t>In 2013, the vast majority of the monitored climate variables reported here maintained trends established in recent decades. ENSO was in a neutral state during the entire year, remaining mostly on the cool side of neutral with modest impacts on regional weather patterns' around the world. This follows several years dominated by the effects of either La Nina. or El Nino events. According to several independent analyses, 2013 was again among the 10 warmest years on record at the global scale, both at the Earth's surface and through the troposphere. Some regions in the Southern Hemispherehad record or near-record high temperatures for the year. Australia observed its hottest year on record, while Argentina and New Zealand reported their second and third hottest years, respectively. In Antarctica, Amundsen-Scott South Pole Station reported its highest annual temperature since records began in 1957 At the opposite pole, the Arctic observed its seventh warmest year since record's began in the early 20th century. At 20-m depth, record high temperatures were measured at some permafrost stations on the North Slope Of Alaska and in the Brooks Range. In the Northern Hemisphere extratropics, anomalous meridional atmospheric circulation occurred throughout much of the year leading to marked regional extremes of both temperature and precipitation. Cold temperature anomalies during Winter across Eurasia were followed by warm Spring temperature anomalies, which, were linked to a new record Eurasian snow cover extent in the May. Minimum sea ice extent in the :Arctic was the sixth lowest since satellite Observations began in 1979. Including 2013, all seven lowest extents on record have occurred in the past seven years Antarctica, on the other hand, had above average sea ice extent throughout 2013, with 116 days Of new daily high extent records, inclding a new daily maximum sea ice area of 19.57 million km(2) reached on 1 October. ENSO-neutral conditions in the eastern central Pacific Ocean and a negative Pacific decadal oscillation pattern in the North Pacific had the largest impacts on the global sea surface temperature in 2013: The North Pacific reached a historic high temperature in 2013 and on balance the globally-averaged sea surface temperature was among the 10 highest on record. Overall, the salt Content in near-surface ocean waters increased while in intermediate waters it decreased. Global mean sea level continued to rise during 2013, on pace with a trend of 3,2 mm yr(-1) over the past two decades. A portion of this trend (0.5 mm yr(-1)) has been attributed to natural variability associated with the Pacific decadal oscillation as Well as to ongoing contribution from the melting of glaciers and ice sheets and ocean warming. Global tropical cyclone frequency during 2013 was slightly above average with a total of 94 storms, although the North Atlantic Basin had its quietest hurricane season since 1994. In the Western North Pacific Basin, Super Typhoon Haiyan, the deadliest tropical Cyclone of 2013, had 1-minute sustained winds estimated to be 170 kt (OS m s(-1)) on 7 November, the highest Wind speed ever assigned to a tropical cyclone. High storm surge was also associated with Haiyan at it Made landfall over the central Philippines, an area where sea level is currently at historic highs increasing by 200 mm since 1970. In the atmosphere, carbon dioxide, methane, and nitrous oxide all Continued to increase in 2013. As in previous our years, each of these Major greenhouse gases once again reached historic high Concentrations. In the Arctic carbon dioxide and methane:, Increased at the same rate as:the global increase. These increases are likely due to export from lower latitudes rather than a consequence Of increases in Arctic sources such as thawing permafrost., At Mauna Loa, Hawaii, for the first time since measurement began in 1958, the daily average Mixing ratio Of carbon dioxide exceeded 400 ppm on 9 May. The state of these variables, along with dozens of others, and the 2013 climate conditions of regions around the world are discussed in further detail in this 24th, edition of the State of the Climate series.</t>
  </si>
  <si>
    <t>[Ackerman, Steven A.] Trinidad &amp; Tobago Meteorol Serv, Piarco, Trinidad Tobago; [Ackerman, Steven A.; Foster, Michael J.] Univ Wisconsin Madison, CIMSS, Madison, WI 53706 USA; [Albanil, Adelina; Lobato-Sanchez, Rene; Pascual-Ramirez, Reynaldo; Vega, Carla] Natl Meteorol Serv Mexico, Mexico City, DF, Mexico; [Alfaro, Eric J.; Amador, Jorge A.; Calderon, Blanca; Duran-Quesada, Ana M.; Hidalgo, Hugo G.; Rivera, Ingrid L.; Vega, Carla] Univ Costa Rica, Ctr Geophys Res, San Jose, Costa Rica; [Alfaro, Eric J.; Amador, Jorge A.; Duran-Quesada, Ana M.; Hidalgo, Hugo G.] Univ Costa Rica, Sch Phys, San Jose, Costa Rica; [Allan, Rob; Dunn, Robert J. H.; Folland, Chris K.; Good, Simon A.; Kendon, Michael; Kennedy, John J.; Parker, David; Rayner, Nick A.; Willett, Kate M.] Met Off Hadley Ctr, Exeter, Devon, England; [Alves, Lincoln M.; Marengo, Jose A.] INPE, CCST, Sao Paulo, Brazil; [Ambenje, Peter] KMD, Nairobi, Kenya; [Anderson, L.] Gothenburg Univ, Dept Chem &amp; Mol Biol, S-41124 Gothenburg, Sweden; [Andreassen, L. M.] Sect Glaciers Snow &amp; Ice, Norwegian Water Resources &amp; Energy Directorate, Oslo, Norway; [Antonov, John; Boyer, Tim; Diamond, Howard J.; Gregg, Margarita C.; Locarnini, Ricardo; Newlin, Michele L.; Reagan, James] NOAA NESDIS Natl Oceanog Data Ctr, Silver Spring, MD USA; [Antonov, John] Univ Corp Atmospher Res, Boulder, CO USA; [Arendt, A.; Bhatt, U. S.; Marchenko, S. S.; Romanovsky, Vladimir E.] Univ Alaska Fairbanks, Geophys Inst, Fairbanks, AK USA; [Arevalo, Juan] Inst Nacl Meteorol &amp; Hidrol Venezuela INAMEH, Caracas, Venezuela; [Arndt, Derek S.; Banzon, Viva; Crouch, Jake; Gleason, Karin L.; Heim, Richard R.; Sanchez-Lugo, Ahira; Vose, Russell S.] NOAA NESDIS Natl Climat Data Ctr, Asheville, NC USA; [Ashik, I.; Frolov, I.; Sokolov, V.] Arctic &amp; Antarctic Res Inst, St Petersburg, Russia; [Atheru, Zachary; Ogallo, Laban A.] IGAD Climate Predict &amp; Applicat Ctr ICPAC, Nairobi, Kenya; [Augustine, John; Cooper, Owen R.; Davis, Sean M.; Dlugokencky, Ed J.; Dutton, Geoff S.; Elkins, James W.; Hall, Bradley D.; Hurst, Dale F.; Johnson, Bryan; Lantz, Kathy O.; Montzka, Stephen A.; Rosenlof, Karen H.; Smith, Cathy; Stone, R.] NOAA OAR Earth Syst Res Lab, Boulder, CO USA; [Baklanov, A.] World Meteorol Org, Res Dept, Geneva, Switzerland; [Baringer, Molly O.; Dong, Shenfu; Garzoli, Silvia; Goldenberg, Stanley B.; Goni, Gustavo; Lumpkin, Rick; Meinen, Christopher S.; Schmid, Claudia; Volkov, Denis; Wang, Chunzai; Wanninkhof, Rik] NOAA OAR Atlantic Oceanog &amp; Meteorol Lab, Miami, FL USA; [Barreira, Sandra] Argentine Naval Hydrog Serv, Buenos Aires, DF, Argentina; [Barriopedro, David] UCM, Madrid, Spain; [Baxter, Stephen; Bell, Gerald D.; Gottschalck, Jonathan; Halpert, Michael S.; Hu, Zeng-Zhen; Kumar, Arun; L'Heureux, Michelle; Thiaw, Wassila M.; Weaver, Scott J.; Wild, Jeannette D.; Xue, Yan] NOAA NWS Climate Predict Ctr, College Pk, MD USA; [Bazo, Juan; Carrasco, Gualberto] Serv Nacl Meteorol &amp; Hidrol Bolivia SENAMHI, Lima, Peru; [Becker, Andreas; Schemm, Jae] Deutsch Wetterdienst, Global Precipitat Climatol Ctr, Offenbach, Germany; [Behrenfeld, Michael J.] Oregon State Univ, Corvallis, OR USA; [Benedetti, Angela; Flemming, Johannes; Inness, Antje; Jones, Luke T.; Kaiser, Johannes W.; Morcrette, Jean-Jacques; Remy, Samuel; Simmons, Adrian] European Ctr Medium Range Weather Forecasts, Reading, Berks, England; [Bernhard, Germar] Biospher Instruments, San Diego, CA USA; [Berrisford, Paul] European Ctr Medium Range Weather Forecasts, NCAS Climate, Reading, Berks, England; [Berry, David I.; Frajka-Williams, Eleanor; McCarthy, Gerard; Rayner, Darren; Smeed, David A.] Natl Oceanog Ctr, Southampton, Hants, England; [Bidegain, Mario] Inst Uruguayo Meteorologia, Montevideo, Uruguay; [Bindoff, Nathan; Domingues, Catia M.] Antarctic Climate &amp; Ecosyst Cooperat Res Ctr, Hobart, Tas, Australia; [Bindoff, Nathan] CSIRO Marine &amp; Atmospher Labs, Hobart, Tas, Australia; [Bissolli, Peter; Obregon, Andre] Deutscher Wetterdienst, WMO RA VI Reg Climate Ctr Network, Offenbach, Germany; [Blake, Eric S.; Kimberlain, Todd B.; Landsea, Chris W.; Pasch, Richard J.] NOAA NWS Natl Hurricane Ctr, Miami, FL USA; [Blenman, Rosalind C.] Barbados Meteorol Serv, Christ Church, Barbados; [Blunden, Jessica; Fenimore, Chris; Kruk, Michael C.; Yin, Xungang] NOAA NESDIS Natl Climat Data Ctr, ERT Inc, Asheville, NC USA; [Bosilovich, Michael] NASA Goddard Space Flight Ctr, Global Modeling &amp; Assimilat Off, Greenbelt, MD USA; [Box, J. E.; Jensen, T. S.] Geol Survey Denmark &amp; Greenland, Copenhagen, Denmark; [Braathen, Geir O.] WMO Atmospher Environm Res Div, Geneva, Switzerland; [Bromwich, David H.; Wang, Sheng-Hung] Ohio State Univ, Byrd Polar Res Ctr, Columbus, OH USA; [Brown, Glenroy] Meteorological Serv, Kingston, Jamaica; [Brown, L. C.; Derksen, Chris; Worthy, D.] Environm Canada, Climate Res Div, Toronto, ON, Canada; [Brown, R.] Environm Canada, Climate Res Div, Quebec City, PQ, Canada; [Bruhwiler, Lori] NOAA OAR Earth Syst Res Lab, Global Monitoring Div, Boulder, CO USA; [Bulygina, Olga N.] Russian Inst Hydrometeorol Informat, Obninsk, Russia; [Burgess, D.] Geol Survey Canada, Ottawa, ON, Canada; [Calderon, Blanca] Dept Meteorol, Nassau, Bahamas; [Camargo, Suzana J.; Khatiwala, Samar; Schlosser, P.; Smethie, W. M.; Takahashi, Taro] Columbia Univ, Lamont Doherty Earth Observ, Palisades, NY USA; [Campbell, Garret G.; Haran, Terry; Pope, Allen; Scambos, Ted A.] Univ Colorado, Natl Snow &amp; Ice Data Ctr, Boulder, CO USA; [Campbell, Jayaka D.; McLean, Natalie; Stephenson, Tannecia S.; Taylor, Michael A.] Univ West Indies, Dept Phys, Mona, Jamaica; [Cappelen, John] Danish Meteorol Inst, Copenhagen, Denmark; [Chambers, Don P.; Mitchum, Gary T.] Univ S Florida, Coll Marine Sci, St Petersburg, FL USA; [Chang'a, L.; Kijazi, Agnes; Levira, Pamela; Luhunga, P.; Ng'ongolo, H.] Tanzania Meteorol Agcy, Dar Es Salaam, Tanzania; [Chappell, Petra R.; Fauchereau, Nicolas C.; Lorrey, Andrew M.; Macara, Gregor R.] Natl Inst Water &amp; Atmosphere Res Ltd, Auckland, New Zealand; [Christiansen, Hanne H.] Univ Ctr Svalbard, Dept Geol, UNIS, Svalbard, Norway; [Christiansen, Hanne H.] Univ Copenhagen, Dept Geosci &amp; Nat Resources Management, Ctr Permafrost, CENPERM, DK-1168 Copenhagen, Denmark; [Christy, John R.] Univ Alabama, Huntsville, AL USA; [Chung, D.; Dorigo, Wouter A.; Hahn, S.; Paulik, C.; Reimer, C.; Wagner, Wolfgang W.] Vienna Univ Technol, A-1040 Vienna, Austria; [Ciais, Phillipe] LCSE, Gif Sur Yvette, France; [Clem, Kyle R.; Fogt, Ryan L.] Ohio Univ, Dept Geog, Athens, OH 45701 USA; [Coelho, Caio A. S.] CPTEC INPE Ctr Weather Forecasts &amp; Climate Studie, Cachoeira Paulista, Brazil; [Coldewey-Egbers, Melanie; Loyola, Diego] DLR German Aerospace Ctr, Oberpfaffenhofen, Germany; [Colwell, Steve] British Antarctic Survey, Cambridge, England; [Cooper, Owen R.; Cox, C.; Davis, Sean M.; Dutton, Geoff S.; Hurst, Dale F.; Lantz, Kathy O.; Smith, Cathy; Stone, R.] Univ Colorado, Cooperat Inst Res Environm Sci, Boulder, CO USA; [Coulibaly, K. Alama] SODEXAM, Natl Meteorol Serv, Abidjan, Cote Ivoire; [Cross, J. N.; Evans, W.; Feely, Richard A.; Johnson, Gregory C.; Lyman, John M.; Mathis, Jeremy T.; Overland, James; Quinn, P. K.; Sabine, Christopher L.] NOAA OAR Pacific Marine Environ Lab, Seattle, WA USA; [Cross, J. N.; Evans, W.; Mathis, Jeremy T.] Univ Alaska Fairbanks, Ocean Acidificat Res Ctr, Fairbanks, AK USA; [Cunningham, Stuart A.] Scottish Marine Inst Oban, Argyll, Scotland; [Dahlback, A.] Univ Oslo, Dept Phys, N-0316 Oslo, Norway; [de Jeu, Rochard A. M.; Dolman, A. Johannes; Parinussa, Robert M.; van der Werf, Guido R.] Vrije Univ Amsterdam, Dept Earth Sci, Amsterdam, Netherlands; [Dekaa, Francis S.] Nigerian Meteorol Agency, Abuja, Nigeria; [Dohan, Kathleen; Lagerloef, Gary S. E.] Earth &amp; Space Res, Seattle, WA USA; [Donat, Markus] Univ New S Wales, Climate Change Res Ctr, Sydney, NSW 2052, Australia; [Dong, Shenfu; Garzoli, Silvia; Volkov, Denis] Cooperat Inst Marine &amp; Atmospher Sci, Miami, FL USA; [Drozdov, D. S.; Malkova, G. V.] Earth Cryosphere Inst, Tyumen, Russia; [Duguay, Claude; Kang, Kyun-Kuk; Kheyrollah, Pour H.] Univ Waterloo, Interdisciplinary Ctr Climate Change, Waterloo, ON, Canada; [Duguay, Claude; Kang, Kyun-Kuk; Kheyrollah, Pour H.] Univ Waterloo, Dept Geog &amp; Environm Management, Waterloo, ON, Canada; [Ebrahim, Awatif] Egyptian Meteorol Author, Cairo, Egypt; [Euscategui, Christian] Inst Hidrol Meteorol &amp; Estudios Ambientales, Bogota, Colombia; [Espinoza, Jhan C.] Inst Geofis Peru, Lima, Peru; [Evans, Thomas E.] NOAA NWS Cent Pacific Hurricane Ctr, Honolulu, HI USA; [Famigliette, James S.] Univ Calif Irvine, Dept Earth Syst Sci, Irvine, CA USA; [Fauchereau, Nicolas C.] Univ Cape Town, Dept Oceanog, Rondebosch, South Africa; [Fettweis, X.] Univ Liege, Dept Geog, B-4000 Liege, Belgium; [Fioletov, Vitali E.; Phillips, David; Sharma, S.; Vincent, Lucie A.; Whitewood, Robert] Environm Canada, Toronto, ON, Canada; [Flanner, M. G.] Univ Michigan, Dept Atmospher Ocean &amp; Space Sci, Ann Arbor, MI 48109 USA; [Fogarty, Chris T.] Environm Canada, Canadian Hurricane Ctr, Dartmouth, NS, Canada; [Folland, Chris K.] Univ Gothenburg, Dept Earth Sci, Gothenburg, Sweden; [Francis, Jennifer] Rutgers State Univ, Inst Marine &amp; Coastal Sci, Piscataway, NJ USA; [Franz, Bryan A.; Frith, Stacey M.; Meier, W.; Werdell, P. Jeremy; Ziemke, Jerry] NASA, Goddard Space Flight Ctr, Greenbelt, MD USA; [Ganter, Catherine; McGree, Simon; Tobin, Skie; Trewin, Blair C.] Australian Bur Meteorol, Melbourne, Vic, Australia; [Geai, M. -L.; Sharp, Martin] Univ Alberta, Dept Earth &amp; Atmospher Sci, Edmonton, AB, Canada; [Gerland, S.] Norwegian Polar Res Inst, Fram Ctr, Tromso, Norway; [Gitau, Wilson; Oludhe, Christopher S.] Univ Nairobi, Dept Meteorol, Nairobi, Kenya; [Gobron, Nadine; Pinty, Bernard] European Commiss, Joint Res Ctr, Ispra, Italy; [Gonzalez, Idelmis T.] Inst Meteorol, Climate Ctr, Havana, Cuba; [Grooss, Jnes-Uwe; Muller, Rolf] Forschungszentrum Julich, Julich, Germany; [Guard, Charles P. 'Chip'] NOAA NWS Weather Forecast Off, Fairbanks, AK USA; [Gugliemin, Mauro] Insubria Univ, Dept Theoret &amp; Appl Sci, Varese, Italy; [Gupta, Shashi K.; Sawaengphokhai, P.; Wilber, Anne C.] Sci Syst &amp; Applicat Inc, Hampton, VA USA; [Ha, H. K.; Kim, B. -M.; Kim, S. -J.; Kim, T. W.] Korea Polar Res Inst, Incheon, South Korea; [Hamlington, Ben; Nerem, R. Steven] Univ Colorado, Colorado Ctr Astrodynam Res, Boulder, CO USA; [Hanna, E.] Univ Sheffield, Dept Geog, Sheffield S10 2TN, S Yorkshire, England; [Hanssen-Bauer, I.] Norwegian Meteorol Inst, Oslo, Norway; [Harada, Yayoi] Japan Meteorol Agency, Climate Predict Div, Tokyo, Japan; [Heidinger, Andrew K.] Univ Wisconsin Madison, NOAA NESDIS, Madison, WI 53706 USA; [Heikkila, Anu; Koskela, Tapani; Laurila, T.; Luojus, K.] Finnish Meteorol Inst, Helsinki, Finland; [Hendricks, S.; Herber, A.; Nicolaus, M.; Rabe, B.; Schauer, U.] Alfred Wegener Inst, Bremerhaven, Germany; [Hilburn, Kyle; Mears, Carl A.] Remote Sensing Syst, Santa Rosa, CA USA; [Ho, Shu-oeng; Peng, Liang] UCAR COSMIC, Boulder, CO USA; [Hobbs, Will R.] Univ Tasmania, ARC Ctr Excellence Climate Syst Sci, Hobart, Tas 7001, Australia; [Hovhannisyan, Diana] Armenian State Hydrometeorol &amp; Monitoring Serv, Yerevan, Armenia; [Ingvaldsen, R.; Loeng, H.] Inst Marine Res, Bergen, Norway; [James, I. A.] Nigerian Meteorol Agcy, Abuja, Nigeria; [Jeffries, Martin O.] US Arctic Res Commiss, Arlington, VA USA; [Jeffries, Martin O.] Univ Alaska, Fairbanks, AK 99701 USA; [Jin, Xiangze; Krishfield, R.; Pickart, R.; Toole, J.; Yu, Lisan] Woods Hole Oceanog Inst, Woods Hole, MA USA; [Johns, William E.] Rosenstiel Sch Marine &amp; Atmospher Sci, Miami, FL USA; [Johnsen, Bjorn] Norwegian Radiat Protect Author, Osteras, Norway; [Johnson, Bryan; Wouters, B.] Univ Colorado, Boulder, CO 80309 USA; [Jumaux, Guillaume] Meteo France, St Denis, Reunion, France; [Kabidi, Khadija; Sayouri, Amal] Direct Meteorol Natl Maroc, Rabat, Morocco; [Kaiser, Johannes W.] Kings Coll London, London WC2R 2LS, England; [Kaiser, Johannes W.] Max Planck Inst, Mainz, Germany; [Kanzow, Torsten O.] Helmholtz Ctr Ocean Res Kiel GEOMAR, Kiel, Germany; [Kao, Hsun-Ying] Earth &amp; Space Res, Seattle, WA USA; [Keller, Linda M.] Univ Wisconsin Madison, Dept Atmospher &amp; Ocean Sci, Madison, WI USA; [Key, Jeff] NOAA NESDIS Ctr Satellite Applicat &amp; Res, Madison, WI USA; [Kholodov, A. L.] Univ Alaska Fairbanks, Geophys Inst, Fairbanks, AK USA; [Khoshkam, Mahbobeh] IRIMO, Tehran, Iran; [Kikuchi, T.; Nishino, S.] Japan Agcy Marine Earth Sci &amp; Technol, Tokyo, Japan; [Kim, Hyuanjun] Univ Tokyo, Inst Ind Sci, Tokyo 1138654, Japan; [Klotzbach, Philip] Colorado State Univ, Dept Atmospher Sci, Ft Collins, CO 80523 USA; [Knaff, John A.] NOAA NESDIS Ctr Satellite Applicat &amp; Res, Ft Collins, CO USA; [Kohler, J.] Norwegian Polar Res Inst, Tromso, Norway; [Korshunova, Natalia N.; Razuvaev, Vyacheslav N.] World Data Ctr, All Russian Res Inst Hydrometeorol Informat, Obninsk, Russia; [Kramarova, Natalya; Nash, Eric R.] NASA Goddard Space Flight Ctr, Sci Syst &amp; Applicat Inc, Greenbelt, MD USA; [Kratz, David P.; Loeb, Norman G.; Pitts, Michael C.; Stackhouse, Paul W.; Wong, Takmeng] NASA, Langley Res Ctr, Hampton, VA USA; [Kruger, Andries; McBride, Charlotte] South African Weather Serv, Pretoria, South Africa; [Kupiainen, K.] Finnish Environm Inst, Helsinki, Finland; [Lakkala, Kaisa] Arctic Res Ctr, Finnish Meteorol Inst, Sodankyla, Finland; [Lander, Mark A.] Univ Guam, Mangilao, GU USA; [Lankhorst, Matthias; Muhle, Jens; Send, Uwe] Univ Calif San Diego, Scripps Inst Oceanography, La Jolla, CA USA; [Law, K. S.] Univ Paris, UPMC, LATMOS IPSL, Paris, France; [Lazzara, Matthew A.] Univ Wisconsin Madison, Space Sci &amp; Engn Ctr, Madison, WI USA; [Leuliette, Eric] NOAA NESDIS Lab Satellite Altimetry, Silver Spring, MD USA; [Lieser, Jan; Massom, Robert A.] Univ Tasmania, ACE CRC, Hobart, Tas, Australia; [Lin, I. -I.] Natl Taiwan Univ, Taipei, Taiwan; [Liu, Hongxing; Shu, Song; Wang, Shujie] Univ Cincinnati, Dept Geog, Cincinnati, OH USA; [Liu, Y. Y.] Univ New S Wales, Sydney, NSW 2052, Australia; [Long, Craig S.] NOAA NWS Natl Ctr Environm Predict, College Pk, MD USA; [Luo, Jing-Jia] Ctr Australian Weather &amp; Climate Res, Melbourne, Vic, Australia; [Lyman, John M.; Merrifield, Mark A.; Thompson, Philip] Univ Hawaii, Joint Inst Marine &amp; Atmospher Res, Honolulu, HI USA; [Maddux, Brent C.] Univ Wisconsin Madison, AOS CIMSS, Madison, WI USA; [Manney, Gloria] NW Res Associates Inc, Socorro, NM USA; [Manney, Gloria] New Mexico Inst Min &amp; Technol, Socorro, NM USA; [Marcellin-Honore, Vernie] Dominica Meteorol Serv, Canefield, Dominica; [Marotzke, Jochem] Max Planck Inst Meteorol, Hamburg, Germany; [Marra, John J.] NOAA NESDIS Natl Climat Data Ctr, Honolulu, HI USA; [Rodney, Martinez-Gueingla; Nieto, Juan J.; Zambrano, Eduardo] CIIFEN, Guayaquil, Ecuador; [McInnes, Kathleen] Ctr Australian Climate &amp; Weather Res, Hobart, Tas, Australia; [McVicar, Tim] CSIRO Land &amp; Water, Canberra, ACT, Australia; [Menendez, Melisa] Univ Cantabria, Environm Hydraul Inst, Santander, Spain; [Mote, Thomas] Univ Georgia, Dept Geog, Athens, GA USA; [Mullan, A. Brett] Natl Inst Water &amp; Atmospher Res Ltd, Wellington, New Zealand; [Newman, Paul A.] NASA Goddard Space Flight Ctr, Lab Atmosphere, Greenbelt, MD USA; [Nitsche, Helga] Deutscher Wetterdienst, Climate Monitoring Satellite Applicat Facil, Offenbach, Germany; [Noetzli, Jeannette] Univ Zurich, Dept Geog, Zurich, Switzerland; [Oberman, N. G.] MIRECO Mining Co, Syktyvkar, Russia; [Ohno, Hiroshi; Tanaka, Shotaro; Yamada, Ryuji; Yoshimatsu, Kazuyoshi] Japan Meteorol Agcy, Tokyo Climate Ctr, Climate Predict Div, Tokyo, Japan; [Oyunjargal, Lamjav] Natl Agcy Meteorol Hydrol &amp; Environm Monitoring, Inst Meteorol &amp; Hydrol, Ulaanbaatar, Mongolia; [Park, E-Hyung] Korea Meteorol Adm, Seoul, South Korea; [Pelto, Mauri S.] Nichols Coll, Dudley, MA USA; [Penalba, Olga C.] Univ Buenos Aires, Fac Ciencias Exactas &amp; Nat, Dept Ciencias Atmosfera &amp; Oceanos, Buenos Aires, DF, Argentina; [Perovich, Don; Richter-Menge, Jacqueline] ERDC, Cold Reg Res &amp; Engn Lab, Hanover, NH USA; [Perovich, Don; Richter-Menge, Jacqueline] Dartmouth Coll, Thayer Sch Engn, Hanover, NH USA; [Pezza, Alexandre B.] Univ Melbourne, Melbourne, Vic, Australia; [Polyakov, I.; Walsh, J.] Univ Alaska Fairbanks, Int Arctic Res Ctr, Fairbanks, AK USA; [Porter, Avalon O.] Cayman Isl Natl Weather Serv, Grand Cayman, Cayman Islands; [Quegan, Shaun] Univ Sheffield, Sheffield S10 2TN, S Yorkshire, England; [Rahimzadeh, Fatemeh] Atmospher Sci &amp; Meteorol Res Ctr, Tehran, Iran; [Rajeevan, Madhavan] Natl Atmospher Res Lab, Gadanki, India; [Rakotomavo, Zo] Direct Meteorol Natl Madagascar, Antananarivo, Madagascar; [Ready, Steve] New Zealand Meteorol Serv Ltd, Wellington, New Zealand; [Reid, Phillip] Australian Bur Meteorol, Hobart, Tas, Australia; [Reid, Phillip] CAWRC, Hobart, Tas, Australia; [Rennermalm, A. K.] Rutgers State Univ, Dept Geog, New Brunswick, NJ USA; [Rennie, Jared; Schreck, Carl J.] NC State Univ, Cooperat Inst Climate &amp; Satellites, Asheville, NC USA; [Renwick, James A.] Victoria Univ Wellington, Wellington, New Zealand; [Revadekar, Jayashree V.] Indian Inst Trop Meteorol, Pune, Maharashtra, India; [Robinson, David A.] Rutgers State Univ, Dept Geog, Piscataway, NJ USA; [Rodell, Matthew] NASA, Hydrol Sci Lab, Goddard Space Flight Ctr, Greenbelt, MD USA; [Ronchail, Josyane] Univ Paris, Paris, France; [Santee, Michelle L.] NASA, Jet Propuls Lab, Pasadena, CA USA; [Santoro, M.] Gamma Remote Sensing, Gumlingen, Switzerland; [Schmale, J.] Inst Adv Sustainabil Studies, Potsdam, Germany; [Sensoy, Serhat] Turkish State Meteorol Serv, Ankara, Turkey; [Setzer, Alberto] Natl Inst Space Res, Sao Jose Dos Campos, Brazil; [Shiklomanov, Nicolai I.; Streletskiy, D. A.] George Washington Univ, Dept Geog, Washington, DC USA; [Siegel, David A.] Univ Calif Santa Barbara, Santa Barbara, CA USA; [Sima, Fatou] Dept Water Resources, Div Meteorol, Banjul, Gambia; [Smith, L. C.] Univ Calif Los Angeles, Dept Geog, Los Angeles, CA 90024 USA; [Smith, Sharon L.] Geol Survey Canada, Nat Resources Canada, Ottawa, ON, Canada; [Smith, Thomas M.] NOAA NESDIS, Ctr Satellite Applicat &amp; Res, College Pk, MD USA; [Smith, Thomas M.] Univ Maryland, Cooperat Inst Climate &amp; Satellites, College Pk, MD USA; [Spence, Jacqueline M.] Meteorol Serv, Kingston, Jamaica; [Srivastava, A. K.] Indian Meteorol Dept, Pune, Maharashtra, India; [Stammerjohn, Sharon] Univ Colorado, Inst Arctic &amp; Alpine Res, Boulder, CO USA; [Steele, M.; Woodgate, R.] Univ Washington, Appl Phys Lab, Seattle, WA USA; [Steinbrecht, Wolfgang] Deutsch Wetterdienst, Hohenpeissenberg, Germany; [Stella, Jose L.] Serv Meteorol Nacl, Buenos Aires, DF, Argentina; [Stengel, M.] Deutscher Wetterdienst, Offenbach, Germany; [Stohl, A.; Svendby, T.] Norwegian Inst Air Res, Kjeller, Norway; [Sweet, William] NOAA NOS Ctr Operat Oceanog Products &amp; Serv, Silver Spring, MD USA; [Tang, Q.] Chinese Acad Sci, Inst Geog Sci &amp; Nat Resources Res, Beijing 100864, Peoples R China; [Tedesco, Marco] Natl Sci Fdn, Arlington, VA 22230 USA; [Tedesco, Marco] CUNY City Coll, New York, NY USA; [Thorne, Peter W.] Nansen Environm &amp; Remote Sensing Ctr, Bergen, Norway; [Timmermans, Mary-Louise] Yale Univ, New Haven, CT USA; [Tobin, Isabelle; Vautard, Robert] CEA CNR UVSQ, LSCE, Gif Sur Yvette, France; [Trachte, Katja] Univ Marburg, Lab Climatol &amp; Remote Sensing, D-35032 Marburg, Germany; [Trigo, Ricardo] Univ Lisbon, Inst Dom Luiz, Lisbon, Portugal; [Trotman, Adrian R.] Caribbean Inst Meteorol &amp; Hydrol, Bridgetown, Barbados; [Tschudi, M.] Univ Colorado, Dept Aerosp Engn Sci, Boulder, CO USA; [van de Wal, Roderik S. W.] Univ Utrecht, Inst Marine &amp; Atmospher Res Utrecht, Utrecht, Netherlands; [van der A, Ronald J.] KNMI Royal Netherlands Meteorol Inst, De Bilt, Netherlands; [Vavrus, S.] Univ Wisconsin Madison, Ctr Climat Res, Madison, WI USA; [Vestreng, V.] Norwegian Pollut Control Author, Oslo, Norway; [von Salzen, K.] Univ Victoria, Canadian Ctr Climate Modelling &amp; Anal, Victoria, BC V8W 2Y2, Canada; [Wahr, John] Univ Colorado, Dept Phys, Boulder, CO USA; [Wahr, John] Univ Colorado, CIRES, Boulder, CO USA; [Walden, V.] Washington State Univ, Dept Civil &amp; Environm Engn, Pullman, WA USA; [Wang, Bin] University of Hawaii, SOEST, Dept Meteorol, Honolulu, HI USA; [Wang, Bin] IPRC, Honolulu, HI USA; [Wang, Guojie] Nanjing Univ Informat Sci &amp; Technol, Coll Hydrometeorol, Nanjing, Peoples R China; [Wang, Junhong] SUNY Albany, Albany, NY 12222 USA; [Wang, Lei] Louisiana State Univ, Dept Geog &amp; Anthropol, Baton Rouge, LA 70803 USA; [Wang, M.] Univ Washington, Joint Inst Study Atmosphere &amp; Ocean, Seattle, WA 98195 USA; [Weber, Mark] Univ Bremen, Inst Environm Phys, D-28359 Bremen, Germany; [Williams, W.; Zimmermann, S.] Inst Ocean Sci, Sidney, BC, Canada; [Willis, Joshua K.] CALTECH, Jet Propuls Lab, Pasadena, CA USA; [Wolken, G.] Alaska Div Geol &amp; Geophys Surveys, Fairbanks, AK USA; [Yamamoto-Kawai, M.] Tokyo Univ Marine Sci &amp; Technol, Tokyo, Japan; [Zhao, Lin] Cold &amp; Arid Reg Environm &amp; Engn Res Inst, Lanzhou, Peoples R China</t>
  </si>
  <si>
    <t>University of Wisconsin System; University of Wisconsin Madison; Universidad Costa Rica; Universidad Costa Rica; Met Office - UK; Hadley Centre; Instituto Nacional de Pesquisas Espaciais (INPE); University of Gothenburg; Norwegian Water Resources &amp; Energy Directorate; National Center Atmospheric Research (NCAR) - USA; University of Alaska System; University of Alaska Fairbanks; National Oceanic Atmospheric Admin (NOAA) - USA; Arctic &amp; Antarctic Research Institute; National Oceanic Atmospheric Admin (NOAA) - USA; Atlantic Oceanographic &amp; Meteorological Laboratory (AOML); Complutense University of Madrid; Deutscher Wetterdienst; Oregon State University; European Centre for Medium-Range Weather Forecasts (ECMWF); University of Reading; UK Research &amp; Innovation (UKRI); Natural Environment Research Council (NERC); NERC National Centre for Atmospheric Science; European Centre for Medium-Range Weather Forecasts (ECMWF); NERC National Oceanography Centre; Antarctic Climate &amp; Ecosystems Cooperative Research Centre (ACE CRC); Commonwealth Scientific &amp; Industrial Research Organisation (CSIRO); Deutscher Wetterdienst; National Oceanic Atmospheric Admin (NOAA) - USA; National Hurricane Center, NOAA; National Oceanic Atmospheric Admin (NOAA) - USA; National Aeronautics &amp; Space Administration (NASA); NASA Goddard Space Flight Center; Geological Survey Of Denmark &amp; Greenland; University System of Ohio; Ohio State University; Environment &amp; Climate Change Canada; Environment &amp; Climate Change Canada; Natural Resources Canada; Lands &amp; Minerals Sector - Natural Resources Canada; Geological Survey of Canada; Columbia University; University of Colorado System; University of Colorado Boulder; University West Indies Mona Jamaica; Danish Meteorological Institute DMI; State University System of Florida; University of South Florida; National Institute of Water &amp; Atmospheric Research (NIWA) - New Zealand; University Centre Svalbard (UNIS); University of Copenhagen; University of Alabama System; University of Alabama Huntsville; Technische Universitat Wien; University System of Ohio; Ohio University; Helmholtz Association; German Aerospace Centre (DLR); UK Research &amp; Innovation (UKRI); Natural Environment Research Council (NERC); NERC British Antarctic Survey; University of Colorado System; University of Colorado Boulder; University of Alaska System; University of Alaska Fairbanks; University of Oslo; Vrije Universiteit Amsterdam; University of New South Wales Sydney; Tyumen Scientific Center of the Russian Academy of Sciences; University of Waterloo; University of Waterloo; Egyptian Meteorological Authority; University of California System; University of California Irvine; University of Cape Town; University of Liege; Environment &amp; Climate Change Canada; University of Michigan System; University of Michigan; Environment &amp; Climate Change Canada; University of Gothenburg; Rutgers University System; Rutgers University New Brunswick; National Aeronautics &amp; Space Administration (NASA); NASA Goddard Space Flight Center; Bureau of Meteorology - Australia; University of Alberta; Norwegian Polar Institute; University of Nairobi; European Commission Joint Research Centre; EC JRC ISPRA Site; Helmholtz Association; Research Center Julich; National Oceanic Atmospheric Admin (NOAA) - USA; University of Insubria; Science Systems &amp; Applications Inc; Korea Polar Research Institute (KOPRI); University of Colorado System; University of Colorado Boulder; University of Sheffield; Norwegian Meteorological Institute; Japan Meteorological Agency; University of Wisconsin System; University of Wisconsin Madison; National Oceanic Atmospheric Admin (NOAA) - USA; Finnish Meteorological Institute; Helmholtz Association; Alfred Wegener Institute, Helmholtz Centre for Polar &amp; Marine Research; University of Tasmania; ARC Centre of Excellence for Climate System Science; Institute of Marine Research - Norway; University of Alaska System; University of Alaska Fairbanks; Woods Hole Oceanographic Institution; University of Colorado System; University of Colorado Boulder; Meteo France; University of London; King's College London; Max Planck Society; Helmholtz Association; GEOMAR Helmholtz Center for Ocean Research Kiel; University of Wisconsin System; University of Wisconsin Madison; National Oceanic Atmospheric Admin (NOAA) - USA; University of Alaska System; University of Alaska Fairbanks; Japan Agency for Marine-Earth Science &amp; Technology (JAMSTEC); University of Tokyo; Colorado State University; National Oceanic Atmospheric Admin (NOAA) - USA; Norwegian Polar Institute; National Aeronautics &amp; Space Administration (NASA); NASA Goddard Space Flight Center; Science Systems &amp; Applications Inc; National Aeronautics &amp; Space Administration (NASA); NASA Langley Research Center; South African Weather Service (SAWS); Finnish Environment Institute; Finnish Meteorological Institute; University of Guam; University of California System; University of California San Diego; Scripps Institution of Oceanography; Universite Paris Cite; Universite Paris Saclay; Sorbonne Universite; University of Wisconsin System; University of Wisconsin Madison; University of Tasmania; Antarctic Climate &amp; Ecosystems Cooperative Research Centre (ACE CRC); National Taiwan University; University System of Ohio; University of Cincinnati; University of New South Wales Sydney; National Oceanic Atmospheric Admin (NOAA) - USA; Commonwealth Scientific &amp; Industrial Research Organisation (CSIRO); University of Hawaii System; University of Wisconsin System; University of Wisconsin Madison; NorthWest Research Associates; New Mexico Institute of Mining Technology; Max Planck Society; National Oceanic Atmospheric Admin (NOAA) - USA; Commonwealth Scientific &amp; Industrial Research Organisation (CSIRO); CSIRO Land &amp; Water; Universidad de Cantabria; IHCantabria - Instituto de Hidraulica Ambiental de la Universidad de Cantabria; University System of Georgia; University of Georgia; National Institute of Water &amp; Atmospheric Research (NIWA) - New Zealand; National Aeronautics &amp; Space Administration (NASA); NASA Goddard Space Flight Center; Deutscher Wetterdienst; University of Zurich; Japan Meteorological Agency; Ministry of Nature Environment &amp;Tourism Mongolia; Korea Meteorological Administration (KMA); University of Buenos Aires; United States Department of Defense; United States Army; U.S. Army Corps of Engineers; U.S. Army Engineer Research &amp; Development Center (ERDC); Cold Regions Research &amp; Engineering Laboratory (CRREL); Dartmouth College; University of Melbourne; University of Alaska System; University of Alaska Fairbanks; University of Sheffield; Department of Space (DoS), Government of India; National Atmospheric Research Laboratory (NARL); Bureau of Meteorology - Australia; Rutgers University System; Rutgers University New Brunswick; North Carolina State University; Victoria University Wellington; Ministry of Earth Sciences (MoES) - India; Indian Institute of Tropical Meteorology (IITM); Rutgers University System; Rutgers University New Brunswick; National Aeronautics &amp; Space Administration (NASA); NASA Goddard Space Flight Center; Universite Paris Cite; National Aeronautics &amp; Space Administration (NASA); NASA Jet Propulsion Laboratory (JPL); GAMMA Remote Sensing AG; Ministry of Forestry &amp; Water Affairs - Turkey; Instituto Nacional de Pesquisas Espaciais (INPE); George Washington University; University of California System; University of California Santa Barbara; University of California System; University of California Los Angeles; Natural Resources Canada; Lands &amp; Minerals Sector - Natural Resources Canada; Geological Survey of Canada; National Oceanic Atmospheric Admin (NOAA) - USA; University System of Maryland; University of Maryland College Park; Ministry of Earth Sciences (MoES) - India; India Meteorological Department (IMD); University of Colorado System; University of Colorado Boulder; University of Washington; University of Washington Seattle; Deutscher Wetterdienst; NILU; Chinese Academy of Sciences; Institute of Geographic Sciences &amp; Natural Resources Research, CAS; National Science Foundation (NSF); City University of New York (CUNY) System; City College of New York (CUNY); Nansen Environmental &amp; Remote Sensing Center (NERSC); Yale University; CEA; Centre National de la Recherche Scientifique (CNRS); Universite Paris Saclay; Philipps University Marburg; Universidade de Lisboa; University of Colorado System; University of Colorado Boulder; Utrecht University; Royal Netherlands Meteorological Institute; University of Wisconsin System; University of Wisconsin Madison; Environment &amp; Climate Change Canada; Canadian Centre for Climate Modelling &amp; Analysis (CCCma); University of Victoria; University of Colorado System; University of Colorado Boulder; University of Colorado System; University of Colorado Boulder; Washington State University; Nanjing University of Information Science &amp; Technology; State University of New York (SUNY) System; State University of New York (SUNY) Albany; Louisiana State University System; Louisiana State University; University of Washington; University of Washington Seattle; University of Bremen; National Aeronautics &amp; Space Administration (NASA); NASA Jet Propulsion Laboratory (JPL); California Institute of Technology; Tokyo University of Marine Science &amp; Technology; Chinese Academy of Sciences; Cold &amp; Arid Regions Environmental &amp; Engineering Research Institute, CAS</t>
  </si>
  <si>
    <t>Directorate For Geosciences; Office of Polar Programs (OPP)(National Science Foundation (NSF)NSF - Directorate for Geosciences (GEO)); Div Atmospheric &amp; Geospace Sciences; Directorate For Geosciences(National Science Foundation (NSF)NSF - Directorate for Geosciences (GEO)); Office of Polar Programs (OPP); Directorate For Geosciences(National Science Foundation (NSF)NSF - Directorate for Geosciences (GEO))</t>
  </si>
  <si>
    <t>10.1175/2014BAMSStateoftheClimate.1</t>
  </si>
  <si>
    <t>WOS:000340980900001</t>
  </si>
  <si>
    <t>2. Tabs with "_clean" are the final datasets used for analysis after the processing procedures described in the Data section of the paper</t>
  </si>
  <si>
    <t>3. Article IDs 367, 617 (outside study scope), and 732 (disproportionately large number of authors) from raw dataset were not included in the analysis. See the complete_dataset tab too see details of the omitted articles</t>
  </si>
  <si>
    <t xml:space="preserve">4. Data included in this supplement are derived from Clarivate™ (Web of Science™). © Clarivate 20225. All rights reserved. </t>
  </si>
  <si>
    <t>5. Citation data is as of January 15, 2025</t>
  </si>
  <si>
    <t>1. The tab "complete_dataset" contains all the raw data (institution and publisher addresses, full name of authors, etc.)</t>
  </si>
  <si>
    <r>
      <t xml:space="preserve">This file accompanies the paper </t>
    </r>
    <r>
      <rPr>
        <b/>
        <sz val="11"/>
        <color theme="1"/>
        <rFont val="Aptos Narrow"/>
        <family val="2"/>
        <scheme val="minor"/>
      </rPr>
      <t>Custado MJ and Cooperdock EHG. 2025. Who conducts Southeast Asian Climate Research? An Analysis of Author Affiliations and their Implications in Knowledge Production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</si>
</sst>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1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Continuous" wrapText="1"/>
    </xf>
    <xf numFmtId="0" fontId="2" fillId="0" borderId="0" xfId="0" applyFont="1"/>
    <xf numFmtId="14" fontId="0" fillId="0" borderId="0" xfId="0" applyNumberFormat="1"/>
    <xf numFmtId="0" fontId="0" fillId="2" borderId="0" xfId="0" applyFill="1"/>
    <xf numFmtId="0" fontId="1" fillId="3" borderId="0" xfId="0" applyFont="1"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69551</xdr:rowOff>
    </xdr:from>
    <xdr:to>
      <xdr:col>13</xdr:col>
      <xdr:colOff>0</xdr:colOff>
      <xdr:row>38</xdr:row>
      <xdr:rowOff>0</xdr:rowOff>
    </xdr:to>
    <xdr:pic>
      <xdr:nvPicPr>
        <xdr:cNvPr id="3" name="Picture 2">
          <a:extLst>
            <a:ext uri="{FF2B5EF4-FFF2-40B4-BE49-F238E27FC236}">
              <a16:creationId xmlns:a16="http://schemas.microsoft.com/office/drawing/2014/main" id="{C6F0C4A3-0173-99EC-C981-5B58503FAE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69551"/>
          <a:ext cx="7772400" cy="69281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AF910-9410-4ED8-AE6C-FDE2CF5BB939}">
  <dimension ref="A1:T7"/>
  <sheetViews>
    <sheetView showGridLines="0" workbookViewId="0">
      <selection activeCell="E12" activeCellId="1" sqref="M13 E12"/>
    </sheetView>
  </sheetViews>
  <sheetFormatPr defaultRowHeight="14.5" x14ac:dyDescent="0.35"/>
  <sheetData>
    <row r="1" spans="1:20" x14ac:dyDescent="0.35">
      <c r="A1" s="5" t="s">
        <v>3778</v>
      </c>
      <c r="B1" s="6"/>
      <c r="C1" s="6"/>
      <c r="D1" s="6"/>
      <c r="E1" s="6"/>
      <c r="F1" s="6"/>
      <c r="G1" s="6"/>
      <c r="H1" s="6"/>
      <c r="I1" s="6"/>
      <c r="J1" s="6"/>
      <c r="K1" s="6"/>
      <c r="L1" s="6"/>
      <c r="M1" s="6"/>
      <c r="N1" s="6"/>
      <c r="O1" s="6"/>
      <c r="P1" s="6"/>
      <c r="Q1" s="6"/>
      <c r="R1" s="6"/>
      <c r="S1" s="6"/>
      <c r="T1" s="6"/>
    </row>
    <row r="2" spans="1:20" x14ac:dyDescent="0.35">
      <c r="A2" s="6" t="s">
        <v>10102</v>
      </c>
      <c r="B2" s="6"/>
      <c r="C2" s="6"/>
      <c r="D2" s="6"/>
      <c r="E2" s="6"/>
      <c r="F2" s="6"/>
      <c r="G2" s="6"/>
      <c r="H2" s="6"/>
      <c r="I2" s="6"/>
      <c r="J2" s="6"/>
      <c r="K2" s="6"/>
      <c r="L2" s="6"/>
      <c r="M2" s="6"/>
      <c r="N2" s="6"/>
      <c r="O2" s="6"/>
      <c r="P2" s="6"/>
      <c r="Q2" s="6"/>
      <c r="R2" s="6"/>
      <c r="S2" s="6"/>
      <c r="T2" s="6"/>
    </row>
    <row r="3" spans="1:20" x14ac:dyDescent="0.35">
      <c r="A3" s="4" t="s">
        <v>10101</v>
      </c>
      <c r="B3" s="4"/>
      <c r="C3" s="4"/>
      <c r="D3" s="4"/>
      <c r="E3" s="4"/>
      <c r="F3" s="4"/>
      <c r="G3" s="4"/>
      <c r="H3" s="4"/>
      <c r="I3" s="4"/>
      <c r="J3" s="4"/>
      <c r="K3" s="4"/>
      <c r="L3" s="4"/>
      <c r="M3" s="4"/>
      <c r="N3" s="4"/>
      <c r="O3" s="4"/>
      <c r="P3" s="4"/>
      <c r="Q3" s="4"/>
      <c r="R3" s="4"/>
      <c r="S3" s="4"/>
      <c r="T3" s="4"/>
    </row>
    <row r="4" spans="1:20" x14ac:dyDescent="0.35">
      <c r="A4" s="4" t="s">
        <v>10097</v>
      </c>
      <c r="B4" s="4"/>
      <c r="C4" s="4"/>
      <c r="D4" s="4"/>
      <c r="E4" s="4"/>
      <c r="F4" s="4"/>
      <c r="G4" s="4"/>
      <c r="H4" s="4"/>
      <c r="I4" s="4"/>
      <c r="J4" s="4"/>
      <c r="K4" s="4"/>
      <c r="L4" s="4"/>
      <c r="M4" s="4"/>
      <c r="N4" s="4"/>
      <c r="O4" s="4"/>
      <c r="P4" s="4"/>
      <c r="Q4" s="4"/>
      <c r="R4" s="4"/>
      <c r="S4" s="4"/>
      <c r="T4" s="4"/>
    </row>
    <row r="5" spans="1:20" x14ac:dyDescent="0.35">
      <c r="A5" s="4" t="s">
        <v>10098</v>
      </c>
      <c r="B5" s="4"/>
      <c r="C5" s="4"/>
      <c r="D5" s="4"/>
      <c r="E5" s="4"/>
      <c r="F5" s="4"/>
      <c r="G5" s="4"/>
      <c r="H5" s="4"/>
      <c r="I5" s="4"/>
      <c r="J5" s="4"/>
      <c r="K5" s="4"/>
      <c r="L5" s="4"/>
      <c r="M5" s="4"/>
      <c r="N5" s="4"/>
      <c r="O5" s="4"/>
      <c r="P5" s="4"/>
      <c r="Q5" s="4"/>
      <c r="R5" s="4"/>
      <c r="S5" s="4"/>
      <c r="T5" s="4"/>
    </row>
    <row r="6" spans="1:20" x14ac:dyDescent="0.35">
      <c r="A6" s="4" t="s">
        <v>10099</v>
      </c>
      <c r="B6" s="4"/>
      <c r="C6" s="4"/>
      <c r="D6" s="4"/>
      <c r="E6" s="4"/>
      <c r="F6" s="4"/>
      <c r="G6" s="4"/>
      <c r="H6" s="4"/>
      <c r="I6" s="4"/>
      <c r="J6" s="4"/>
      <c r="K6" s="4"/>
      <c r="L6" s="4"/>
      <c r="M6" s="4"/>
      <c r="N6" s="4"/>
      <c r="O6" s="4"/>
      <c r="P6" s="4"/>
      <c r="Q6" s="4"/>
      <c r="R6" s="4"/>
      <c r="S6" s="4"/>
      <c r="T6" s="4"/>
    </row>
    <row r="7" spans="1:20" x14ac:dyDescent="0.35">
      <c r="A7" s="4" t="s">
        <v>10100</v>
      </c>
      <c r="B7" s="4"/>
      <c r="C7" s="4"/>
      <c r="D7" s="4"/>
      <c r="E7" s="4"/>
      <c r="F7" s="4"/>
      <c r="G7" s="4"/>
      <c r="H7" s="4"/>
      <c r="I7" s="4"/>
      <c r="J7" s="4"/>
      <c r="K7" s="4"/>
      <c r="L7" s="4"/>
      <c r="M7" s="4"/>
      <c r="N7" s="4"/>
      <c r="O7" s="4"/>
      <c r="P7" s="4"/>
      <c r="Q7" s="4"/>
      <c r="R7" s="4"/>
      <c r="S7" s="4"/>
      <c r="T7"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828DE-05E4-407B-B57D-33798003BD50}">
  <dimension ref="A1:AD734"/>
  <sheetViews>
    <sheetView topLeftCell="O1" workbookViewId="0">
      <selection activeCell="AC1" sqref="AC1"/>
    </sheetView>
  </sheetViews>
  <sheetFormatPr defaultRowHeight="14.5" x14ac:dyDescent="0.35"/>
  <cols>
    <col min="2" max="2" width="202.453125" bestFit="1" customWidth="1"/>
    <col min="3" max="3" width="255.6328125" bestFit="1" customWidth="1"/>
    <col min="8" max="8" width="255.54296875" bestFit="1" customWidth="1"/>
    <col min="13" max="13" width="56.36328125" bestFit="1" customWidth="1"/>
    <col min="14" max="14" width="15.54296875" bestFit="1" customWidth="1"/>
    <col min="15" max="15" width="101.1796875" bestFit="1" customWidth="1"/>
    <col min="28" max="28" width="9.08984375" bestFit="1" customWidth="1"/>
  </cols>
  <sheetData>
    <row r="1" spans="1:30" x14ac:dyDescent="0.35">
      <c r="A1" t="s">
        <v>0</v>
      </c>
      <c r="B1" t="s">
        <v>3780</v>
      </c>
      <c r="C1" t="s">
        <v>3781</v>
      </c>
      <c r="D1" t="s">
        <v>3780</v>
      </c>
      <c r="E1" t="s">
        <v>3782</v>
      </c>
      <c r="F1" t="s">
        <v>3783</v>
      </c>
      <c r="G1" t="s">
        <v>3784</v>
      </c>
      <c r="H1" t="s">
        <v>3785</v>
      </c>
      <c r="I1" t="s">
        <v>3786</v>
      </c>
      <c r="J1" t="s">
        <v>3787</v>
      </c>
      <c r="K1" t="s">
        <v>3788</v>
      </c>
      <c r="L1" t="s">
        <v>3789</v>
      </c>
      <c r="M1" t="s">
        <v>3790</v>
      </c>
      <c r="N1" t="s">
        <v>3791</v>
      </c>
      <c r="O1" t="s">
        <v>3792</v>
      </c>
      <c r="P1" t="s">
        <v>3793</v>
      </c>
      <c r="Q1" t="s">
        <v>3794</v>
      </c>
      <c r="R1" t="s">
        <v>3795</v>
      </c>
      <c r="S1" t="s">
        <v>3796</v>
      </c>
      <c r="T1" t="s">
        <v>3797</v>
      </c>
      <c r="U1" t="s">
        <v>3798</v>
      </c>
      <c r="V1" t="s">
        <v>3799</v>
      </c>
      <c r="W1" t="s">
        <v>3800</v>
      </c>
      <c r="X1" t="s">
        <v>3801</v>
      </c>
      <c r="Y1" t="s">
        <v>3802</v>
      </c>
      <c r="Z1" t="s">
        <v>3803</v>
      </c>
      <c r="AA1" t="s">
        <v>3804</v>
      </c>
      <c r="AB1" t="s">
        <v>3805</v>
      </c>
      <c r="AC1" t="s">
        <v>3806</v>
      </c>
      <c r="AD1" t="s">
        <v>3807</v>
      </c>
    </row>
    <row r="2" spans="1:30" x14ac:dyDescent="0.35">
      <c r="A2">
        <v>1</v>
      </c>
      <c r="B2" t="s">
        <v>3031</v>
      </c>
      <c r="C2" t="s">
        <v>3809</v>
      </c>
      <c r="D2" t="s">
        <v>3031</v>
      </c>
      <c r="E2" t="s">
        <v>2862</v>
      </c>
      <c r="F2" t="s">
        <v>3810</v>
      </c>
      <c r="G2" t="s">
        <v>3811</v>
      </c>
      <c r="H2" t="s">
        <v>3812</v>
      </c>
      <c r="I2" t="s">
        <v>3813</v>
      </c>
      <c r="J2" t="s">
        <v>3814</v>
      </c>
      <c r="K2" t="s">
        <v>3815</v>
      </c>
      <c r="L2">
        <v>24</v>
      </c>
      <c r="M2" t="s">
        <v>3816</v>
      </c>
      <c r="N2" t="s">
        <v>3817</v>
      </c>
      <c r="O2" t="s">
        <v>3818</v>
      </c>
      <c r="P2" t="s">
        <v>3819</v>
      </c>
      <c r="Q2" t="s">
        <v>3820</v>
      </c>
      <c r="R2" t="s">
        <v>3821</v>
      </c>
      <c r="S2" t="s">
        <v>3822</v>
      </c>
      <c r="T2" t="s">
        <v>3823</v>
      </c>
      <c r="U2">
        <v>2023</v>
      </c>
      <c r="V2">
        <v>282</v>
      </c>
      <c r="W2" t="s">
        <v>3808</v>
      </c>
      <c r="X2" t="s">
        <v>3824</v>
      </c>
      <c r="Y2" t="str">
        <f>HYPERLINK("http://dx.doi.org/10.1016/j.atmosres.2022.106522","http://dx.doi.org/10.1016/j.atmosres.2022.106522")</f>
        <v>http://dx.doi.org/10.1016/j.atmosres.2022.106522</v>
      </c>
      <c r="Z2" t="s">
        <v>3825</v>
      </c>
      <c r="AA2" t="s">
        <v>3826</v>
      </c>
      <c r="AB2" s="3">
        <v>45672</v>
      </c>
      <c r="AC2" t="s">
        <v>3827</v>
      </c>
      <c r="AD2" t="str">
        <f>HYPERLINK("https%3A%2F%2Fwww.webofscience.com%2Fwos%2Fwoscc%2Ffull-record%2FWOS:000928179500002","View Full Record in Web of Science")</f>
        <v>View Full Record in Web of Science</v>
      </c>
    </row>
    <row r="3" spans="1:30" x14ac:dyDescent="0.35">
      <c r="A3">
        <v>2</v>
      </c>
      <c r="B3" t="s">
        <v>3032</v>
      </c>
      <c r="C3" t="s">
        <v>3828</v>
      </c>
      <c r="D3" t="s">
        <v>3032</v>
      </c>
      <c r="E3" t="s">
        <v>2864</v>
      </c>
      <c r="F3" t="s">
        <v>3810</v>
      </c>
      <c r="G3" t="s">
        <v>3829</v>
      </c>
      <c r="H3" t="s">
        <v>3830</v>
      </c>
      <c r="I3" t="s">
        <v>3831</v>
      </c>
      <c r="J3" t="s">
        <v>3832</v>
      </c>
      <c r="K3" t="s">
        <v>3833</v>
      </c>
      <c r="L3">
        <v>0</v>
      </c>
      <c r="M3" t="s">
        <v>3834</v>
      </c>
      <c r="N3" t="s">
        <v>3835</v>
      </c>
      <c r="O3" t="s">
        <v>3836</v>
      </c>
      <c r="P3" t="s">
        <v>3837</v>
      </c>
      <c r="Q3" t="s">
        <v>3838</v>
      </c>
      <c r="R3" t="s">
        <v>3839</v>
      </c>
      <c r="S3" t="s">
        <v>3840</v>
      </c>
      <c r="T3" t="s">
        <v>3841</v>
      </c>
      <c r="U3">
        <v>2023</v>
      </c>
      <c r="V3">
        <v>2023</v>
      </c>
      <c r="W3" t="s">
        <v>3808</v>
      </c>
      <c r="X3" t="s">
        <v>3842</v>
      </c>
      <c r="Y3" t="str">
        <f>HYPERLINK("http://dx.doi.org/10.1155/2023/2693008","http://dx.doi.org/10.1155/2023/2693008")</f>
        <v>http://dx.doi.org/10.1155/2023/2693008</v>
      </c>
      <c r="Z3" t="s">
        <v>3825</v>
      </c>
      <c r="AA3" t="s">
        <v>3826</v>
      </c>
      <c r="AB3" s="3">
        <v>45672</v>
      </c>
      <c r="AC3" t="s">
        <v>3843</v>
      </c>
      <c r="AD3" t="str">
        <f>HYPERLINK("https%3A%2F%2Fwww.webofscience.com%2Fwos%2Fwoscc%2Ffull-record%2FWOS:001088862600001","View Full Record in Web of Science")</f>
        <v>View Full Record in Web of Science</v>
      </c>
    </row>
    <row r="4" spans="1:30" x14ac:dyDescent="0.35">
      <c r="A4">
        <v>3</v>
      </c>
      <c r="B4" t="s">
        <v>3033</v>
      </c>
      <c r="C4" t="s">
        <v>3844</v>
      </c>
      <c r="D4" t="s">
        <v>3033</v>
      </c>
      <c r="E4" t="s">
        <v>2866</v>
      </c>
      <c r="F4" t="s">
        <v>3810</v>
      </c>
      <c r="G4" t="s">
        <v>3845</v>
      </c>
      <c r="H4" t="s">
        <v>3846</v>
      </c>
      <c r="I4" t="s">
        <v>3847</v>
      </c>
      <c r="J4" t="s">
        <v>3848</v>
      </c>
      <c r="K4" t="s">
        <v>3849</v>
      </c>
      <c r="L4">
        <v>50</v>
      </c>
      <c r="M4" t="s">
        <v>3850</v>
      </c>
      <c r="N4" t="s">
        <v>3851</v>
      </c>
      <c r="O4" t="s">
        <v>3852</v>
      </c>
      <c r="P4" t="s">
        <v>3853</v>
      </c>
      <c r="Q4" t="s">
        <v>3854</v>
      </c>
      <c r="R4" t="s">
        <v>3855</v>
      </c>
      <c r="S4" t="s">
        <v>3856</v>
      </c>
      <c r="T4" t="s">
        <v>3857</v>
      </c>
      <c r="U4">
        <v>2014</v>
      </c>
      <c r="V4">
        <v>34</v>
      </c>
      <c r="W4">
        <v>3</v>
      </c>
      <c r="X4" t="s">
        <v>3858</v>
      </c>
      <c r="Y4" t="str">
        <f>HYPERLINK("http://dx.doi.org/10.1002/joc.3735","http://dx.doi.org/10.1002/joc.3735")</f>
        <v>http://dx.doi.org/10.1002/joc.3735</v>
      </c>
      <c r="Z4" t="s">
        <v>3825</v>
      </c>
      <c r="AA4" t="s">
        <v>3826</v>
      </c>
      <c r="AB4" s="3">
        <v>45672</v>
      </c>
      <c r="AC4" t="s">
        <v>3859</v>
      </c>
      <c r="AD4" t="str">
        <f>HYPERLINK("https%3A%2F%2Fwww.webofscience.com%2Fwos%2Fwoscc%2Ffull-record%2FWOS:000332092900027","View Full Record in Web of Science")</f>
        <v>View Full Record in Web of Science</v>
      </c>
    </row>
    <row r="5" spans="1:30" x14ac:dyDescent="0.35">
      <c r="A5">
        <v>4</v>
      </c>
      <c r="B5" t="s">
        <v>3034</v>
      </c>
      <c r="C5" t="s">
        <v>3860</v>
      </c>
      <c r="D5" t="s">
        <v>3034</v>
      </c>
      <c r="E5" t="s">
        <v>2867</v>
      </c>
      <c r="F5" t="s">
        <v>3810</v>
      </c>
      <c r="G5" t="s">
        <v>3861</v>
      </c>
      <c r="H5" t="s">
        <v>3862</v>
      </c>
      <c r="I5" t="s">
        <v>3863</v>
      </c>
      <c r="J5" t="s">
        <v>3864</v>
      </c>
      <c r="K5" t="s">
        <v>3865</v>
      </c>
      <c r="L5">
        <v>24</v>
      </c>
      <c r="M5" t="s">
        <v>3866</v>
      </c>
      <c r="N5" t="s">
        <v>3817</v>
      </c>
      <c r="O5" t="s">
        <v>3867</v>
      </c>
      <c r="P5" t="s">
        <v>3868</v>
      </c>
      <c r="Q5" t="s">
        <v>3869</v>
      </c>
      <c r="R5" t="s">
        <v>3870</v>
      </c>
      <c r="S5" t="s">
        <v>3871</v>
      </c>
      <c r="T5" t="s">
        <v>3872</v>
      </c>
      <c r="U5">
        <v>2022</v>
      </c>
      <c r="V5">
        <v>59</v>
      </c>
      <c r="W5" t="s">
        <v>3873</v>
      </c>
      <c r="X5" t="s">
        <v>3874</v>
      </c>
      <c r="Y5" t="str">
        <f>HYPERLINK("http://dx.doi.org/10.1007/s00382-021-06042-x","http://dx.doi.org/10.1007/s00382-021-06042-x")</f>
        <v>http://dx.doi.org/10.1007/s00382-021-06042-x</v>
      </c>
      <c r="Z5" t="s">
        <v>3825</v>
      </c>
      <c r="AA5" t="s">
        <v>3826</v>
      </c>
      <c r="AB5" s="3">
        <v>45672</v>
      </c>
      <c r="AC5" t="s">
        <v>3875</v>
      </c>
      <c r="AD5" t="str">
        <f>HYPERLINK("https%3A%2F%2Fwww.webofscience.com%2Fwos%2Fwoscc%2Ffull-record%2FWOS:000745793700002","View Full Record in Web of Science")</f>
        <v>View Full Record in Web of Science</v>
      </c>
    </row>
    <row r="6" spans="1:30" x14ac:dyDescent="0.35">
      <c r="A6">
        <v>5</v>
      </c>
      <c r="B6" t="s">
        <v>3035</v>
      </c>
      <c r="C6" t="s">
        <v>3876</v>
      </c>
      <c r="D6" t="s">
        <v>3035</v>
      </c>
      <c r="E6" t="s">
        <v>2868</v>
      </c>
      <c r="F6" t="s">
        <v>3810</v>
      </c>
      <c r="G6" t="s">
        <v>3877</v>
      </c>
      <c r="H6" t="s">
        <v>3878</v>
      </c>
      <c r="I6" t="s">
        <v>3879</v>
      </c>
      <c r="K6" t="s">
        <v>3808</v>
      </c>
      <c r="L6">
        <v>4</v>
      </c>
      <c r="M6" t="s">
        <v>3880</v>
      </c>
      <c r="N6" t="s">
        <v>3881</v>
      </c>
      <c r="O6" t="s">
        <v>3882</v>
      </c>
      <c r="P6" t="s">
        <v>3883</v>
      </c>
      <c r="Q6" t="s">
        <v>3884</v>
      </c>
      <c r="R6" t="s">
        <v>3885</v>
      </c>
      <c r="S6" t="s">
        <v>3886</v>
      </c>
      <c r="T6" t="s">
        <v>3887</v>
      </c>
      <c r="U6">
        <v>2022</v>
      </c>
      <c r="V6">
        <v>59</v>
      </c>
      <c r="W6">
        <v>1</v>
      </c>
      <c r="X6" t="s">
        <v>3888</v>
      </c>
      <c r="Y6" t="str">
        <f>HYPERLINK("http://dx.doi.org/10.1080/15481603.2022.2139387","http://dx.doi.org/10.1080/15481603.2022.2139387")</f>
        <v>http://dx.doi.org/10.1080/15481603.2022.2139387</v>
      </c>
      <c r="Z6" t="s">
        <v>3889</v>
      </c>
      <c r="AA6" t="s">
        <v>3826</v>
      </c>
      <c r="AB6" s="3">
        <v>45672</v>
      </c>
      <c r="AC6" t="s">
        <v>3890</v>
      </c>
      <c r="AD6" t="str">
        <f>HYPERLINK("https%3A%2F%2Fwww.webofscience.com%2Fwos%2Fwoscc%2Ffull-record%2FWOS:000878835300001","View Full Record in Web of Science")</f>
        <v>View Full Record in Web of Science</v>
      </c>
    </row>
    <row r="7" spans="1:30" x14ac:dyDescent="0.35">
      <c r="A7">
        <v>6</v>
      </c>
      <c r="B7" t="s">
        <v>3036</v>
      </c>
      <c r="C7" t="s">
        <v>3891</v>
      </c>
      <c r="D7" t="s">
        <v>3036</v>
      </c>
      <c r="E7" t="s">
        <v>2869</v>
      </c>
      <c r="F7" t="s">
        <v>3810</v>
      </c>
      <c r="G7" t="s">
        <v>3892</v>
      </c>
      <c r="H7" t="s">
        <v>3893</v>
      </c>
      <c r="I7" t="s">
        <v>3894</v>
      </c>
      <c r="J7" t="s">
        <v>3895</v>
      </c>
      <c r="K7" t="s">
        <v>3896</v>
      </c>
      <c r="L7">
        <v>37</v>
      </c>
      <c r="M7" t="s">
        <v>3880</v>
      </c>
      <c r="N7" t="s">
        <v>3881</v>
      </c>
      <c r="O7" t="s">
        <v>3882</v>
      </c>
      <c r="P7" t="s">
        <v>3897</v>
      </c>
      <c r="Q7" t="s">
        <v>3898</v>
      </c>
      <c r="R7" t="s">
        <v>3899</v>
      </c>
      <c r="S7" t="s">
        <v>3900</v>
      </c>
      <c r="T7" t="s">
        <v>3901</v>
      </c>
      <c r="U7">
        <v>2014</v>
      </c>
      <c r="V7">
        <v>35</v>
      </c>
      <c r="W7">
        <v>8</v>
      </c>
      <c r="X7" t="s">
        <v>3902</v>
      </c>
      <c r="Y7" t="str">
        <f>HYPERLINK("http://dx.doi.org/10.1080/01431161.2014.890305","http://dx.doi.org/10.1080/01431161.2014.890305")</f>
        <v>http://dx.doi.org/10.1080/01431161.2014.890305</v>
      </c>
      <c r="Z7" t="s">
        <v>3903</v>
      </c>
      <c r="AA7" t="s">
        <v>3826</v>
      </c>
      <c r="AB7" s="3">
        <v>45672</v>
      </c>
      <c r="AC7" t="s">
        <v>3904</v>
      </c>
      <c r="AD7" t="str">
        <f>HYPERLINK("https%3A%2F%2Fwww.webofscience.com%2Fwos%2Fwoscc%2Ffull-record%2FWOS:000333875100002","View Full Record in Web of Science")</f>
        <v>View Full Record in Web of Science</v>
      </c>
    </row>
    <row r="8" spans="1:30" x14ac:dyDescent="0.35">
      <c r="A8">
        <v>7</v>
      </c>
      <c r="B8" t="s">
        <v>3037</v>
      </c>
      <c r="C8" t="s">
        <v>3905</v>
      </c>
      <c r="D8" t="s">
        <v>3037</v>
      </c>
      <c r="E8" t="s">
        <v>2870</v>
      </c>
      <c r="F8" t="s">
        <v>3810</v>
      </c>
      <c r="G8" t="s">
        <v>3906</v>
      </c>
      <c r="H8" t="s">
        <v>3907</v>
      </c>
      <c r="I8" t="s">
        <v>3908</v>
      </c>
      <c r="J8" t="s">
        <v>3909</v>
      </c>
      <c r="K8" t="s">
        <v>3910</v>
      </c>
      <c r="L8">
        <v>23</v>
      </c>
      <c r="M8" t="s">
        <v>3911</v>
      </c>
      <c r="N8" t="s">
        <v>3912</v>
      </c>
      <c r="O8" t="s">
        <v>3913</v>
      </c>
      <c r="P8" t="s">
        <v>3914</v>
      </c>
      <c r="Q8" t="s">
        <v>3915</v>
      </c>
      <c r="R8" t="s">
        <v>3916</v>
      </c>
      <c r="S8" t="s">
        <v>3917</v>
      </c>
      <c r="T8" t="s">
        <v>3918</v>
      </c>
      <c r="U8">
        <v>2016</v>
      </c>
      <c r="V8">
        <v>121</v>
      </c>
      <c r="W8">
        <v>7</v>
      </c>
      <c r="X8" t="s">
        <v>3919</v>
      </c>
      <c r="Y8" t="str">
        <f>HYPERLINK("http://dx.doi.org/10.1002/2016JB012847","http://dx.doi.org/10.1002/2016JB012847")</f>
        <v>http://dx.doi.org/10.1002/2016JB012847</v>
      </c>
      <c r="Z8" t="s">
        <v>3920</v>
      </c>
      <c r="AA8" t="s">
        <v>3826</v>
      </c>
      <c r="AB8" s="3">
        <v>45672</v>
      </c>
      <c r="AC8" t="s">
        <v>3921</v>
      </c>
      <c r="AD8" t="str">
        <f>HYPERLINK("https%3A%2F%2Fwww.webofscience.com%2Fwos%2Fwoscc%2Ffull-record%2FWOS:000381627500025","View Full Record in Web of Science")</f>
        <v>View Full Record in Web of Science</v>
      </c>
    </row>
    <row r="9" spans="1:30" x14ac:dyDescent="0.35">
      <c r="A9">
        <v>8</v>
      </c>
      <c r="B9" t="s">
        <v>3038</v>
      </c>
      <c r="C9" t="s">
        <v>3922</v>
      </c>
      <c r="D9" t="s">
        <v>3038</v>
      </c>
      <c r="E9" t="s">
        <v>2871</v>
      </c>
      <c r="F9" t="s">
        <v>3810</v>
      </c>
      <c r="G9" t="s">
        <v>3923</v>
      </c>
      <c r="H9" t="s">
        <v>3924</v>
      </c>
      <c r="I9" t="s">
        <v>3925</v>
      </c>
      <c r="J9" t="s">
        <v>3926</v>
      </c>
      <c r="K9" t="s">
        <v>3927</v>
      </c>
      <c r="L9">
        <v>31</v>
      </c>
      <c r="M9" t="s">
        <v>3866</v>
      </c>
      <c r="N9" t="s">
        <v>3817</v>
      </c>
      <c r="O9" t="s">
        <v>3867</v>
      </c>
      <c r="P9" t="s">
        <v>3928</v>
      </c>
      <c r="Q9" t="s">
        <v>3929</v>
      </c>
      <c r="R9" t="s">
        <v>3930</v>
      </c>
      <c r="S9" t="s">
        <v>3931</v>
      </c>
      <c r="T9" t="s">
        <v>3932</v>
      </c>
      <c r="U9">
        <v>2019</v>
      </c>
      <c r="V9">
        <v>97</v>
      </c>
      <c r="W9">
        <v>1</v>
      </c>
      <c r="X9" t="s">
        <v>3933</v>
      </c>
      <c r="Y9" t="str">
        <f>HYPERLINK("http://dx.doi.org/10.1007/s11069-019-03632-1","http://dx.doi.org/10.1007/s11069-019-03632-1")</f>
        <v>http://dx.doi.org/10.1007/s11069-019-03632-1</v>
      </c>
      <c r="Z9" t="s">
        <v>3934</v>
      </c>
      <c r="AA9" t="s">
        <v>3826</v>
      </c>
      <c r="AB9" s="3">
        <v>45672</v>
      </c>
      <c r="AC9" t="s">
        <v>3935</v>
      </c>
      <c r="AD9" t="str">
        <f>HYPERLINK("https%3A%2F%2Fwww.webofscience.com%2Fwos%2Fwoscc%2Ffull-record%2FWOS:000476523300009","View Full Record in Web of Science")</f>
        <v>View Full Record in Web of Science</v>
      </c>
    </row>
    <row r="10" spans="1:30" x14ac:dyDescent="0.35">
      <c r="A10">
        <v>9</v>
      </c>
      <c r="B10" t="s">
        <v>3039</v>
      </c>
      <c r="C10" t="s">
        <v>3936</v>
      </c>
      <c r="D10" t="s">
        <v>3039</v>
      </c>
      <c r="E10" t="s">
        <v>2864</v>
      </c>
      <c r="F10" t="s">
        <v>3810</v>
      </c>
      <c r="G10" t="s">
        <v>3937</v>
      </c>
      <c r="H10" t="s">
        <v>3938</v>
      </c>
      <c r="I10" t="s">
        <v>3939</v>
      </c>
      <c r="J10" t="s">
        <v>3940</v>
      </c>
      <c r="K10" t="s">
        <v>3941</v>
      </c>
      <c r="L10">
        <v>10</v>
      </c>
      <c r="M10" t="s">
        <v>3834</v>
      </c>
      <c r="N10" t="s">
        <v>3835</v>
      </c>
      <c r="O10" t="s">
        <v>3836</v>
      </c>
      <c r="P10" t="s">
        <v>3837</v>
      </c>
      <c r="Q10" t="s">
        <v>3838</v>
      </c>
      <c r="R10" t="s">
        <v>3839</v>
      </c>
      <c r="S10" t="s">
        <v>3840</v>
      </c>
      <c r="T10" t="s">
        <v>3942</v>
      </c>
      <c r="U10">
        <v>2020</v>
      </c>
      <c r="V10">
        <v>2020</v>
      </c>
      <c r="W10" t="s">
        <v>3808</v>
      </c>
      <c r="X10" t="s">
        <v>3943</v>
      </c>
      <c r="Y10" t="str">
        <f>HYPERLINK("http://dx.doi.org/10.1155/2020/8874869","http://dx.doi.org/10.1155/2020/8874869")</f>
        <v>http://dx.doi.org/10.1155/2020/8874869</v>
      </c>
      <c r="Z10" t="s">
        <v>3825</v>
      </c>
      <c r="AA10" t="s">
        <v>3826</v>
      </c>
      <c r="AB10" s="3">
        <v>45672</v>
      </c>
      <c r="AC10" t="s">
        <v>3944</v>
      </c>
      <c r="AD10" t="str">
        <f>HYPERLINK("https%3A%2F%2Fwww.webofscience.com%2Fwos%2Fwoscc%2Ffull-record%2FWOS:000591664800001","View Full Record in Web of Science")</f>
        <v>View Full Record in Web of Science</v>
      </c>
    </row>
    <row r="11" spans="1:30" x14ac:dyDescent="0.35">
      <c r="A11">
        <v>10</v>
      </c>
      <c r="B11" t="s">
        <v>3040</v>
      </c>
      <c r="C11" t="s">
        <v>3945</v>
      </c>
      <c r="D11" t="s">
        <v>3040</v>
      </c>
      <c r="E11" t="s">
        <v>2872</v>
      </c>
      <c r="F11" t="s">
        <v>3810</v>
      </c>
      <c r="G11" t="s">
        <v>3946</v>
      </c>
      <c r="H11" t="s">
        <v>3947</v>
      </c>
      <c r="I11" t="s">
        <v>3948</v>
      </c>
      <c r="J11" t="s">
        <v>3949</v>
      </c>
      <c r="K11" t="s">
        <v>3950</v>
      </c>
      <c r="L11">
        <v>92</v>
      </c>
      <c r="M11" t="s">
        <v>3951</v>
      </c>
      <c r="N11" t="s">
        <v>3952</v>
      </c>
      <c r="O11" t="s">
        <v>3953</v>
      </c>
      <c r="P11" t="s">
        <v>3954</v>
      </c>
      <c r="Q11" t="s">
        <v>3955</v>
      </c>
      <c r="R11" t="s">
        <v>3956</v>
      </c>
      <c r="S11" t="s">
        <v>3957</v>
      </c>
      <c r="T11" t="s">
        <v>3958</v>
      </c>
      <c r="U11">
        <v>2020</v>
      </c>
      <c r="V11">
        <v>590</v>
      </c>
      <c r="W11" t="s">
        <v>3808</v>
      </c>
      <c r="X11" t="s">
        <v>3959</v>
      </c>
      <c r="Y11" t="str">
        <f>HYPERLINK("http://dx.doi.org/10.1016/j.jhydrol.2020.125472","http://dx.doi.org/10.1016/j.jhydrol.2020.125472")</f>
        <v>http://dx.doi.org/10.1016/j.jhydrol.2020.125472</v>
      </c>
      <c r="Z11" t="s">
        <v>3960</v>
      </c>
      <c r="AA11" t="s">
        <v>3826</v>
      </c>
      <c r="AB11" s="3">
        <v>45672</v>
      </c>
      <c r="AC11" t="s">
        <v>3961</v>
      </c>
      <c r="AD11" t="str">
        <f>HYPERLINK("https%3A%2F%2Fwww.webofscience.com%2Fwos%2Fwoscc%2Ffull-record%2FWOS:000599754500177","View Full Record in Web of Science")</f>
        <v>View Full Record in Web of Science</v>
      </c>
    </row>
    <row r="12" spans="1:30" x14ac:dyDescent="0.35">
      <c r="A12">
        <v>11</v>
      </c>
      <c r="B12" t="s">
        <v>3041</v>
      </c>
      <c r="C12" t="s">
        <v>3962</v>
      </c>
      <c r="D12" t="s">
        <v>3041</v>
      </c>
      <c r="E12" t="s">
        <v>2875</v>
      </c>
      <c r="F12" t="s">
        <v>3810</v>
      </c>
      <c r="G12" t="s">
        <v>3963</v>
      </c>
      <c r="H12" t="s">
        <v>3964</v>
      </c>
      <c r="I12" t="s">
        <v>3965</v>
      </c>
      <c r="J12" t="s">
        <v>3966</v>
      </c>
      <c r="K12" t="s">
        <v>3967</v>
      </c>
      <c r="L12">
        <v>26</v>
      </c>
      <c r="M12" t="s">
        <v>3968</v>
      </c>
      <c r="N12" t="s">
        <v>3969</v>
      </c>
      <c r="O12" t="s">
        <v>3970</v>
      </c>
      <c r="P12" t="s">
        <v>3971</v>
      </c>
      <c r="Q12" t="s">
        <v>3972</v>
      </c>
      <c r="R12" t="s">
        <v>2875</v>
      </c>
      <c r="S12" t="s">
        <v>3973</v>
      </c>
      <c r="T12" t="s">
        <v>3974</v>
      </c>
      <c r="U12">
        <v>2014</v>
      </c>
      <c r="V12">
        <v>42</v>
      </c>
      <c r="W12">
        <v>6</v>
      </c>
      <c r="X12" t="s">
        <v>3975</v>
      </c>
      <c r="Y12" t="str">
        <f>HYPERLINK("http://dx.doi.org/10.1130/G35456.1","http://dx.doi.org/10.1130/G35456.1")</f>
        <v>http://dx.doi.org/10.1130/G35456.1</v>
      </c>
      <c r="Z12" t="s">
        <v>3973</v>
      </c>
      <c r="AA12" t="s">
        <v>3826</v>
      </c>
      <c r="AB12" s="3">
        <v>45672</v>
      </c>
      <c r="AC12" t="s">
        <v>3976</v>
      </c>
      <c r="AD12" t="str">
        <f>HYPERLINK("https%3A%2F%2Fwww.webofscience.com%2Fwos%2Fwoscc%2Ffull-record%2FWOS:000339961100020","View Full Record in Web of Science")</f>
        <v>View Full Record in Web of Science</v>
      </c>
    </row>
    <row r="13" spans="1:30" x14ac:dyDescent="0.35">
      <c r="A13">
        <v>12</v>
      </c>
      <c r="B13" t="s">
        <v>3042</v>
      </c>
      <c r="C13" t="s">
        <v>3977</v>
      </c>
      <c r="D13" t="s">
        <v>3042</v>
      </c>
      <c r="E13" t="s">
        <v>2876</v>
      </c>
      <c r="F13" t="s">
        <v>3810</v>
      </c>
      <c r="G13" t="s">
        <v>3978</v>
      </c>
      <c r="H13" t="s">
        <v>3979</v>
      </c>
      <c r="I13" t="s">
        <v>3980</v>
      </c>
      <c r="K13" t="s">
        <v>3808</v>
      </c>
      <c r="L13">
        <v>18</v>
      </c>
      <c r="M13" t="s">
        <v>3951</v>
      </c>
      <c r="N13" t="s">
        <v>3952</v>
      </c>
      <c r="O13" t="s">
        <v>3953</v>
      </c>
      <c r="P13" t="s">
        <v>3981</v>
      </c>
      <c r="Q13" t="s">
        <v>3808</v>
      </c>
      <c r="R13" t="s">
        <v>3982</v>
      </c>
      <c r="S13" t="s">
        <v>3983</v>
      </c>
      <c r="T13" t="s">
        <v>3872</v>
      </c>
      <c r="U13">
        <v>2021</v>
      </c>
      <c r="V13">
        <v>33</v>
      </c>
      <c r="W13" t="s">
        <v>3808</v>
      </c>
      <c r="X13" t="s">
        <v>3984</v>
      </c>
      <c r="Y13" t="str">
        <f>HYPERLINK("http://dx.doi.org/10.1016/j.wace.2021.100325","http://dx.doi.org/10.1016/j.wace.2021.100325")</f>
        <v>http://dx.doi.org/10.1016/j.wace.2021.100325</v>
      </c>
      <c r="Z13" t="s">
        <v>3825</v>
      </c>
      <c r="AA13" t="s">
        <v>3826</v>
      </c>
      <c r="AB13" s="3">
        <v>45672</v>
      </c>
      <c r="AC13" t="s">
        <v>3985</v>
      </c>
      <c r="AD13" t="str">
        <f>HYPERLINK("https%3A%2F%2Fwww.webofscience.com%2Fwos%2Fwoscc%2Ffull-record%2FWOS:000688356000002","View Full Record in Web of Science")</f>
        <v>View Full Record in Web of Science</v>
      </c>
    </row>
    <row r="14" spans="1:30" x14ac:dyDescent="0.35">
      <c r="A14">
        <v>13</v>
      </c>
      <c r="B14" t="s">
        <v>3043</v>
      </c>
      <c r="C14" t="s">
        <v>3986</v>
      </c>
      <c r="D14" t="s">
        <v>3043</v>
      </c>
      <c r="E14" t="s">
        <v>2869</v>
      </c>
      <c r="F14" t="s">
        <v>3810</v>
      </c>
      <c r="G14" t="s">
        <v>3987</v>
      </c>
      <c r="H14" t="s">
        <v>3988</v>
      </c>
      <c r="I14" t="s">
        <v>3989</v>
      </c>
      <c r="J14" t="s">
        <v>3990</v>
      </c>
      <c r="K14" t="s">
        <v>3991</v>
      </c>
      <c r="L14">
        <v>39</v>
      </c>
      <c r="M14" t="s">
        <v>3880</v>
      </c>
      <c r="N14" t="s">
        <v>3881</v>
      </c>
      <c r="O14" t="s">
        <v>3882</v>
      </c>
      <c r="P14" t="s">
        <v>3897</v>
      </c>
      <c r="Q14" t="s">
        <v>3898</v>
      </c>
      <c r="R14" t="s">
        <v>3899</v>
      </c>
      <c r="S14" t="s">
        <v>3900</v>
      </c>
      <c r="T14" t="s">
        <v>3992</v>
      </c>
      <c r="U14">
        <v>2019</v>
      </c>
      <c r="V14">
        <v>40</v>
      </c>
      <c r="W14">
        <v>21</v>
      </c>
      <c r="X14" t="s">
        <v>3993</v>
      </c>
      <c r="Y14" t="str">
        <f>HYPERLINK("http://dx.doi.org/10.1080/01431161.2018.1547457","http://dx.doi.org/10.1080/01431161.2018.1547457")</f>
        <v>http://dx.doi.org/10.1080/01431161.2018.1547457</v>
      </c>
      <c r="Z14" t="s">
        <v>3903</v>
      </c>
      <c r="AA14" t="s">
        <v>3826</v>
      </c>
      <c r="AB14" s="3">
        <v>45672</v>
      </c>
      <c r="AC14" t="s">
        <v>3994</v>
      </c>
      <c r="AD14" t="str">
        <f>HYPERLINK("https%3A%2F%2Fwww.webofscience.com%2Fwos%2Fwoscc%2Ffull-record%2FWOS:000472112000003","View Full Record in Web of Science")</f>
        <v>View Full Record in Web of Science</v>
      </c>
    </row>
    <row r="15" spans="1:30" x14ac:dyDescent="0.35">
      <c r="A15">
        <v>14</v>
      </c>
      <c r="B15" t="s">
        <v>3044</v>
      </c>
      <c r="C15" t="s">
        <v>3995</v>
      </c>
      <c r="D15" t="s">
        <v>3044</v>
      </c>
      <c r="E15" t="s">
        <v>2871</v>
      </c>
      <c r="F15" t="s">
        <v>3810</v>
      </c>
      <c r="G15" t="s">
        <v>3996</v>
      </c>
      <c r="H15" t="s">
        <v>3997</v>
      </c>
      <c r="I15" t="s">
        <v>3998</v>
      </c>
      <c r="J15" t="s">
        <v>3999</v>
      </c>
      <c r="K15" t="s">
        <v>4000</v>
      </c>
      <c r="L15">
        <v>9</v>
      </c>
      <c r="M15" t="s">
        <v>3866</v>
      </c>
      <c r="N15" t="s">
        <v>3817</v>
      </c>
      <c r="O15" t="s">
        <v>3867</v>
      </c>
      <c r="P15" t="s">
        <v>3928</v>
      </c>
      <c r="Q15" t="s">
        <v>3929</v>
      </c>
      <c r="R15" t="s">
        <v>3930</v>
      </c>
      <c r="S15" t="s">
        <v>3931</v>
      </c>
      <c r="T15" t="s">
        <v>4001</v>
      </c>
      <c r="U15">
        <v>2023</v>
      </c>
      <c r="V15">
        <v>115</v>
      </c>
      <c r="W15">
        <v>1</v>
      </c>
      <c r="X15" t="s">
        <v>4002</v>
      </c>
      <c r="Y15" t="str">
        <f>HYPERLINK("http://dx.doi.org/10.1007/s11069-022-05569-4","http://dx.doi.org/10.1007/s11069-022-05569-4")</f>
        <v>http://dx.doi.org/10.1007/s11069-022-05569-4</v>
      </c>
      <c r="Z15" t="s">
        <v>3934</v>
      </c>
      <c r="AA15" t="s">
        <v>3826</v>
      </c>
      <c r="AB15" s="3">
        <v>45672</v>
      </c>
      <c r="AC15" t="s">
        <v>4003</v>
      </c>
      <c r="AD15" t="str">
        <f>HYPERLINK("https%3A%2F%2Fwww.webofscience.com%2Fwos%2Fwoscc%2Ffull-record%2FWOS:000844932300002","View Full Record in Web of Science")</f>
        <v>View Full Record in Web of Science</v>
      </c>
    </row>
    <row r="16" spans="1:30" x14ac:dyDescent="0.35">
      <c r="A16">
        <v>15</v>
      </c>
      <c r="B16" t="s">
        <v>3045</v>
      </c>
      <c r="C16" t="s">
        <v>4004</v>
      </c>
      <c r="D16" t="s">
        <v>3045</v>
      </c>
      <c r="E16" t="s">
        <v>2876</v>
      </c>
      <c r="F16" t="s">
        <v>3810</v>
      </c>
      <c r="G16" t="s">
        <v>4005</v>
      </c>
      <c r="H16" t="s">
        <v>4006</v>
      </c>
      <c r="I16" t="s">
        <v>4007</v>
      </c>
      <c r="K16" t="s">
        <v>3808</v>
      </c>
      <c r="L16">
        <v>142</v>
      </c>
      <c r="M16" t="s">
        <v>3951</v>
      </c>
      <c r="N16" t="s">
        <v>3952</v>
      </c>
      <c r="O16" t="s">
        <v>3953</v>
      </c>
      <c r="P16" t="s">
        <v>3981</v>
      </c>
      <c r="Q16" t="s">
        <v>3808</v>
      </c>
      <c r="R16" t="s">
        <v>3982</v>
      </c>
      <c r="S16" t="s">
        <v>3983</v>
      </c>
      <c r="T16" t="s">
        <v>3872</v>
      </c>
      <c r="U16">
        <v>2017</v>
      </c>
      <c r="V16">
        <v>17</v>
      </c>
      <c r="W16" t="s">
        <v>3808</v>
      </c>
      <c r="X16" t="s">
        <v>4008</v>
      </c>
      <c r="Y16" t="str">
        <f>HYPERLINK("http://dx.doi.org/10.1016/j.wace.2017.07.004","http://dx.doi.org/10.1016/j.wace.2017.07.004")</f>
        <v>http://dx.doi.org/10.1016/j.wace.2017.07.004</v>
      </c>
      <c r="Z16" t="s">
        <v>3825</v>
      </c>
      <c r="AA16" t="s">
        <v>3826</v>
      </c>
      <c r="AB16" s="3">
        <v>45672</v>
      </c>
      <c r="AC16" t="s">
        <v>4009</v>
      </c>
      <c r="AD16" t="str">
        <f>HYPERLINK("https%3A%2F%2Fwww.webofscience.com%2Fwos%2Fwoscc%2Ffull-record%2FWOS:000425923500006","View Full Record in Web of Science")</f>
        <v>View Full Record in Web of Science</v>
      </c>
    </row>
    <row r="17" spans="1:30" x14ac:dyDescent="0.35">
      <c r="A17">
        <v>16</v>
      </c>
      <c r="B17" t="s">
        <v>3046</v>
      </c>
      <c r="C17" t="s">
        <v>4010</v>
      </c>
      <c r="D17" t="s">
        <v>3046</v>
      </c>
      <c r="E17" t="s">
        <v>2872</v>
      </c>
      <c r="F17" t="s">
        <v>3810</v>
      </c>
      <c r="G17" t="s">
        <v>4011</v>
      </c>
      <c r="H17" t="s">
        <v>4012</v>
      </c>
      <c r="I17" t="s">
        <v>4013</v>
      </c>
      <c r="J17" t="s">
        <v>4014</v>
      </c>
      <c r="K17" t="s">
        <v>4015</v>
      </c>
      <c r="L17">
        <v>8</v>
      </c>
      <c r="M17" t="s">
        <v>3951</v>
      </c>
      <c r="N17" t="s">
        <v>3952</v>
      </c>
      <c r="O17" t="s">
        <v>3953</v>
      </c>
      <c r="P17" t="s">
        <v>3954</v>
      </c>
      <c r="Q17" t="s">
        <v>3955</v>
      </c>
      <c r="R17" t="s">
        <v>3956</v>
      </c>
      <c r="S17" t="s">
        <v>3957</v>
      </c>
      <c r="T17" t="s">
        <v>4016</v>
      </c>
      <c r="U17">
        <v>2023</v>
      </c>
      <c r="V17">
        <v>625</v>
      </c>
      <c r="W17" t="s">
        <v>3808</v>
      </c>
      <c r="X17" t="s">
        <v>4017</v>
      </c>
      <c r="Y17" t="str">
        <f>HYPERLINK("http://dx.doi.org/10.1016/j.jhydrol.2023.130090","http://dx.doi.org/10.1016/j.jhydrol.2023.130090")</f>
        <v>http://dx.doi.org/10.1016/j.jhydrol.2023.130090</v>
      </c>
      <c r="Z17" t="s">
        <v>3960</v>
      </c>
      <c r="AA17" t="s">
        <v>3826</v>
      </c>
      <c r="AB17" s="3">
        <v>45672</v>
      </c>
      <c r="AC17" t="s">
        <v>4018</v>
      </c>
      <c r="AD17" t="str">
        <f>HYPERLINK("https%3A%2F%2Fwww.webofscience.com%2Fwos%2Fwoscc%2Ffull-record%2FWOS:001076650900001","View Full Record in Web of Science")</f>
        <v>View Full Record in Web of Science</v>
      </c>
    </row>
    <row r="18" spans="1:30" x14ac:dyDescent="0.35">
      <c r="A18">
        <v>17</v>
      </c>
      <c r="B18" t="s">
        <v>3047</v>
      </c>
      <c r="C18" t="s">
        <v>4019</v>
      </c>
      <c r="D18" t="s">
        <v>3047</v>
      </c>
      <c r="E18" t="s">
        <v>2869</v>
      </c>
      <c r="F18" t="s">
        <v>3810</v>
      </c>
      <c r="G18" t="s">
        <v>4020</v>
      </c>
      <c r="H18" t="s">
        <v>4021</v>
      </c>
      <c r="I18" t="s">
        <v>4022</v>
      </c>
      <c r="J18" t="s">
        <v>4023</v>
      </c>
      <c r="K18" t="s">
        <v>4024</v>
      </c>
      <c r="L18">
        <v>15</v>
      </c>
      <c r="M18" t="s">
        <v>3880</v>
      </c>
      <c r="N18" t="s">
        <v>3881</v>
      </c>
      <c r="O18" t="s">
        <v>3882</v>
      </c>
      <c r="P18" t="s">
        <v>3897</v>
      </c>
      <c r="Q18" t="s">
        <v>3898</v>
      </c>
      <c r="R18" t="s">
        <v>3899</v>
      </c>
      <c r="S18" t="s">
        <v>3900</v>
      </c>
      <c r="T18" t="s">
        <v>3808</v>
      </c>
      <c r="U18">
        <v>2017</v>
      </c>
      <c r="V18">
        <v>38</v>
      </c>
      <c r="W18">
        <v>14</v>
      </c>
      <c r="X18" t="s">
        <v>4025</v>
      </c>
      <c r="Y18" t="str">
        <f>HYPERLINK("http://dx.doi.org/10.1080/01431161.2017.1312622","http://dx.doi.org/10.1080/01431161.2017.1312622")</f>
        <v>http://dx.doi.org/10.1080/01431161.2017.1312622</v>
      </c>
      <c r="Z18" t="s">
        <v>3903</v>
      </c>
      <c r="AA18" t="s">
        <v>3826</v>
      </c>
      <c r="AB18" s="3">
        <v>45672</v>
      </c>
      <c r="AC18" t="s">
        <v>4026</v>
      </c>
      <c r="AD18" t="str">
        <f>HYPERLINK("https%3A%2F%2Fwww.webofscience.com%2Fwos%2Fwoscc%2Ffull-record%2FWOS:000401460800003","View Full Record in Web of Science")</f>
        <v>View Full Record in Web of Science</v>
      </c>
    </row>
    <row r="19" spans="1:30" x14ac:dyDescent="0.35">
      <c r="A19">
        <v>18</v>
      </c>
      <c r="B19" t="s">
        <v>3048</v>
      </c>
      <c r="C19" t="s">
        <v>4027</v>
      </c>
      <c r="D19" t="s">
        <v>3048</v>
      </c>
      <c r="E19" t="s">
        <v>2877</v>
      </c>
      <c r="F19" t="s">
        <v>3810</v>
      </c>
      <c r="G19" t="s">
        <v>4028</v>
      </c>
      <c r="H19" t="s">
        <v>4029</v>
      </c>
      <c r="I19" t="s">
        <v>4030</v>
      </c>
      <c r="J19" t="s">
        <v>4031</v>
      </c>
      <c r="K19" t="s">
        <v>4032</v>
      </c>
      <c r="L19">
        <v>16</v>
      </c>
      <c r="M19" t="s">
        <v>4033</v>
      </c>
      <c r="N19" t="s">
        <v>4034</v>
      </c>
      <c r="O19" t="s">
        <v>4035</v>
      </c>
      <c r="P19" t="s">
        <v>4036</v>
      </c>
      <c r="Q19" t="s">
        <v>4037</v>
      </c>
      <c r="R19" t="s">
        <v>4038</v>
      </c>
      <c r="S19" t="s">
        <v>4039</v>
      </c>
      <c r="T19" t="s">
        <v>3918</v>
      </c>
      <c r="U19">
        <v>2016</v>
      </c>
      <c r="V19">
        <v>29</v>
      </c>
      <c r="W19">
        <v>13</v>
      </c>
      <c r="X19" t="s">
        <v>4040</v>
      </c>
      <c r="Y19" t="str">
        <f>HYPERLINK("http://dx.doi.org/10.1175/JCLI-D-14-00468.1","http://dx.doi.org/10.1175/JCLI-D-14-00468.1")</f>
        <v>http://dx.doi.org/10.1175/JCLI-D-14-00468.1</v>
      </c>
      <c r="Z19" t="s">
        <v>3825</v>
      </c>
      <c r="AA19" t="s">
        <v>3826</v>
      </c>
      <c r="AB19" s="3">
        <v>45672</v>
      </c>
      <c r="AC19" t="s">
        <v>4041</v>
      </c>
      <c r="AD19" t="str">
        <f>HYPERLINK("https%3A%2F%2Fwww.webofscience.com%2Fwos%2Fwoscc%2Ffull-record%2FWOS:000378091900006","View Full Record in Web of Science")</f>
        <v>View Full Record in Web of Science</v>
      </c>
    </row>
    <row r="20" spans="1:30" x14ac:dyDescent="0.35">
      <c r="A20">
        <v>19</v>
      </c>
      <c r="B20" t="s">
        <v>3049</v>
      </c>
      <c r="C20" t="s">
        <v>4042</v>
      </c>
      <c r="D20" t="s">
        <v>3049</v>
      </c>
      <c r="E20" t="s">
        <v>2878</v>
      </c>
      <c r="F20" t="s">
        <v>3810</v>
      </c>
      <c r="G20" t="s">
        <v>4043</v>
      </c>
      <c r="H20" t="s">
        <v>4044</v>
      </c>
      <c r="I20" t="s">
        <v>4045</v>
      </c>
      <c r="J20" t="s">
        <v>3808</v>
      </c>
      <c r="K20" t="s">
        <v>3808</v>
      </c>
      <c r="L20">
        <v>6</v>
      </c>
      <c r="M20" t="s">
        <v>4046</v>
      </c>
      <c r="N20" t="s">
        <v>4047</v>
      </c>
      <c r="O20" t="s">
        <v>4048</v>
      </c>
      <c r="P20" t="s">
        <v>4049</v>
      </c>
      <c r="Q20" t="s">
        <v>4050</v>
      </c>
      <c r="R20" t="s">
        <v>4051</v>
      </c>
      <c r="S20" t="s">
        <v>4052</v>
      </c>
      <c r="T20" t="s">
        <v>4053</v>
      </c>
      <c r="U20">
        <v>2017</v>
      </c>
      <c r="V20">
        <v>145</v>
      </c>
      <c r="W20" t="s">
        <v>3808</v>
      </c>
      <c r="X20" t="s">
        <v>4054</v>
      </c>
      <c r="Y20" t="str">
        <f>HYPERLINK("http://dx.doi.org/10.1016/j.csr.2017.07.004","http://dx.doi.org/10.1016/j.csr.2017.07.004")</f>
        <v>http://dx.doi.org/10.1016/j.csr.2017.07.004</v>
      </c>
      <c r="Z20" t="s">
        <v>4055</v>
      </c>
      <c r="AA20" t="s">
        <v>3826</v>
      </c>
      <c r="AB20" s="3">
        <v>45672</v>
      </c>
      <c r="AC20" t="s">
        <v>4056</v>
      </c>
      <c r="AD20" t="str">
        <f>HYPERLINK("https%3A%2F%2Fwww.webofscience.com%2Fwos%2Fwoscc%2Ffull-record%2FWOS:000411548400004","View Full Record in Web of Science")</f>
        <v>View Full Record in Web of Science</v>
      </c>
    </row>
    <row r="21" spans="1:30" x14ac:dyDescent="0.35">
      <c r="A21">
        <v>20</v>
      </c>
      <c r="B21" t="s">
        <v>3050</v>
      </c>
      <c r="C21" t="s">
        <v>4057</v>
      </c>
      <c r="D21" t="s">
        <v>3050</v>
      </c>
      <c r="E21" t="s">
        <v>2879</v>
      </c>
      <c r="F21" t="s">
        <v>3810</v>
      </c>
      <c r="G21" t="s">
        <v>4058</v>
      </c>
      <c r="H21" t="s">
        <v>4059</v>
      </c>
      <c r="I21" t="s">
        <v>4060</v>
      </c>
      <c r="K21" t="s">
        <v>3808</v>
      </c>
      <c r="L21">
        <v>14</v>
      </c>
      <c r="M21" t="s">
        <v>4061</v>
      </c>
      <c r="N21" t="s">
        <v>4062</v>
      </c>
      <c r="O21" t="s">
        <v>4063</v>
      </c>
      <c r="P21" t="s">
        <v>4064</v>
      </c>
      <c r="Q21" t="s">
        <v>4065</v>
      </c>
      <c r="R21" t="s">
        <v>4066</v>
      </c>
      <c r="S21" t="s">
        <v>4067</v>
      </c>
      <c r="T21" t="s">
        <v>3974</v>
      </c>
      <c r="U21">
        <v>2017</v>
      </c>
      <c r="V21">
        <v>8</v>
      </c>
      <c r="W21">
        <v>2</v>
      </c>
      <c r="X21" t="s">
        <v>4068</v>
      </c>
      <c r="Y21" t="str">
        <f>HYPERLINK("http://dx.doi.org/10.1007/s13753-017-0125-x","http://dx.doi.org/10.1007/s13753-017-0125-x")</f>
        <v>http://dx.doi.org/10.1007/s13753-017-0125-x</v>
      </c>
      <c r="Z21" t="s">
        <v>3934</v>
      </c>
      <c r="AA21" t="s">
        <v>3826</v>
      </c>
      <c r="AB21" s="3">
        <v>45672</v>
      </c>
      <c r="AC21" t="s">
        <v>4069</v>
      </c>
      <c r="AD21" t="str">
        <f>HYPERLINK("https%3A%2F%2Fwww.webofscience.com%2Fwos%2Fwoscc%2Ffull-record%2FWOS:000404615100011","View Full Record in Web of Science")</f>
        <v>View Full Record in Web of Science</v>
      </c>
    </row>
    <row r="22" spans="1:30" x14ac:dyDescent="0.35">
      <c r="A22">
        <v>21</v>
      </c>
      <c r="B22" t="s">
        <v>3051</v>
      </c>
      <c r="C22" t="s">
        <v>4070</v>
      </c>
      <c r="D22" t="s">
        <v>3051</v>
      </c>
      <c r="E22" t="s">
        <v>2881</v>
      </c>
      <c r="F22" t="s">
        <v>3810</v>
      </c>
      <c r="G22" t="s">
        <v>4071</v>
      </c>
      <c r="H22" t="s">
        <v>4072</v>
      </c>
      <c r="I22" t="s">
        <v>4073</v>
      </c>
      <c r="J22" t="s">
        <v>4074</v>
      </c>
      <c r="K22" t="s">
        <v>4075</v>
      </c>
      <c r="L22">
        <v>23</v>
      </c>
      <c r="M22" t="s">
        <v>4033</v>
      </c>
      <c r="N22" t="s">
        <v>4034</v>
      </c>
      <c r="O22" t="s">
        <v>4035</v>
      </c>
      <c r="P22" t="s">
        <v>4076</v>
      </c>
      <c r="Q22" t="s">
        <v>4077</v>
      </c>
      <c r="R22" t="s">
        <v>4078</v>
      </c>
      <c r="S22" t="s">
        <v>4079</v>
      </c>
      <c r="T22" t="s">
        <v>3932</v>
      </c>
      <c r="U22">
        <v>2018</v>
      </c>
      <c r="V22">
        <v>19</v>
      </c>
      <c r="W22">
        <v>5</v>
      </c>
      <c r="X22" t="s">
        <v>4080</v>
      </c>
      <c r="Y22" t="str">
        <f>HYPERLINK("http://dx.doi.org/10.1175/JHM-D-17-0195.1","http://dx.doi.org/10.1175/JHM-D-17-0195.1")</f>
        <v>http://dx.doi.org/10.1175/JHM-D-17-0195.1</v>
      </c>
      <c r="Z22" t="s">
        <v>3825</v>
      </c>
      <c r="AA22" t="s">
        <v>3826</v>
      </c>
      <c r="AB22" s="3">
        <v>45672</v>
      </c>
      <c r="AC22" t="s">
        <v>4081</v>
      </c>
      <c r="AD22" t="str">
        <f>HYPERLINK("https%3A%2F%2Fwww.webofscience.com%2Fwos%2Fwoscc%2Ffull-record%2FWOS:000445390800006","View Full Record in Web of Science")</f>
        <v>View Full Record in Web of Science</v>
      </c>
    </row>
    <row r="23" spans="1:30" x14ac:dyDescent="0.35">
      <c r="A23">
        <v>22</v>
      </c>
      <c r="B23" t="s">
        <v>3052</v>
      </c>
      <c r="C23" t="s">
        <v>4082</v>
      </c>
      <c r="D23" t="s">
        <v>3052</v>
      </c>
      <c r="E23" t="s">
        <v>2882</v>
      </c>
      <c r="F23" t="s">
        <v>3810</v>
      </c>
      <c r="G23" t="s">
        <v>4083</v>
      </c>
      <c r="H23" t="s">
        <v>4084</v>
      </c>
      <c r="I23" t="s">
        <v>4085</v>
      </c>
      <c r="J23" t="s">
        <v>4086</v>
      </c>
      <c r="K23" t="s">
        <v>4087</v>
      </c>
      <c r="L23">
        <v>11</v>
      </c>
      <c r="M23" t="s">
        <v>3850</v>
      </c>
      <c r="N23" t="s">
        <v>3851</v>
      </c>
      <c r="O23" t="s">
        <v>3852</v>
      </c>
      <c r="P23" t="s">
        <v>4088</v>
      </c>
      <c r="Q23" t="s">
        <v>4089</v>
      </c>
      <c r="R23" t="s">
        <v>4090</v>
      </c>
      <c r="S23" t="s">
        <v>4091</v>
      </c>
      <c r="T23" t="s">
        <v>4016</v>
      </c>
      <c r="U23">
        <v>2021</v>
      </c>
      <c r="V23">
        <v>147</v>
      </c>
      <c r="W23">
        <v>740</v>
      </c>
      <c r="X23" t="s">
        <v>4092</v>
      </c>
      <c r="Y23" t="str">
        <f>HYPERLINK("http://dx.doi.org/10.1002/qj.4147","http://dx.doi.org/10.1002/qj.4147")</f>
        <v>http://dx.doi.org/10.1002/qj.4147</v>
      </c>
      <c r="Z23" t="s">
        <v>3825</v>
      </c>
      <c r="AA23" t="s">
        <v>3826</v>
      </c>
      <c r="AB23" s="3">
        <v>45672</v>
      </c>
      <c r="AC23" t="s">
        <v>4093</v>
      </c>
      <c r="AD23" t="str">
        <f>HYPERLINK("https%3A%2F%2Fwww.webofscience.com%2Fwos%2Fwoscc%2Ffull-record%2FWOS:000688180800001","View Full Record in Web of Science")</f>
        <v>View Full Record in Web of Science</v>
      </c>
    </row>
    <row r="24" spans="1:30" x14ac:dyDescent="0.35">
      <c r="A24">
        <v>23</v>
      </c>
      <c r="B24" t="s">
        <v>3053</v>
      </c>
      <c r="C24" t="s">
        <v>4094</v>
      </c>
      <c r="D24" t="s">
        <v>3053</v>
      </c>
      <c r="E24" t="s">
        <v>2877</v>
      </c>
      <c r="F24" t="s">
        <v>3810</v>
      </c>
      <c r="G24" t="s">
        <v>4095</v>
      </c>
      <c r="H24" t="s">
        <v>4096</v>
      </c>
      <c r="I24" t="s">
        <v>4097</v>
      </c>
      <c r="J24" t="s">
        <v>4098</v>
      </c>
      <c r="K24" t="s">
        <v>4099</v>
      </c>
      <c r="L24">
        <v>36</v>
      </c>
      <c r="M24" t="s">
        <v>4033</v>
      </c>
      <c r="N24" t="s">
        <v>4034</v>
      </c>
      <c r="O24" t="s">
        <v>4035</v>
      </c>
      <c r="P24" t="s">
        <v>4036</v>
      </c>
      <c r="Q24" t="s">
        <v>4037</v>
      </c>
      <c r="R24" t="s">
        <v>4038</v>
      </c>
      <c r="S24" t="s">
        <v>4039</v>
      </c>
      <c r="T24" t="s">
        <v>3823</v>
      </c>
      <c r="U24">
        <v>2015</v>
      </c>
      <c r="V24">
        <v>28</v>
      </c>
      <c r="W24">
        <v>4</v>
      </c>
      <c r="X24" t="s">
        <v>4100</v>
      </c>
      <c r="Y24" t="str">
        <f>HYPERLINK("http://dx.doi.org/10.1175/JCLI-D-14-00170.1","http://dx.doi.org/10.1175/JCLI-D-14-00170.1")</f>
        <v>http://dx.doi.org/10.1175/JCLI-D-14-00170.1</v>
      </c>
      <c r="Z24" t="s">
        <v>3825</v>
      </c>
      <c r="AA24" t="s">
        <v>3826</v>
      </c>
      <c r="AB24" s="3">
        <v>45672</v>
      </c>
      <c r="AC24" t="s">
        <v>4101</v>
      </c>
      <c r="AD24" t="str">
        <f>HYPERLINK("https%3A%2F%2Fwww.webofscience.com%2Fwos%2Fwoscc%2Ffull-record%2FWOS:000349670000005","View Full Record in Web of Science")</f>
        <v>View Full Record in Web of Science</v>
      </c>
    </row>
    <row r="25" spans="1:30" x14ac:dyDescent="0.35">
      <c r="A25">
        <v>24</v>
      </c>
      <c r="B25" t="s">
        <v>3054</v>
      </c>
      <c r="C25" t="s">
        <v>4102</v>
      </c>
      <c r="D25" t="s">
        <v>3054</v>
      </c>
      <c r="E25" t="s">
        <v>2883</v>
      </c>
      <c r="F25" t="s">
        <v>3810</v>
      </c>
      <c r="G25" t="s">
        <v>4103</v>
      </c>
      <c r="H25" t="s">
        <v>4104</v>
      </c>
      <c r="I25" t="s">
        <v>4105</v>
      </c>
      <c r="J25" t="s">
        <v>4106</v>
      </c>
      <c r="K25" t="s">
        <v>4107</v>
      </c>
      <c r="L25">
        <v>16</v>
      </c>
      <c r="M25" t="s">
        <v>4108</v>
      </c>
      <c r="N25" t="s">
        <v>4109</v>
      </c>
      <c r="O25" t="s">
        <v>4110</v>
      </c>
      <c r="P25" t="s">
        <v>4111</v>
      </c>
      <c r="Q25" t="s">
        <v>3808</v>
      </c>
      <c r="R25" t="s">
        <v>4112</v>
      </c>
      <c r="S25" t="s">
        <v>4113</v>
      </c>
      <c r="T25" t="s">
        <v>4114</v>
      </c>
      <c r="U25">
        <v>2020</v>
      </c>
      <c r="V25">
        <v>3</v>
      </c>
      <c r="W25">
        <v>1</v>
      </c>
      <c r="X25" t="s">
        <v>4115</v>
      </c>
      <c r="Y25" t="str">
        <f>HYPERLINK("http://dx.doi.org/10.31035/cg2020009","http://dx.doi.org/10.31035/cg2020009")</f>
        <v>http://dx.doi.org/10.31035/cg2020009</v>
      </c>
      <c r="Z25" t="s">
        <v>4116</v>
      </c>
      <c r="AA25" t="s">
        <v>4117</v>
      </c>
      <c r="AB25" s="3">
        <v>45672</v>
      </c>
      <c r="AC25" t="s">
        <v>4118</v>
      </c>
      <c r="AD25" t="str">
        <f>HYPERLINK("https%3A%2F%2Fwww.webofscience.com%2Fwos%2Fwoscc%2Ffull-record%2FWOS:000536045700007","View Full Record in Web of Science")</f>
        <v>View Full Record in Web of Science</v>
      </c>
    </row>
    <row r="26" spans="1:30" x14ac:dyDescent="0.35">
      <c r="A26">
        <v>25</v>
      </c>
      <c r="B26" t="s">
        <v>3055</v>
      </c>
      <c r="C26" t="s">
        <v>4119</v>
      </c>
      <c r="D26" t="s">
        <v>3055</v>
      </c>
      <c r="E26" t="s">
        <v>2886</v>
      </c>
      <c r="F26" t="s">
        <v>3810</v>
      </c>
      <c r="G26" t="s">
        <v>4120</v>
      </c>
      <c r="H26" t="s">
        <v>4121</v>
      </c>
      <c r="I26" t="s">
        <v>4122</v>
      </c>
      <c r="J26" t="s">
        <v>4123</v>
      </c>
      <c r="K26" t="s">
        <v>4124</v>
      </c>
      <c r="L26">
        <v>26</v>
      </c>
      <c r="M26" t="s">
        <v>4061</v>
      </c>
      <c r="N26" t="s">
        <v>4062</v>
      </c>
      <c r="O26" t="s">
        <v>4063</v>
      </c>
      <c r="P26" t="s">
        <v>4125</v>
      </c>
      <c r="Q26" t="s">
        <v>4126</v>
      </c>
      <c r="R26" t="s">
        <v>4127</v>
      </c>
      <c r="S26" t="s">
        <v>4128</v>
      </c>
      <c r="T26" t="s">
        <v>3932</v>
      </c>
      <c r="U26">
        <v>2016</v>
      </c>
      <c r="V26">
        <v>9</v>
      </c>
      <c r="W26">
        <v>6</v>
      </c>
      <c r="X26" t="s">
        <v>4129</v>
      </c>
      <c r="Y26" t="str">
        <f>HYPERLINK("http://dx.doi.org/10.1007/s12517-016-2502-y","http://dx.doi.org/10.1007/s12517-016-2502-y")</f>
        <v>http://dx.doi.org/10.1007/s12517-016-2502-y</v>
      </c>
      <c r="Z26" t="s">
        <v>4116</v>
      </c>
      <c r="AA26" t="s">
        <v>3826</v>
      </c>
      <c r="AB26" s="3">
        <v>45672</v>
      </c>
      <c r="AC26" t="s">
        <v>4130</v>
      </c>
      <c r="AD26" t="str">
        <f>HYPERLINK("https%3A%2F%2Fwww.webofscience.com%2Fwos%2Fwoscc%2Ffull-record%2FWOS:000376611000043","View Full Record in Web of Science")</f>
        <v>View Full Record in Web of Science</v>
      </c>
    </row>
    <row r="27" spans="1:30" x14ac:dyDescent="0.35">
      <c r="A27">
        <v>26</v>
      </c>
      <c r="B27" t="s">
        <v>3056</v>
      </c>
      <c r="C27" t="s">
        <v>4131</v>
      </c>
      <c r="D27" t="s">
        <v>3056</v>
      </c>
      <c r="E27" t="s">
        <v>2866</v>
      </c>
      <c r="F27" t="s">
        <v>3810</v>
      </c>
      <c r="G27" t="s">
        <v>4132</v>
      </c>
      <c r="H27" t="s">
        <v>4133</v>
      </c>
      <c r="I27" t="s">
        <v>4134</v>
      </c>
      <c r="J27" t="s">
        <v>4135</v>
      </c>
      <c r="K27" t="s">
        <v>4136</v>
      </c>
      <c r="L27">
        <v>4</v>
      </c>
      <c r="M27" t="s">
        <v>3850</v>
      </c>
      <c r="N27" t="s">
        <v>3851</v>
      </c>
      <c r="O27" t="s">
        <v>3852</v>
      </c>
      <c r="P27" t="s">
        <v>3853</v>
      </c>
      <c r="Q27" t="s">
        <v>3854</v>
      </c>
      <c r="R27" t="s">
        <v>3855</v>
      </c>
      <c r="S27" t="s">
        <v>3856</v>
      </c>
      <c r="T27" t="s">
        <v>4137</v>
      </c>
      <c r="U27">
        <v>2017</v>
      </c>
      <c r="V27">
        <v>37</v>
      </c>
      <c r="W27" t="s">
        <v>3808</v>
      </c>
      <c r="X27" t="s">
        <v>4138</v>
      </c>
      <c r="Y27" t="str">
        <f>HYPERLINK("http://dx.doi.org/10.1002/joc.4997","http://dx.doi.org/10.1002/joc.4997")</f>
        <v>http://dx.doi.org/10.1002/joc.4997</v>
      </c>
      <c r="Z27" t="s">
        <v>3825</v>
      </c>
      <c r="AA27" t="s">
        <v>3826</v>
      </c>
      <c r="AB27" s="3">
        <v>45672</v>
      </c>
      <c r="AC27" t="s">
        <v>4139</v>
      </c>
      <c r="AD27" t="str">
        <f>HYPERLINK("https%3A%2F%2Fwww.webofscience.com%2Fwos%2Fwoscc%2Ffull-record%2FWOS:000417298600017","View Full Record in Web of Science")</f>
        <v>View Full Record in Web of Science</v>
      </c>
    </row>
    <row r="28" spans="1:30" x14ac:dyDescent="0.35">
      <c r="A28">
        <v>27</v>
      </c>
      <c r="B28" t="s">
        <v>3057</v>
      </c>
      <c r="C28" t="s">
        <v>4140</v>
      </c>
      <c r="D28" t="s">
        <v>3057</v>
      </c>
      <c r="E28" t="s">
        <v>2877</v>
      </c>
      <c r="F28" t="s">
        <v>3810</v>
      </c>
      <c r="G28" t="s">
        <v>4141</v>
      </c>
      <c r="H28" t="s">
        <v>4142</v>
      </c>
      <c r="I28" t="s">
        <v>4143</v>
      </c>
      <c r="J28" t="s">
        <v>4144</v>
      </c>
      <c r="K28" t="s">
        <v>4145</v>
      </c>
      <c r="L28">
        <v>5</v>
      </c>
      <c r="M28" t="s">
        <v>4033</v>
      </c>
      <c r="N28" t="s">
        <v>4034</v>
      </c>
      <c r="O28" t="s">
        <v>4035</v>
      </c>
      <c r="P28" t="s">
        <v>4036</v>
      </c>
      <c r="Q28" t="s">
        <v>4037</v>
      </c>
      <c r="R28" t="s">
        <v>4038</v>
      </c>
      <c r="S28" t="s">
        <v>4039</v>
      </c>
      <c r="T28" t="s">
        <v>4137</v>
      </c>
      <c r="U28">
        <v>2019</v>
      </c>
      <c r="V28">
        <v>32</v>
      </c>
      <c r="W28">
        <v>16</v>
      </c>
      <c r="X28" t="s">
        <v>4146</v>
      </c>
      <c r="Y28" t="str">
        <f>HYPERLINK("http://dx.doi.org/10.1175/JCLI-D-18-0239.1","http://dx.doi.org/10.1175/JCLI-D-18-0239.1")</f>
        <v>http://dx.doi.org/10.1175/JCLI-D-18-0239.1</v>
      </c>
      <c r="Z28" t="s">
        <v>3825</v>
      </c>
      <c r="AA28" t="s">
        <v>3826</v>
      </c>
      <c r="AB28" s="3">
        <v>45672</v>
      </c>
      <c r="AC28" t="s">
        <v>4147</v>
      </c>
      <c r="AD28" t="str">
        <f>HYPERLINK("https%3A%2F%2Fwww.webofscience.com%2Fwos%2Fwoscc%2Ffull-record%2FWOS:000476762600005","View Full Record in Web of Science")</f>
        <v>View Full Record in Web of Science</v>
      </c>
    </row>
    <row r="29" spans="1:30" x14ac:dyDescent="0.35">
      <c r="A29">
        <v>28</v>
      </c>
      <c r="B29" t="s">
        <v>3058</v>
      </c>
      <c r="C29" t="s">
        <v>4148</v>
      </c>
      <c r="D29" t="s">
        <v>3058</v>
      </c>
      <c r="E29" t="s">
        <v>2866</v>
      </c>
      <c r="F29" t="s">
        <v>3810</v>
      </c>
      <c r="G29" t="s">
        <v>4149</v>
      </c>
      <c r="H29" t="s">
        <v>4150</v>
      </c>
      <c r="I29" t="s">
        <v>4151</v>
      </c>
      <c r="J29" t="s">
        <v>4152</v>
      </c>
      <c r="K29" t="s">
        <v>4153</v>
      </c>
      <c r="L29">
        <v>27</v>
      </c>
      <c r="M29" t="s">
        <v>3850</v>
      </c>
      <c r="N29" t="s">
        <v>3851</v>
      </c>
      <c r="O29" t="s">
        <v>3852</v>
      </c>
      <c r="P29" t="s">
        <v>3853</v>
      </c>
      <c r="Q29" t="s">
        <v>3854</v>
      </c>
      <c r="R29" t="s">
        <v>3855</v>
      </c>
      <c r="S29" t="s">
        <v>3856</v>
      </c>
      <c r="T29" t="s">
        <v>4154</v>
      </c>
      <c r="U29">
        <v>2015</v>
      </c>
      <c r="V29">
        <v>35</v>
      </c>
      <c r="W29">
        <v>4</v>
      </c>
      <c r="X29" t="s">
        <v>4155</v>
      </c>
      <c r="Y29" t="str">
        <f>HYPERLINK("http://dx.doi.org/10.1002/joc.3995","http://dx.doi.org/10.1002/joc.3995")</f>
        <v>http://dx.doi.org/10.1002/joc.3995</v>
      </c>
      <c r="Z29" t="s">
        <v>3825</v>
      </c>
      <c r="AA29" t="s">
        <v>3826</v>
      </c>
      <c r="AB29" s="3">
        <v>45672</v>
      </c>
      <c r="AC29" t="s">
        <v>4156</v>
      </c>
      <c r="AD29" t="str">
        <f>HYPERLINK("https%3A%2F%2Fwww.webofscience.com%2Fwos%2Fwoscc%2Ffull-record%2FWOS:000351608900011","View Full Record in Web of Science")</f>
        <v>View Full Record in Web of Science</v>
      </c>
    </row>
    <row r="30" spans="1:30" x14ac:dyDescent="0.35">
      <c r="A30">
        <v>29</v>
      </c>
      <c r="B30" t="s">
        <v>3059</v>
      </c>
      <c r="C30" t="s">
        <v>4157</v>
      </c>
      <c r="D30" t="s">
        <v>3059</v>
      </c>
      <c r="E30" t="s">
        <v>2871</v>
      </c>
      <c r="F30" t="s">
        <v>3810</v>
      </c>
      <c r="G30" t="s">
        <v>4158</v>
      </c>
      <c r="H30" t="s">
        <v>4159</v>
      </c>
      <c r="I30" t="s">
        <v>4160</v>
      </c>
      <c r="J30" t="s">
        <v>4161</v>
      </c>
      <c r="K30" t="s">
        <v>4162</v>
      </c>
      <c r="L30">
        <v>11</v>
      </c>
      <c r="M30" t="s">
        <v>3866</v>
      </c>
      <c r="N30" t="s">
        <v>3817</v>
      </c>
      <c r="O30" t="s">
        <v>3867</v>
      </c>
      <c r="P30" t="s">
        <v>3928</v>
      </c>
      <c r="Q30" t="s">
        <v>3929</v>
      </c>
      <c r="R30" t="s">
        <v>3930</v>
      </c>
      <c r="S30" t="s">
        <v>3931</v>
      </c>
      <c r="T30" t="s">
        <v>4163</v>
      </c>
      <c r="U30">
        <v>2020</v>
      </c>
      <c r="V30">
        <v>104</v>
      </c>
      <c r="W30">
        <v>3</v>
      </c>
      <c r="X30" t="s">
        <v>4164</v>
      </c>
      <c r="Y30" t="str">
        <f>HYPERLINK("http://dx.doi.org/10.1007/s11069-020-04281-5","http://dx.doi.org/10.1007/s11069-020-04281-5")</f>
        <v>http://dx.doi.org/10.1007/s11069-020-04281-5</v>
      </c>
      <c r="Z30" t="s">
        <v>3934</v>
      </c>
      <c r="AA30" t="s">
        <v>3826</v>
      </c>
      <c r="AB30" s="3">
        <v>45672</v>
      </c>
      <c r="AC30" t="s">
        <v>4165</v>
      </c>
      <c r="AD30" t="str">
        <f>HYPERLINK("https%3A%2F%2Fwww.webofscience.com%2Fwos%2Fwoscc%2Ffull-record%2FWOS:000568162700004","View Full Record in Web of Science")</f>
        <v>View Full Record in Web of Science</v>
      </c>
    </row>
    <row r="31" spans="1:30" x14ac:dyDescent="0.35">
      <c r="A31">
        <v>30</v>
      </c>
      <c r="B31" t="s">
        <v>3060</v>
      </c>
      <c r="C31" t="s">
        <v>4166</v>
      </c>
      <c r="D31" t="s">
        <v>3060</v>
      </c>
      <c r="E31" t="s">
        <v>2877</v>
      </c>
      <c r="F31" t="s">
        <v>3810</v>
      </c>
      <c r="G31" t="s">
        <v>4167</v>
      </c>
      <c r="H31" t="s">
        <v>4168</v>
      </c>
      <c r="I31" t="s">
        <v>4169</v>
      </c>
      <c r="J31" t="s">
        <v>4170</v>
      </c>
      <c r="K31" t="s">
        <v>4171</v>
      </c>
      <c r="L31">
        <v>28</v>
      </c>
      <c r="M31" t="s">
        <v>4033</v>
      </c>
      <c r="N31" t="s">
        <v>4034</v>
      </c>
      <c r="O31" t="s">
        <v>4035</v>
      </c>
      <c r="P31" t="s">
        <v>4036</v>
      </c>
      <c r="Q31" t="s">
        <v>4037</v>
      </c>
      <c r="R31" t="s">
        <v>4038</v>
      </c>
      <c r="S31" t="s">
        <v>4039</v>
      </c>
      <c r="T31" t="s">
        <v>4001</v>
      </c>
      <c r="U31">
        <v>2019</v>
      </c>
      <c r="V31">
        <v>32</v>
      </c>
      <c r="W31">
        <v>1</v>
      </c>
      <c r="X31" t="s">
        <v>4172</v>
      </c>
      <c r="Y31" t="str">
        <f>HYPERLINK("http://dx.doi.org/10.1175/JCLI-D-18-0034.1","http://dx.doi.org/10.1175/JCLI-D-18-0034.1")</f>
        <v>http://dx.doi.org/10.1175/JCLI-D-18-0034.1</v>
      </c>
      <c r="Z31" t="s">
        <v>3825</v>
      </c>
      <c r="AA31" t="s">
        <v>3826</v>
      </c>
      <c r="AB31" s="3">
        <v>45672</v>
      </c>
      <c r="AC31" t="s">
        <v>4173</v>
      </c>
      <c r="AD31" t="str">
        <f>HYPERLINK("https%3A%2F%2Fwww.webofscience.com%2Fwos%2Fwoscc%2Ffull-record%2FWOS:000453367100002","View Full Record in Web of Science")</f>
        <v>View Full Record in Web of Science</v>
      </c>
    </row>
    <row r="32" spans="1:30" x14ac:dyDescent="0.35">
      <c r="A32">
        <v>31</v>
      </c>
      <c r="B32" t="s">
        <v>3061</v>
      </c>
      <c r="C32" t="s">
        <v>4174</v>
      </c>
      <c r="D32" t="s">
        <v>3061</v>
      </c>
      <c r="E32" t="s">
        <v>2879</v>
      </c>
      <c r="F32" t="s">
        <v>3810</v>
      </c>
      <c r="G32" t="s">
        <v>4175</v>
      </c>
      <c r="H32" t="s">
        <v>4176</v>
      </c>
      <c r="I32" t="s">
        <v>4177</v>
      </c>
      <c r="J32" t="s">
        <v>4178</v>
      </c>
      <c r="K32" t="s">
        <v>4179</v>
      </c>
      <c r="L32">
        <v>8</v>
      </c>
      <c r="M32" t="s">
        <v>3866</v>
      </c>
      <c r="N32" t="s">
        <v>3817</v>
      </c>
      <c r="O32" t="s">
        <v>3867</v>
      </c>
      <c r="P32" t="s">
        <v>4064</v>
      </c>
      <c r="Q32" t="s">
        <v>4065</v>
      </c>
      <c r="R32" t="s">
        <v>4066</v>
      </c>
      <c r="S32" t="s">
        <v>4067</v>
      </c>
      <c r="T32" t="s">
        <v>3974</v>
      </c>
      <c r="U32">
        <v>2022</v>
      </c>
      <c r="V32">
        <v>13</v>
      </c>
      <c r="W32">
        <v>3</v>
      </c>
      <c r="X32" t="s">
        <v>4180</v>
      </c>
      <c r="Y32" t="str">
        <f>HYPERLINK("http://dx.doi.org/10.1007/s13753-022-00420-7","http://dx.doi.org/10.1007/s13753-022-00420-7")</f>
        <v>http://dx.doi.org/10.1007/s13753-022-00420-7</v>
      </c>
      <c r="Z32" t="s">
        <v>3934</v>
      </c>
      <c r="AA32" t="s">
        <v>3826</v>
      </c>
      <c r="AB32" s="3">
        <v>45672</v>
      </c>
      <c r="AC32" t="s">
        <v>4181</v>
      </c>
      <c r="AD32" t="str">
        <f>HYPERLINK("https%3A%2F%2Fwww.webofscience.com%2Fwos%2Fwoscc%2Ffull-record%2FWOS:000812165800001","View Full Record in Web of Science")</f>
        <v>View Full Record in Web of Science</v>
      </c>
    </row>
    <row r="33" spans="1:30" x14ac:dyDescent="0.35">
      <c r="A33">
        <v>32</v>
      </c>
      <c r="B33" t="s">
        <v>3062</v>
      </c>
      <c r="C33" t="s">
        <v>4182</v>
      </c>
      <c r="D33" t="s">
        <v>3062</v>
      </c>
      <c r="E33" t="s">
        <v>2887</v>
      </c>
      <c r="F33" t="s">
        <v>3810</v>
      </c>
      <c r="G33" t="s">
        <v>4183</v>
      </c>
      <c r="H33" t="s">
        <v>4184</v>
      </c>
      <c r="I33" t="s">
        <v>4185</v>
      </c>
      <c r="J33" t="s">
        <v>4186</v>
      </c>
      <c r="K33" t="s">
        <v>4187</v>
      </c>
      <c r="L33">
        <v>7</v>
      </c>
      <c r="M33" t="s">
        <v>3850</v>
      </c>
      <c r="N33" t="s">
        <v>3851</v>
      </c>
      <c r="O33" t="s">
        <v>3852</v>
      </c>
      <c r="P33" t="s">
        <v>4188</v>
      </c>
      <c r="Q33" t="s">
        <v>4189</v>
      </c>
      <c r="R33" t="s">
        <v>4190</v>
      </c>
      <c r="S33" t="s">
        <v>4191</v>
      </c>
      <c r="T33" t="s">
        <v>4001</v>
      </c>
      <c r="U33">
        <v>2020</v>
      </c>
      <c r="V33">
        <v>27</v>
      </c>
      <c r="W33">
        <v>1</v>
      </c>
      <c r="X33" t="s">
        <v>4192</v>
      </c>
      <c r="Y33" t="str">
        <f>HYPERLINK("http://dx.doi.org/10.1002/met.1816","http://dx.doi.org/10.1002/met.1816")</f>
        <v>http://dx.doi.org/10.1002/met.1816</v>
      </c>
      <c r="Z33" t="s">
        <v>3825</v>
      </c>
      <c r="AA33" t="s">
        <v>3826</v>
      </c>
      <c r="AB33" s="3">
        <v>45672</v>
      </c>
      <c r="AC33" t="s">
        <v>4193</v>
      </c>
      <c r="AD33" t="str">
        <f>HYPERLINK("https%3A%2F%2Fwww.webofscience.com%2Fwos%2Fwoscc%2Ffull-record%2FWOS:000476122600001","View Full Record in Web of Science")</f>
        <v>View Full Record in Web of Science</v>
      </c>
    </row>
    <row r="34" spans="1:30" x14ac:dyDescent="0.35">
      <c r="A34">
        <v>33</v>
      </c>
      <c r="B34" t="s">
        <v>3063</v>
      </c>
      <c r="C34" t="s">
        <v>4194</v>
      </c>
      <c r="D34" t="s">
        <v>3063</v>
      </c>
      <c r="E34" t="s">
        <v>2888</v>
      </c>
      <c r="F34" t="s">
        <v>3810</v>
      </c>
      <c r="G34" t="s">
        <v>4195</v>
      </c>
      <c r="H34" t="s">
        <v>4196</v>
      </c>
      <c r="I34" t="s">
        <v>4197</v>
      </c>
      <c r="K34" t="s">
        <v>3808</v>
      </c>
      <c r="L34">
        <v>29</v>
      </c>
      <c r="M34" t="s">
        <v>3951</v>
      </c>
      <c r="N34" t="s">
        <v>3952</v>
      </c>
      <c r="O34" t="s">
        <v>3953</v>
      </c>
      <c r="P34" t="s">
        <v>4198</v>
      </c>
      <c r="Q34" t="s">
        <v>4199</v>
      </c>
      <c r="R34" t="s">
        <v>4200</v>
      </c>
      <c r="S34" t="s">
        <v>4201</v>
      </c>
      <c r="T34" t="s">
        <v>3932</v>
      </c>
      <c r="U34">
        <v>2017</v>
      </c>
      <c r="V34">
        <v>152</v>
      </c>
      <c r="W34" t="s">
        <v>3808</v>
      </c>
      <c r="X34" t="s">
        <v>4202</v>
      </c>
      <c r="Y34" t="str">
        <f>HYPERLINK("http://dx.doi.org/10.1016/j.gloplacha.2017.03.005","http://dx.doi.org/10.1016/j.gloplacha.2017.03.005")</f>
        <v>http://dx.doi.org/10.1016/j.gloplacha.2017.03.005</v>
      </c>
      <c r="Z34" t="s">
        <v>4203</v>
      </c>
      <c r="AA34" t="s">
        <v>3826</v>
      </c>
      <c r="AB34" s="3">
        <v>45672</v>
      </c>
      <c r="AC34" t="s">
        <v>4204</v>
      </c>
      <c r="AD34" t="str">
        <f>HYPERLINK("https%3A%2F%2Fwww.webofscience.com%2Fwos%2Fwoscc%2Ffull-record%2FWOS:000403626400013","View Full Record in Web of Science")</f>
        <v>View Full Record in Web of Science</v>
      </c>
    </row>
    <row r="35" spans="1:30" x14ac:dyDescent="0.35">
      <c r="A35">
        <v>34</v>
      </c>
      <c r="B35" t="s">
        <v>3064</v>
      </c>
      <c r="C35" t="s">
        <v>4205</v>
      </c>
      <c r="D35" t="s">
        <v>3064</v>
      </c>
      <c r="E35" t="s">
        <v>2889</v>
      </c>
      <c r="F35" t="s">
        <v>3810</v>
      </c>
      <c r="G35" t="s">
        <v>4206</v>
      </c>
      <c r="H35" t="s">
        <v>4207</v>
      </c>
      <c r="I35" t="s">
        <v>4208</v>
      </c>
      <c r="J35" t="s">
        <v>4209</v>
      </c>
      <c r="K35" t="s">
        <v>4210</v>
      </c>
      <c r="L35">
        <v>81</v>
      </c>
      <c r="M35" t="s">
        <v>4211</v>
      </c>
      <c r="N35" t="s">
        <v>3952</v>
      </c>
      <c r="O35" t="s">
        <v>4212</v>
      </c>
      <c r="P35" t="s">
        <v>4213</v>
      </c>
      <c r="Q35" t="s">
        <v>4214</v>
      </c>
      <c r="R35" t="s">
        <v>4215</v>
      </c>
      <c r="S35" t="s">
        <v>4216</v>
      </c>
      <c r="T35" t="s">
        <v>4163</v>
      </c>
      <c r="U35">
        <v>2016</v>
      </c>
      <c r="V35">
        <v>79</v>
      </c>
      <c r="W35" t="s">
        <v>3808</v>
      </c>
      <c r="X35" t="s">
        <v>4217</v>
      </c>
      <c r="Y35" t="str">
        <f>HYPERLINK("http://dx.doi.org/10.1016/j.oregeorev.2016.04.024","http://dx.doi.org/10.1016/j.oregeorev.2016.04.024")</f>
        <v>http://dx.doi.org/10.1016/j.oregeorev.2016.04.024</v>
      </c>
      <c r="Z35" t="s">
        <v>4218</v>
      </c>
      <c r="AA35" t="s">
        <v>3826</v>
      </c>
      <c r="AB35" s="3">
        <v>45672</v>
      </c>
      <c r="AC35" t="s">
        <v>4219</v>
      </c>
      <c r="AD35" t="str">
        <f>HYPERLINK("https%3A%2F%2Fwww.webofscience.com%2Fwos%2Fwoscc%2Ffull-record%2FWOS:000381832500002","View Full Record in Web of Science")</f>
        <v>View Full Record in Web of Science</v>
      </c>
    </row>
    <row r="36" spans="1:30" x14ac:dyDescent="0.35">
      <c r="A36">
        <v>35</v>
      </c>
      <c r="B36" t="s">
        <v>3065</v>
      </c>
      <c r="C36" t="s">
        <v>4220</v>
      </c>
      <c r="D36" t="s">
        <v>3065</v>
      </c>
      <c r="E36" t="s">
        <v>2890</v>
      </c>
      <c r="F36" t="s">
        <v>3810</v>
      </c>
      <c r="G36" t="s">
        <v>4221</v>
      </c>
      <c r="H36" t="s">
        <v>4222</v>
      </c>
      <c r="I36" t="s">
        <v>4223</v>
      </c>
      <c r="J36" t="s">
        <v>4224</v>
      </c>
      <c r="K36" t="s">
        <v>4225</v>
      </c>
      <c r="L36">
        <v>3</v>
      </c>
      <c r="M36" t="s">
        <v>3866</v>
      </c>
      <c r="N36" t="s">
        <v>3817</v>
      </c>
      <c r="O36" t="s">
        <v>3867</v>
      </c>
      <c r="P36" t="s">
        <v>4226</v>
      </c>
      <c r="Q36" t="s">
        <v>4227</v>
      </c>
      <c r="R36" t="s">
        <v>4228</v>
      </c>
      <c r="S36" t="s">
        <v>4229</v>
      </c>
      <c r="T36" t="s">
        <v>4163</v>
      </c>
      <c r="U36">
        <v>2022</v>
      </c>
      <c r="V36">
        <v>30</v>
      </c>
      <c r="W36">
        <v>8</v>
      </c>
      <c r="X36" t="s">
        <v>4230</v>
      </c>
      <c r="Y36" t="str">
        <f>HYPERLINK("http://dx.doi.org/10.1007/s10040-022-02570-w","http://dx.doi.org/10.1007/s10040-022-02570-w")</f>
        <v>http://dx.doi.org/10.1007/s10040-022-02570-w</v>
      </c>
      <c r="Z36" t="s">
        <v>4231</v>
      </c>
      <c r="AA36" t="s">
        <v>3826</v>
      </c>
      <c r="AB36" s="3">
        <v>45672</v>
      </c>
      <c r="AC36" t="s">
        <v>4232</v>
      </c>
      <c r="AD36" t="str">
        <f>HYPERLINK("https%3A%2F%2Fwww.webofscience.com%2Fwos%2Fwoscc%2Ffull-record%2FWOS:000884944300001","View Full Record in Web of Science")</f>
        <v>View Full Record in Web of Science</v>
      </c>
    </row>
    <row r="37" spans="1:30" x14ac:dyDescent="0.35">
      <c r="A37">
        <v>36</v>
      </c>
      <c r="B37" t="s">
        <v>3066</v>
      </c>
      <c r="C37" t="s">
        <v>4233</v>
      </c>
      <c r="D37" t="s">
        <v>3066</v>
      </c>
      <c r="E37" t="s">
        <v>2891</v>
      </c>
      <c r="F37" t="s">
        <v>3810</v>
      </c>
      <c r="G37" t="s">
        <v>4234</v>
      </c>
      <c r="H37" t="s">
        <v>4235</v>
      </c>
      <c r="I37" t="s">
        <v>4236</v>
      </c>
      <c r="J37" t="s">
        <v>4237</v>
      </c>
      <c r="K37" t="s">
        <v>4238</v>
      </c>
      <c r="L37">
        <v>4</v>
      </c>
      <c r="M37" t="s">
        <v>4239</v>
      </c>
      <c r="N37" t="s">
        <v>4240</v>
      </c>
      <c r="O37" t="s">
        <v>4241</v>
      </c>
      <c r="P37" t="s">
        <v>4242</v>
      </c>
      <c r="Q37" t="s">
        <v>3808</v>
      </c>
      <c r="R37" t="s">
        <v>4243</v>
      </c>
      <c r="S37" t="s">
        <v>4244</v>
      </c>
      <c r="T37" t="s">
        <v>3808</v>
      </c>
      <c r="U37">
        <v>2019</v>
      </c>
      <c r="V37">
        <v>40</v>
      </c>
      <c r="W37">
        <v>1</v>
      </c>
      <c r="X37" t="s">
        <v>3808</v>
      </c>
      <c r="Y37" t="s">
        <v>3808</v>
      </c>
      <c r="Z37" t="s">
        <v>3973</v>
      </c>
      <c r="AA37" t="s">
        <v>3826</v>
      </c>
      <c r="AB37" s="3">
        <v>45672</v>
      </c>
      <c r="AC37" t="s">
        <v>4245</v>
      </c>
      <c r="AD37" t="str">
        <f>HYPERLINK("https%3A%2F%2Fwww.webofscience.com%2Fwos%2Fwoscc%2Ffull-record%2FWOS:000489937100008","View Full Record in Web of Science")</f>
        <v>View Full Record in Web of Science</v>
      </c>
    </row>
    <row r="38" spans="1:30" x14ac:dyDescent="0.35">
      <c r="A38">
        <v>37</v>
      </c>
      <c r="B38" t="s">
        <v>3067</v>
      </c>
      <c r="C38" t="s">
        <v>4246</v>
      </c>
      <c r="D38" t="s">
        <v>3067</v>
      </c>
      <c r="E38" t="s">
        <v>2894</v>
      </c>
      <c r="F38" t="s">
        <v>3810</v>
      </c>
      <c r="G38" t="s">
        <v>4247</v>
      </c>
      <c r="H38" t="s">
        <v>4248</v>
      </c>
      <c r="I38" t="s">
        <v>4249</v>
      </c>
      <c r="J38" t="s">
        <v>4250</v>
      </c>
      <c r="K38" t="s">
        <v>4251</v>
      </c>
      <c r="L38">
        <v>29</v>
      </c>
      <c r="M38" t="s">
        <v>4252</v>
      </c>
      <c r="N38" t="s">
        <v>4253</v>
      </c>
      <c r="O38" t="s">
        <v>4254</v>
      </c>
      <c r="P38" t="s">
        <v>4255</v>
      </c>
      <c r="Q38" t="s">
        <v>4256</v>
      </c>
      <c r="R38" t="s">
        <v>4257</v>
      </c>
      <c r="S38" t="s">
        <v>4258</v>
      </c>
      <c r="T38" t="s">
        <v>3918</v>
      </c>
      <c r="U38">
        <v>2018</v>
      </c>
      <c r="V38">
        <v>133</v>
      </c>
      <c r="W38" t="s">
        <v>4259</v>
      </c>
      <c r="X38" t="s">
        <v>4260</v>
      </c>
      <c r="Y38" t="str">
        <f>HYPERLINK("http://dx.doi.org/10.1007/s00704-017-2172-z","http://dx.doi.org/10.1007/s00704-017-2172-z")</f>
        <v>http://dx.doi.org/10.1007/s00704-017-2172-z</v>
      </c>
      <c r="Z38" t="s">
        <v>3825</v>
      </c>
      <c r="AA38" t="s">
        <v>3826</v>
      </c>
      <c r="AB38" s="3">
        <v>45672</v>
      </c>
      <c r="AC38" t="s">
        <v>4261</v>
      </c>
      <c r="AD38" t="str">
        <f>HYPERLINK("https%3A%2F%2Fwww.webofscience.com%2Fwos%2Fwoscc%2Ffull-record%2FWOS:000436245600028","View Full Record in Web of Science")</f>
        <v>View Full Record in Web of Science</v>
      </c>
    </row>
    <row r="39" spans="1:30" x14ac:dyDescent="0.35">
      <c r="A39">
        <v>38</v>
      </c>
      <c r="B39" t="s">
        <v>3068</v>
      </c>
      <c r="C39" t="s">
        <v>4262</v>
      </c>
      <c r="D39" t="s">
        <v>3068</v>
      </c>
      <c r="E39" t="s">
        <v>2894</v>
      </c>
      <c r="F39" t="s">
        <v>3810</v>
      </c>
      <c r="G39" t="s">
        <v>4263</v>
      </c>
      <c r="H39" t="s">
        <v>4264</v>
      </c>
      <c r="I39" t="s">
        <v>4265</v>
      </c>
      <c r="J39" t="s">
        <v>4266</v>
      </c>
      <c r="K39" t="s">
        <v>4267</v>
      </c>
      <c r="L39">
        <v>33</v>
      </c>
      <c r="M39" t="s">
        <v>4252</v>
      </c>
      <c r="N39" t="s">
        <v>4253</v>
      </c>
      <c r="O39" t="s">
        <v>4254</v>
      </c>
      <c r="P39" t="s">
        <v>4255</v>
      </c>
      <c r="Q39" t="s">
        <v>4256</v>
      </c>
      <c r="R39" t="s">
        <v>4257</v>
      </c>
      <c r="S39" t="s">
        <v>4258</v>
      </c>
      <c r="T39" t="s">
        <v>3823</v>
      </c>
      <c r="U39">
        <v>2019</v>
      </c>
      <c r="V39">
        <v>135</v>
      </c>
      <c r="W39" t="s">
        <v>4268</v>
      </c>
      <c r="X39" t="s">
        <v>4269</v>
      </c>
      <c r="Y39" t="str">
        <f>HYPERLINK("http://dx.doi.org/10.1007/s00704-018-2409-5","http://dx.doi.org/10.1007/s00704-018-2409-5")</f>
        <v>http://dx.doi.org/10.1007/s00704-018-2409-5</v>
      </c>
      <c r="Z39" t="s">
        <v>3825</v>
      </c>
      <c r="AA39" t="s">
        <v>3826</v>
      </c>
      <c r="AB39" s="3">
        <v>45672</v>
      </c>
      <c r="AC39" t="s">
        <v>4270</v>
      </c>
      <c r="AD39" t="str">
        <f>HYPERLINK("https%3A%2F%2Fwww.webofscience.com%2Fwos%2Fwoscc%2Ffull-record%2FWOS:000464905800002","View Full Record in Web of Science")</f>
        <v>View Full Record in Web of Science</v>
      </c>
    </row>
    <row r="40" spans="1:30" x14ac:dyDescent="0.35">
      <c r="A40">
        <v>39</v>
      </c>
      <c r="B40" t="s">
        <v>3069</v>
      </c>
      <c r="C40" t="s">
        <v>4271</v>
      </c>
      <c r="D40" t="s">
        <v>3069</v>
      </c>
      <c r="E40" t="s">
        <v>2896</v>
      </c>
      <c r="F40" t="s">
        <v>3810</v>
      </c>
      <c r="G40" t="s">
        <v>4272</v>
      </c>
      <c r="H40" t="s">
        <v>4273</v>
      </c>
      <c r="I40" t="s">
        <v>4274</v>
      </c>
      <c r="J40" t="s">
        <v>4275</v>
      </c>
      <c r="K40" t="s">
        <v>4276</v>
      </c>
      <c r="L40">
        <v>12</v>
      </c>
      <c r="M40" t="s">
        <v>4277</v>
      </c>
      <c r="N40" t="s">
        <v>4278</v>
      </c>
      <c r="O40" t="s">
        <v>4279</v>
      </c>
      <c r="P40" t="s">
        <v>3808</v>
      </c>
      <c r="Q40" t="s">
        <v>4280</v>
      </c>
      <c r="R40" t="s">
        <v>2896</v>
      </c>
      <c r="S40" t="s">
        <v>4281</v>
      </c>
      <c r="T40" t="s">
        <v>4001</v>
      </c>
      <c r="U40">
        <v>2020</v>
      </c>
      <c r="V40">
        <v>8</v>
      </c>
      <c r="W40">
        <v>1</v>
      </c>
      <c r="X40" t="s">
        <v>4282</v>
      </c>
      <c r="Y40" t="str">
        <f>HYPERLINK("http://dx.doi.org/10.3390/cli8010009","http://dx.doi.org/10.3390/cli8010009")</f>
        <v>http://dx.doi.org/10.3390/cli8010009</v>
      </c>
      <c r="Z40" t="s">
        <v>3825</v>
      </c>
      <c r="AA40" t="s">
        <v>4117</v>
      </c>
      <c r="AB40" s="3">
        <v>45672</v>
      </c>
      <c r="AC40" t="s">
        <v>4283</v>
      </c>
      <c r="AD40" t="str">
        <f>HYPERLINK("https%3A%2F%2Fwww.webofscience.com%2Fwos%2Fwoscc%2Ffull-record%2FWOS:000513510000010","View Full Record in Web of Science")</f>
        <v>View Full Record in Web of Science</v>
      </c>
    </row>
    <row r="41" spans="1:30" x14ac:dyDescent="0.35">
      <c r="A41">
        <v>40</v>
      </c>
      <c r="B41" t="s">
        <v>3070</v>
      </c>
      <c r="C41" t="s">
        <v>4284</v>
      </c>
      <c r="D41" t="s">
        <v>3070</v>
      </c>
      <c r="E41" t="s">
        <v>2898</v>
      </c>
      <c r="F41" t="s">
        <v>3810</v>
      </c>
      <c r="G41" t="s">
        <v>4285</v>
      </c>
      <c r="H41" t="s">
        <v>4286</v>
      </c>
      <c r="I41" t="s">
        <v>4287</v>
      </c>
      <c r="J41" t="s">
        <v>4288</v>
      </c>
      <c r="K41" t="s">
        <v>4289</v>
      </c>
      <c r="L41">
        <v>10</v>
      </c>
      <c r="M41" t="s">
        <v>3866</v>
      </c>
      <c r="N41" t="s">
        <v>3817</v>
      </c>
      <c r="O41" t="s">
        <v>4290</v>
      </c>
      <c r="P41" t="s">
        <v>4291</v>
      </c>
      <c r="Q41" t="s">
        <v>4292</v>
      </c>
      <c r="R41" t="s">
        <v>4293</v>
      </c>
      <c r="S41" t="s">
        <v>4294</v>
      </c>
      <c r="T41" t="s">
        <v>3872</v>
      </c>
      <c r="U41">
        <v>2019</v>
      </c>
      <c r="V41">
        <v>34</v>
      </c>
      <c r="W41">
        <v>3</v>
      </c>
      <c r="X41" t="s">
        <v>4295</v>
      </c>
      <c r="Y41" t="str">
        <f>HYPERLINK("http://dx.doi.org/10.1007/s13146-019-00508-0","http://dx.doi.org/10.1007/s13146-019-00508-0")</f>
        <v>http://dx.doi.org/10.1007/s13146-019-00508-0</v>
      </c>
      <c r="Z41" t="s">
        <v>3973</v>
      </c>
      <c r="AA41" t="s">
        <v>3826</v>
      </c>
      <c r="AB41" s="3">
        <v>45672</v>
      </c>
      <c r="AC41" t="s">
        <v>4296</v>
      </c>
      <c r="AD41" t="str">
        <f>HYPERLINK("https%3A%2F%2Fwww.webofscience.com%2Fwos%2Fwoscc%2Ffull-record%2FWOS:000483699800044","View Full Record in Web of Science")</f>
        <v>View Full Record in Web of Science</v>
      </c>
    </row>
    <row r="42" spans="1:30" x14ac:dyDescent="0.35">
      <c r="A42">
        <v>41</v>
      </c>
      <c r="B42" t="s">
        <v>3071</v>
      </c>
      <c r="C42" t="s">
        <v>4297</v>
      </c>
      <c r="D42" t="s">
        <v>3071</v>
      </c>
      <c r="E42" t="s">
        <v>2866</v>
      </c>
      <c r="F42" t="s">
        <v>3810</v>
      </c>
      <c r="G42" t="s">
        <v>4298</v>
      </c>
      <c r="H42" t="s">
        <v>4299</v>
      </c>
      <c r="I42" t="s">
        <v>4300</v>
      </c>
      <c r="J42" t="s">
        <v>4301</v>
      </c>
      <c r="K42" t="s">
        <v>4302</v>
      </c>
      <c r="L42">
        <v>44</v>
      </c>
      <c r="M42" t="s">
        <v>3850</v>
      </c>
      <c r="N42" t="s">
        <v>3851</v>
      </c>
      <c r="O42" t="s">
        <v>3852</v>
      </c>
      <c r="P42" t="s">
        <v>3853</v>
      </c>
      <c r="Q42" t="s">
        <v>3854</v>
      </c>
      <c r="R42" t="s">
        <v>3855</v>
      </c>
      <c r="S42" t="s">
        <v>3856</v>
      </c>
      <c r="T42" t="s">
        <v>4137</v>
      </c>
      <c r="U42">
        <v>2017</v>
      </c>
      <c r="V42">
        <v>37</v>
      </c>
      <c r="W42">
        <v>10</v>
      </c>
      <c r="X42" t="s">
        <v>4303</v>
      </c>
      <c r="Y42" t="str">
        <f>HYPERLINK("http://dx.doi.org/10.1002/joc.4952","http://dx.doi.org/10.1002/joc.4952")</f>
        <v>http://dx.doi.org/10.1002/joc.4952</v>
      </c>
      <c r="Z42" t="s">
        <v>3825</v>
      </c>
      <c r="AA42" t="s">
        <v>3826</v>
      </c>
      <c r="AB42" s="3">
        <v>45672</v>
      </c>
      <c r="AC42" t="s">
        <v>4304</v>
      </c>
      <c r="AD42" t="str">
        <f>HYPERLINK("https%3A%2F%2Fwww.webofscience.com%2Fwos%2Fwoscc%2Ffull-record%2FWOS:000406706200003","View Full Record in Web of Science")</f>
        <v>View Full Record in Web of Science</v>
      </c>
    </row>
    <row r="43" spans="1:30" x14ac:dyDescent="0.35">
      <c r="A43">
        <v>42</v>
      </c>
      <c r="B43" t="s">
        <v>3072</v>
      </c>
      <c r="C43" t="s">
        <v>4305</v>
      </c>
      <c r="D43" t="s">
        <v>3072</v>
      </c>
      <c r="E43" t="s">
        <v>2866</v>
      </c>
      <c r="F43" t="s">
        <v>3810</v>
      </c>
      <c r="G43" t="s">
        <v>4306</v>
      </c>
      <c r="H43" t="s">
        <v>4307</v>
      </c>
      <c r="I43" t="s">
        <v>4308</v>
      </c>
      <c r="J43" t="s">
        <v>4309</v>
      </c>
      <c r="K43" t="s">
        <v>4310</v>
      </c>
      <c r="L43">
        <v>34</v>
      </c>
      <c r="M43" t="s">
        <v>3850</v>
      </c>
      <c r="N43" t="s">
        <v>3851</v>
      </c>
      <c r="O43" t="s">
        <v>3852</v>
      </c>
      <c r="P43" t="s">
        <v>3853</v>
      </c>
      <c r="Q43" t="s">
        <v>3854</v>
      </c>
      <c r="R43" t="s">
        <v>3855</v>
      </c>
      <c r="S43" t="s">
        <v>3856</v>
      </c>
      <c r="T43" t="s">
        <v>3932</v>
      </c>
      <c r="U43">
        <v>2022</v>
      </c>
      <c r="V43">
        <v>42</v>
      </c>
      <c r="W43">
        <v>6</v>
      </c>
      <c r="X43" t="s">
        <v>4311</v>
      </c>
      <c r="Y43" t="str">
        <f>HYPERLINK("http://dx.doi.org/10.1002/joc.7419","http://dx.doi.org/10.1002/joc.7419")</f>
        <v>http://dx.doi.org/10.1002/joc.7419</v>
      </c>
      <c r="Z43" t="s">
        <v>3825</v>
      </c>
      <c r="AA43" t="s">
        <v>3826</v>
      </c>
      <c r="AB43" s="3">
        <v>45672</v>
      </c>
      <c r="AC43" t="s">
        <v>4312</v>
      </c>
      <c r="AD43" t="str">
        <f>HYPERLINK("https%3A%2F%2Fwww.webofscience.com%2Fwos%2Fwoscc%2Ffull-record%2FWOS:000712138200001","View Full Record in Web of Science")</f>
        <v>View Full Record in Web of Science</v>
      </c>
    </row>
    <row r="44" spans="1:30" x14ac:dyDescent="0.35">
      <c r="A44">
        <v>43</v>
      </c>
      <c r="B44" t="s">
        <v>3073</v>
      </c>
      <c r="C44" t="s">
        <v>4313</v>
      </c>
      <c r="D44" t="s">
        <v>3073</v>
      </c>
      <c r="E44" t="s">
        <v>2899</v>
      </c>
      <c r="F44" t="s">
        <v>3810</v>
      </c>
      <c r="G44" t="s">
        <v>4314</v>
      </c>
      <c r="H44" t="s">
        <v>4315</v>
      </c>
      <c r="I44" t="s">
        <v>4316</v>
      </c>
      <c r="J44" t="s">
        <v>4317</v>
      </c>
      <c r="K44" t="s">
        <v>4318</v>
      </c>
      <c r="L44">
        <v>25</v>
      </c>
      <c r="M44" t="s">
        <v>4252</v>
      </c>
      <c r="N44" t="s">
        <v>4253</v>
      </c>
      <c r="O44" t="s">
        <v>4254</v>
      </c>
      <c r="P44" t="s">
        <v>4319</v>
      </c>
      <c r="Q44" t="s">
        <v>4320</v>
      </c>
      <c r="R44" t="s">
        <v>4321</v>
      </c>
      <c r="S44" t="s">
        <v>4322</v>
      </c>
      <c r="T44" t="s">
        <v>3823</v>
      </c>
      <c r="U44">
        <v>2022</v>
      </c>
      <c r="V44">
        <v>134</v>
      </c>
      <c r="W44">
        <v>1</v>
      </c>
      <c r="X44" t="s">
        <v>4323</v>
      </c>
      <c r="Y44" t="str">
        <f>HYPERLINK("http://dx.doi.org/10.1007/s00703-021-00837-7","http://dx.doi.org/10.1007/s00703-021-00837-7")</f>
        <v>http://dx.doi.org/10.1007/s00703-021-00837-7</v>
      </c>
      <c r="Z44" t="s">
        <v>3825</v>
      </c>
      <c r="AA44" t="s">
        <v>3826</v>
      </c>
      <c r="AB44" s="3">
        <v>45672</v>
      </c>
      <c r="AC44" t="s">
        <v>4324</v>
      </c>
      <c r="AD44" t="str">
        <f>HYPERLINK("https%3A%2F%2Fwww.webofscience.com%2Fwos%2Fwoscc%2Ffull-record%2FWOS:000721872200001","View Full Record in Web of Science")</f>
        <v>View Full Record in Web of Science</v>
      </c>
    </row>
    <row r="45" spans="1:30" x14ac:dyDescent="0.35">
      <c r="A45">
        <v>44</v>
      </c>
      <c r="B45" t="s">
        <v>3074</v>
      </c>
      <c r="C45" t="s">
        <v>4325</v>
      </c>
      <c r="D45" t="s">
        <v>3074</v>
      </c>
      <c r="E45" t="s">
        <v>2894</v>
      </c>
      <c r="F45" t="s">
        <v>3810</v>
      </c>
      <c r="G45" t="s">
        <v>4326</v>
      </c>
      <c r="H45" t="s">
        <v>4327</v>
      </c>
      <c r="I45" t="s">
        <v>4328</v>
      </c>
      <c r="J45" t="s">
        <v>4329</v>
      </c>
      <c r="K45" t="s">
        <v>4330</v>
      </c>
      <c r="L45">
        <v>2</v>
      </c>
      <c r="M45" t="s">
        <v>4252</v>
      </c>
      <c r="N45" t="s">
        <v>4253</v>
      </c>
      <c r="O45" t="s">
        <v>4254</v>
      </c>
      <c r="P45" t="s">
        <v>4255</v>
      </c>
      <c r="Q45" t="s">
        <v>4256</v>
      </c>
      <c r="R45" t="s">
        <v>4257</v>
      </c>
      <c r="S45" t="s">
        <v>4258</v>
      </c>
      <c r="T45" t="s">
        <v>4016</v>
      </c>
      <c r="U45">
        <v>2015</v>
      </c>
      <c r="V45">
        <v>122</v>
      </c>
      <c r="W45" t="s">
        <v>4259</v>
      </c>
      <c r="X45" t="s">
        <v>4331</v>
      </c>
      <c r="Y45" t="str">
        <f>HYPERLINK("http://dx.doi.org/10.1007/s00704-014-1281-1","http://dx.doi.org/10.1007/s00704-014-1281-1")</f>
        <v>http://dx.doi.org/10.1007/s00704-014-1281-1</v>
      </c>
      <c r="Z45" t="s">
        <v>3825</v>
      </c>
      <c r="AA45" t="s">
        <v>3826</v>
      </c>
      <c r="AB45" s="3">
        <v>45672</v>
      </c>
      <c r="AC45" t="s">
        <v>4332</v>
      </c>
      <c r="AD45" t="str">
        <f>HYPERLINK("https%3A%2F%2Fwww.webofscience.com%2Fwos%2Fwoscc%2Ffull-record%2FWOS:000361731600023","View Full Record in Web of Science")</f>
        <v>View Full Record in Web of Science</v>
      </c>
    </row>
    <row r="46" spans="1:30" x14ac:dyDescent="0.35">
      <c r="A46">
        <v>45</v>
      </c>
      <c r="B46" t="s">
        <v>3075</v>
      </c>
      <c r="C46" t="s">
        <v>4333</v>
      </c>
      <c r="D46" t="s">
        <v>3075</v>
      </c>
      <c r="E46" t="s">
        <v>2900</v>
      </c>
      <c r="F46" t="s">
        <v>3810</v>
      </c>
      <c r="G46" t="s">
        <v>4334</v>
      </c>
      <c r="H46" t="s">
        <v>4335</v>
      </c>
      <c r="I46" t="s">
        <v>4336</v>
      </c>
      <c r="J46" t="s">
        <v>4337</v>
      </c>
      <c r="K46" t="s">
        <v>4338</v>
      </c>
      <c r="L46">
        <v>2</v>
      </c>
      <c r="M46" t="s">
        <v>4339</v>
      </c>
      <c r="N46" t="s">
        <v>4340</v>
      </c>
      <c r="O46" t="s">
        <v>4341</v>
      </c>
      <c r="P46" t="s">
        <v>4342</v>
      </c>
      <c r="Q46" t="s">
        <v>4343</v>
      </c>
      <c r="R46" t="s">
        <v>4344</v>
      </c>
      <c r="S46" t="s">
        <v>4345</v>
      </c>
      <c r="T46" t="s">
        <v>4346</v>
      </c>
      <c r="U46">
        <v>2023</v>
      </c>
      <c r="V46">
        <v>23</v>
      </c>
      <c r="W46">
        <v>2</v>
      </c>
      <c r="X46" t="s">
        <v>4347</v>
      </c>
      <c r="Y46" t="str">
        <f>HYPERLINK("http://dx.doi.org/10.5194/nhess-23-771-2023","http://dx.doi.org/10.5194/nhess-23-771-2023")</f>
        <v>http://dx.doi.org/10.5194/nhess-23-771-2023</v>
      </c>
      <c r="Z46" t="s">
        <v>3934</v>
      </c>
      <c r="AA46" t="s">
        <v>3826</v>
      </c>
      <c r="AB46" s="3">
        <v>45672</v>
      </c>
      <c r="AC46" t="s">
        <v>4348</v>
      </c>
      <c r="AD46" t="str">
        <f>HYPERLINK("https%3A%2F%2Fwww.webofscience.com%2Fwos%2Fwoscc%2Ffull-record%2FWOS:000937061500001","View Full Record in Web of Science")</f>
        <v>View Full Record in Web of Science</v>
      </c>
    </row>
    <row r="47" spans="1:30" x14ac:dyDescent="0.35">
      <c r="A47">
        <v>46</v>
      </c>
      <c r="B47" t="s">
        <v>3076</v>
      </c>
      <c r="C47" t="s">
        <v>4349</v>
      </c>
      <c r="D47" t="s">
        <v>3076</v>
      </c>
      <c r="E47" t="s">
        <v>2894</v>
      </c>
      <c r="F47" t="s">
        <v>3810</v>
      </c>
      <c r="G47" t="s">
        <v>4350</v>
      </c>
      <c r="H47" t="s">
        <v>4351</v>
      </c>
      <c r="I47" t="s">
        <v>4352</v>
      </c>
      <c r="J47" t="s">
        <v>4353</v>
      </c>
      <c r="K47" t="s">
        <v>4354</v>
      </c>
      <c r="L47">
        <v>6</v>
      </c>
      <c r="M47" t="s">
        <v>4252</v>
      </c>
      <c r="N47" t="s">
        <v>4355</v>
      </c>
      <c r="O47" t="s">
        <v>4356</v>
      </c>
      <c r="P47" t="s">
        <v>4255</v>
      </c>
      <c r="Q47" t="s">
        <v>4256</v>
      </c>
      <c r="R47" t="s">
        <v>4257</v>
      </c>
      <c r="S47" t="s">
        <v>4258</v>
      </c>
      <c r="T47" t="s">
        <v>3823</v>
      </c>
      <c r="U47">
        <v>2022</v>
      </c>
      <c r="V47">
        <v>147</v>
      </c>
      <c r="W47" t="s">
        <v>4268</v>
      </c>
      <c r="X47" t="s">
        <v>4357</v>
      </c>
      <c r="Y47" t="str">
        <f>HYPERLINK("http://dx.doi.org/10.1007/s00704-021-03891-8","http://dx.doi.org/10.1007/s00704-021-03891-8")</f>
        <v>http://dx.doi.org/10.1007/s00704-021-03891-8</v>
      </c>
      <c r="Z47" t="s">
        <v>3825</v>
      </c>
      <c r="AA47" t="s">
        <v>3826</v>
      </c>
      <c r="AB47" s="3">
        <v>45672</v>
      </c>
      <c r="AC47" t="s">
        <v>4358</v>
      </c>
      <c r="AD47" t="str">
        <f>HYPERLINK("https%3A%2F%2Fwww.webofscience.com%2Fwos%2Fwoscc%2Ffull-record%2FWOS:000742823500001","View Full Record in Web of Science")</f>
        <v>View Full Record in Web of Science</v>
      </c>
    </row>
    <row r="48" spans="1:30" x14ac:dyDescent="0.35">
      <c r="A48">
        <v>47</v>
      </c>
      <c r="B48" t="s">
        <v>3077</v>
      </c>
      <c r="C48" t="s">
        <v>267</v>
      </c>
      <c r="D48" t="s">
        <v>3077</v>
      </c>
      <c r="E48" t="s">
        <v>2866</v>
      </c>
      <c r="F48" t="s">
        <v>3810</v>
      </c>
      <c r="G48" t="s">
        <v>4359</v>
      </c>
      <c r="H48" t="s">
        <v>4360</v>
      </c>
      <c r="I48" t="s">
        <v>3808</v>
      </c>
      <c r="K48" t="s">
        <v>3808</v>
      </c>
      <c r="L48">
        <v>17</v>
      </c>
      <c r="M48" t="s">
        <v>3850</v>
      </c>
      <c r="N48" t="s">
        <v>3851</v>
      </c>
      <c r="O48" t="s">
        <v>3852</v>
      </c>
      <c r="P48" t="s">
        <v>3853</v>
      </c>
      <c r="Q48" t="s">
        <v>3854</v>
      </c>
      <c r="R48" t="s">
        <v>3855</v>
      </c>
      <c r="S48" t="s">
        <v>3856</v>
      </c>
      <c r="T48" t="s">
        <v>3918</v>
      </c>
      <c r="U48">
        <v>2020</v>
      </c>
      <c r="V48">
        <v>40</v>
      </c>
      <c r="W48">
        <v>9</v>
      </c>
      <c r="X48" t="s">
        <v>4361</v>
      </c>
      <c r="Y48" t="str">
        <f>HYPERLINK("http://dx.doi.org/10.1002/joc.6450","http://dx.doi.org/10.1002/joc.6450")</f>
        <v>http://dx.doi.org/10.1002/joc.6450</v>
      </c>
      <c r="Z48" t="s">
        <v>3825</v>
      </c>
      <c r="AA48" t="s">
        <v>3826</v>
      </c>
      <c r="AB48" s="3">
        <v>45672</v>
      </c>
      <c r="AC48" t="s">
        <v>4362</v>
      </c>
      <c r="AD48" t="str">
        <f>HYPERLINK("https%3A%2F%2Fwww.webofscience.com%2Fwos%2Fwoscc%2Ffull-record%2FWOS:000506866800001","View Full Record in Web of Science")</f>
        <v>View Full Record in Web of Science</v>
      </c>
    </row>
    <row r="49" spans="1:30" x14ac:dyDescent="0.35">
      <c r="A49">
        <v>48</v>
      </c>
      <c r="B49" t="s">
        <v>3078</v>
      </c>
      <c r="C49" t="s">
        <v>4363</v>
      </c>
      <c r="D49" t="s">
        <v>3078</v>
      </c>
      <c r="E49" t="s">
        <v>2896</v>
      </c>
      <c r="F49" t="s">
        <v>3810</v>
      </c>
      <c r="G49" t="s">
        <v>4364</v>
      </c>
      <c r="H49" t="s">
        <v>4365</v>
      </c>
      <c r="I49" t="s">
        <v>4366</v>
      </c>
      <c r="J49" t="s">
        <v>4367</v>
      </c>
      <c r="K49" t="s">
        <v>4368</v>
      </c>
      <c r="L49">
        <v>40</v>
      </c>
      <c r="M49" t="s">
        <v>4277</v>
      </c>
      <c r="N49" t="s">
        <v>4278</v>
      </c>
      <c r="O49" t="s">
        <v>4279</v>
      </c>
      <c r="P49" t="s">
        <v>3808</v>
      </c>
      <c r="Q49" t="s">
        <v>4280</v>
      </c>
      <c r="R49" t="s">
        <v>2896</v>
      </c>
      <c r="S49" t="s">
        <v>4281</v>
      </c>
      <c r="T49" t="s">
        <v>3932</v>
      </c>
      <c r="U49">
        <v>2019</v>
      </c>
      <c r="V49">
        <v>7</v>
      </c>
      <c r="W49">
        <v>5</v>
      </c>
      <c r="X49" t="s">
        <v>4369</v>
      </c>
      <c r="Y49" t="str">
        <f>HYPERLINK("http://dx.doi.org/10.3390/cli7050064","http://dx.doi.org/10.3390/cli7050064")</f>
        <v>http://dx.doi.org/10.3390/cli7050064</v>
      </c>
      <c r="Z49" t="s">
        <v>3825</v>
      </c>
      <c r="AA49" t="s">
        <v>4117</v>
      </c>
      <c r="AB49" s="3">
        <v>45672</v>
      </c>
      <c r="AC49" t="s">
        <v>4370</v>
      </c>
      <c r="AD49" t="str">
        <f>HYPERLINK("https%3A%2F%2Fwww.webofscience.com%2Fwos%2Fwoscc%2Ffull-record%2FWOS:000470961700004","View Full Record in Web of Science")</f>
        <v>View Full Record in Web of Science</v>
      </c>
    </row>
    <row r="50" spans="1:30" x14ac:dyDescent="0.35">
      <c r="A50">
        <v>49</v>
      </c>
      <c r="B50" t="s">
        <v>3079</v>
      </c>
      <c r="C50" t="s">
        <v>4371</v>
      </c>
      <c r="D50" t="s">
        <v>3079</v>
      </c>
      <c r="E50" t="s">
        <v>2901</v>
      </c>
      <c r="F50" t="s">
        <v>3810</v>
      </c>
      <c r="G50" t="s">
        <v>4372</v>
      </c>
      <c r="H50" t="s">
        <v>4373</v>
      </c>
      <c r="I50" t="s">
        <v>4374</v>
      </c>
      <c r="J50" t="s">
        <v>4375</v>
      </c>
      <c r="K50" t="s">
        <v>4376</v>
      </c>
      <c r="L50">
        <v>10</v>
      </c>
      <c r="M50" t="s">
        <v>4377</v>
      </c>
      <c r="N50" t="s">
        <v>4378</v>
      </c>
      <c r="O50" t="s">
        <v>4379</v>
      </c>
      <c r="P50" t="s">
        <v>4380</v>
      </c>
      <c r="Q50" t="s">
        <v>4381</v>
      </c>
      <c r="R50" t="s">
        <v>4382</v>
      </c>
      <c r="S50" t="s">
        <v>4383</v>
      </c>
      <c r="T50" t="s">
        <v>3808</v>
      </c>
      <c r="U50">
        <v>2016</v>
      </c>
      <c r="V50" t="s">
        <v>4384</v>
      </c>
      <c r="W50" t="s">
        <v>3808</v>
      </c>
      <c r="X50" t="s">
        <v>4385</v>
      </c>
      <c r="Y50" t="str">
        <f>HYPERLINK("http://dx.doi.org/10.2151/jmsj.2015-057","http://dx.doi.org/10.2151/jmsj.2015-057")</f>
        <v>http://dx.doi.org/10.2151/jmsj.2015-057</v>
      </c>
      <c r="Z50" t="s">
        <v>3825</v>
      </c>
      <c r="AA50" t="s">
        <v>3826</v>
      </c>
      <c r="AB50" s="3">
        <v>45672</v>
      </c>
      <c r="AC50" t="s">
        <v>4386</v>
      </c>
      <c r="AD50" t="str">
        <f>HYPERLINK("https%3A%2F%2Fwww.webofscience.com%2Fwos%2Fwoscc%2Ffull-record%2FWOS:000370028800010","View Full Record in Web of Science")</f>
        <v>View Full Record in Web of Science</v>
      </c>
    </row>
    <row r="51" spans="1:30" x14ac:dyDescent="0.35">
      <c r="A51">
        <v>50</v>
      </c>
      <c r="B51" t="s">
        <v>3080</v>
      </c>
      <c r="C51" t="s">
        <v>4387</v>
      </c>
      <c r="D51" t="s">
        <v>3080</v>
      </c>
      <c r="E51" t="s">
        <v>2899</v>
      </c>
      <c r="F51" t="s">
        <v>3810</v>
      </c>
      <c r="G51" t="s">
        <v>4388</v>
      </c>
      <c r="H51" t="s">
        <v>4389</v>
      </c>
      <c r="I51" t="s">
        <v>4390</v>
      </c>
      <c r="J51" t="s">
        <v>4391</v>
      </c>
      <c r="K51" t="s">
        <v>4392</v>
      </c>
      <c r="L51">
        <v>11</v>
      </c>
      <c r="M51" t="s">
        <v>4252</v>
      </c>
      <c r="N51" t="s">
        <v>4253</v>
      </c>
      <c r="O51" t="s">
        <v>4254</v>
      </c>
      <c r="P51" t="s">
        <v>4319</v>
      </c>
      <c r="Q51" t="s">
        <v>4320</v>
      </c>
      <c r="R51" t="s">
        <v>4321</v>
      </c>
      <c r="S51" t="s">
        <v>4322</v>
      </c>
      <c r="T51" t="s">
        <v>4016</v>
      </c>
      <c r="U51">
        <v>2015</v>
      </c>
      <c r="V51">
        <v>127</v>
      </c>
      <c r="W51">
        <v>5</v>
      </c>
      <c r="X51" t="s">
        <v>4393</v>
      </c>
      <c r="Y51" t="str">
        <f>HYPERLINK("http://dx.doi.org/10.1007/s00703-015-0386-0","http://dx.doi.org/10.1007/s00703-015-0386-0")</f>
        <v>http://dx.doi.org/10.1007/s00703-015-0386-0</v>
      </c>
      <c r="Z51" t="s">
        <v>3825</v>
      </c>
      <c r="AA51" t="s">
        <v>3826</v>
      </c>
      <c r="AB51" s="3">
        <v>45672</v>
      </c>
      <c r="AC51" t="s">
        <v>4394</v>
      </c>
      <c r="AD51" t="str">
        <f>HYPERLINK("https%3A%2F%2Fwww.webofscience.com%2Fwos%2Fwoscc%2Ffull-record%2FWOS:000361476300006","View Full Record in Web of Science")</f>
        <v>View Full Record in Web of Science</v>
      </c>
    </row>
    <row r="52" spans="1:30" x14ac:dyDescent="0.35">
      <c r="A52">
        <v>51</v>
      </c>
      <c r="B52" t="s">
        <v>3081</v>
      </c>
      <c r="C52" t="s">
        <v>284</v>
      </c>
      <c r="D52" t="s">
        <v>3081</v>
      </c>
      <c r="E52" t="s">
        <v>2864</v>
      </c>
      <c r="F52" t="s">
        <v>3810</v>
      </c>
      <c r="G52" t="s">
        <v>4395</v>
      </c>
      <c r="H52" t="s">
        <v>4396</v>
      </c>
      <c r="I52" t="s">
        <v>4122</v>
      </c>
      <c r="K52" t="s">
        <v>3808</v>
      </c>
      <c r="L52">
        <v>5</v>
      </c>
      <c r="M52" t="s">
        <v>3834</v>
      </c>
      <c r="N52" t="s">
        <v>3835</v>
      </c>
      <c r="O52" t="s">
        <v>3836</v>
      </c>
      <c r="P52" t="s">
        <v>3837</v>
      </c>
      <c r="Q52" t="s">
        <v>3838</v>
      </c>
      <c r="R52" t="s">
        <v>3839</v>
      </c>
      <c r="S52" t="s">
        <v>3840</v>
      </c>
      <c r="T52" t="s">
        <v>4397</v>
      </c>
      <c r="U52">
        <v>2023</v>
      </c>
      <c r="V52">
        <v>2023</v>
      </c>
      <c r="W52" t="s">
        <v>3808</v>
      </c>
      <c r="X52" t="s">
        <v>4398</v>
      </c>
      <c r="Y52" t="str">
        <f>HYPERLINK("http://dx.doi.org/10.1155/2023/2346975","http://dx.doi.org/10.1155/2023/2346975")</f>
        <v>http://dx.doi.org/10.1155/2023/2346975</v>
      </c>
      <c r="Z52" t="s">
        <v>3825</v>
      </c>
      <c r="AA52" t="s">
        <v>3826</v>
      </c>
      <c r="AB52" s="3">
        <v>45672</v>
      </c>
      <c r="AC52" t="s">
        <v>4399</v>
      </c>
      <c r="AD52" t="str">
        <f>HYPERLINK("https%3A%2F%2Fwww.webofscience.com%2Fwos%2Fwoscc%2Ffull-record%2FWOS:000924165500001","View Full Record in Web of Science")</f>
        <v>View Full Record in Web of Science</v>
      </c>
    </row>
    <row r="53" spans="1:30" x14ac:dyDescent="0.35">
      <c r="A53">
        <v>52</v>
      </c>
      <c r="B53" t="s">
        <v>3082</v>
      </c>
      <c r="C53" t="s">
        <v>4400</v>
      </c>
      <c r="D53" t="s">
        <v>3082</v>
      </c>
      <c r="E53" t="s">
        <v>2903</v>
      </c>
      <c r="F53" t="s">
        <v>3810</v>
      </c>
      <c r="G53" t="s">
        <v>4401</v>
      </c>
      <c r="H53" t="s">
        <v>4402</v>
      </c>
      <c r="I53" t="s">
        <v>4403</v>
      </c>
      <c r="J53" t="s">
        <v>4404</v>
      </c>
      <c r="K53" t="s">
        <v>4405</v>
      </c>
      <c r="L53">
        <v>23</v>
      </c>
      <c r="M53" t="s">
        <v>4406</v>
      </c>
      <c r="N53" t="s">
        <v>3835</v>
      </c>
      <c r="O53" t="s">
        <v>4407</v>
      </c>
      <c r="P53" t="s">
        <v>4408</v>
      </c>
      <c r="Q53" t="s">
        <v>3808</v>
      </c>
      <c r="R53" t="s">
        <v>4409</v>
      </c>
      <c r="S53" t="s">
        <v>4410</v>
      </c>
      <c r="T53" t="s">
        <v>4411</v>
      </c>
      <c r="U53">
        <v>2017</v>
      </c>
      <c r="V53">
        <v>4</v>
      </c>
      <c r="W53" t="s">
        <v>3808</v>
      </c>
      <c r="X53" t="s">
        <v>4412</v>
      </c>
      <c r="Y53" t="str">
        <f>HYPERLINK("http://dx.doi.org/10.1186/s40645-017-0137-6","http://dx.doi.org/10.1186/s40645-017-0137-6")</f>
        <v>http://dx.doi.org/10.1186/s40645-017-0137-6</v>
      </c>
      <c r="Z53" t="s">
        <v>4116</v>
      </c>
      <c r="AA53" t="s">
        <v>3826</v>
      </c>
      <c r="AB53" s="3">
        <v>45672</v>
      </c>
      <c r="AC53" t="s">
        <v>4413</v>
      </c>
      <c r="AD53" t="str">
        <f>HYPERLINK("https%3A%2F%2Fwww.webofscience.com%2Fwos%2Fwoscc%2Ffull-record%2FWOS:000407818500001","View Full Record in Web of Science")</f>
        <v>View Full Record in Web of Science</v>
      </c>
    </row>
    <row r="54" spans="1:30" x14ac:dyDescent="0.35">
      <c r="A54">
        <v>53</v>
      </c>
      <c r="B54" t="s">
        <v>3083</v>
      </c>
      <c r="C54" t="s">
        <v>4414</v>
      </c>
      <c r="D54" t="s">
        <v>3083</v>
      </c>
      <c r="E54" t="s">
        <v>2896</v>
      </c>
      <c r="F54" t="s">
        <v>3810</v>
      </c>
      <c r="G54" t="s">
        <v>4415</v>
      </c>
      <c r="H54" t="s">
        <v>4416</v>
      </c>
      <c r="I54" t="s">
        <v>4417</v>
      </c>
      <c r="J54" t="s">
        <v>4309</v>
      </c>
      <c r="K54" t="s">
        <v>4418</v>
      </c>
      <c r="L54">
        <v>31</v>
      </c>
      <c r="M54" t="s">
        <v>4277</v>
      </c>
      <c r="N54" t="s">
        <v>4278</v>
      </c>
      <c r="O54" t="s">
        <v>4279</v>
      </c>
      <c r="P54" t="s">
        <v>3808</v>
      </c>
      <c r="Q54" t="s">
        <v>4280</v>
      </c>
      <c r="R54" t="s">
        <v>2896</v>
      </c>
      <c r="S54" t="s">
        <v>4281</v>
      </c>
      <c r="T54" t="s">
        <v>3823</v>
      </c>
      <c r="U54">
        <v>2021</v>
      </c>
      <c r="V54">
        <v>9</v>
      </c>
      <c r="W54">
        <v>2</v>
      </c>
      <c r="X54" t="s">
        <v>4419</v>
      </c>
      <c r="Y54" t="str">
        <f>HYPERLINK("http://dx.doi.org/10.3390/cli9020035","http://dx.doi.org/10.3390/cli9020035")</f>
        <v>http://dx.doi.org/10.3390/cli9020035</v>
      </c>
      <c r="Z54" t="s">
        <v>3825</v>
      </c>
      <c r="AA54" t="s">
        <v>4117</v>
      </c>
      <c r="AB54" s="3">
        <v>45672</v>
      </c>
      <c r="AC54" t="s">
        <v>4420</v>
      </c>
      <c r="AD54" t="str">
        <f>HYPERLINK("https%3A%2F%2Fwww.webofscience.com%2Fwos%2Fwoscc%2Ffull-record%2FWOS:000622370800001","View Full Record in Web of Science")</f>
        <v>View Full Record in Web of Science</v>
      </c>
    </row>
    <row r="55" spans="1:30" x14ac:dyDescent="0.35">
      <c r="A55">
        <v>54</v>
      </c>
      <c r="B55" t="s">
        <v>3084</v>
      </c>
      <c r="C55" t="s">
        <v>4421</v>
      </c>
      <c r="D55" t="s">
        <v>3084</v>
      </c>
      <c r="E55" t="s">
        <v>2866</v>
      </c>
      <c r="F55" t="s">
        <v>3810</v>
      </c>
      <c r="G55" t="s">
        <v>4422</v>
      </c>
      <c r="H55" t="s">
        <v>4423</v>
      </c>
      <c r="I55" t="s">
        <v>4143</v>
      </c>
      <c r="K55" t="s">
        <v>3808</v>
      </c>
      <c r="L55">
        <v>40</v>
      </c>
      <c r="M55" t="s">
        <v>3850</v>
      </c>
      <c r="N55" t="s">
        <v>3851</v>
      </c>
      <c r="O55" t="s">
        <v>3852</v>
      </c>
      <c r="P55" t="s">
        <v>3853</v>
      </c>
      <c r="Q55" t="s">
        <v>3854</v>
      </c>
      <c r="R55" t="s">
        <v>3855</v>
      </c>
      <c r="S55" t="s">
        <v>3856</v>
      </c>
      <c r="T55" t="s">
        <v>4424</v>
      </c>
      <c r="U55">
        <v>2019</v>
      </c>
      <c r="V55">
        <v>39</v>
      </c>
      <c r="W55">
        <v>14</v>
      </c>
      <c r="X55" t="s">
        <v>4425</v>
      </c>
      <c r="Y55" t="str">
        <f>HYPERLINK("http://dx.doi.org/10.1002/joc.6164","http://dx.doi.org/10.1002/joc.6164")</f>
        <v>http://dx.doi.org/10.1002/joc.6164</v>
      </c>
      <c r="Z55" t="s">
        <v>3825</v>
      </c>
      <c r="AA55" t="s">
        <v>3826</v>
      </c>
      <c r="AB55" s="3">
        <v>45672</v>
      </c>
      <c r="AC55" t="s">
        <v>4426</v>
      </c>
      <c r="AD55" t="str">
        <f>HYPERLINK("https%3A%2F%2Fwww.webofscience.com%2Fwos%2Fwoscc%2Ffull-record%2FWOS:000492898900015","View Full Record in Web of Science")</f>
        <v>View Full Record in Web of Science</v>
      </c>
    </row>
    <row r="56" spans="1:30" x14ac:dyDescent="0.35">
      <c r="A56">
        <v>55</v>
      </c>
      <c r="B56" t="s">
        <v>3085</v>
      </c>
      <c r="C56" t="s">
        <v>4427</v>
      </c>
      <c r="D56" t="s">
        <v>3085</v>
      </c>
      <c r="E56" t="s">
        <v>2881</v>
      </c>
      <c r="F56" t="s">
        <v>3810</v>
      </c>
      <c r="G56" t="s">
        <v>4428</v>
      </c>
      <c r="H56" t="s">
        <v>4429</v>
      </c>
      <c r="I56" t="s">
        <v>4430</v>
      </c>
      <c r="J56" t="s">
        <v>4431</v>
      </c>
      <c r="K56" t="s">
        <v>4432</v>
      </c>
      <c r="L56">
        <v>17</v>
      </c>
      <c r="M56" t="s">
        <v>4033</v>
      </c>
      <c r="N56" t="s">
        <v>4034</v>
      </c>
      <c r="O56" t="s">
        <v>4035</v>
      </c>
      <c r="P56" t="s">
        <v>4076</v>
      </c>
      <c r="Q56" t="s">
        <v>4077</v>
      </c>
      <c r="R56" t="s">
        <v>4078</v>
      </c>
      <c r="S56" t="s">
        <v>4079</v>
      </c>
      <c r="T56" t="s">
        <v>3918</v>
      </c>
      <c r="U56">
        <v>2020</v>
      </c>
      <c r="V56">
        <v>21</v>
      </c>
      <c r="W56">
        <v>7</v>
      </c>
      <c r="X56" t="s">
        <v>4433</v>
      </c>
      <c r="Y56" t="str">
        <f>HYPERLINK("http://dx.doi.org/10.1175/JHM-D-19-0276.1","http://dx.doi.org/10.1175/JHM-D-19-0276.1")</f>
        <v>http://dx.doi.org/10.1175/JHM-D-19-0276.1</v>
      </c>
      <c r="Z56" t="s">
        <v>3825</v>
      </c>
      <c r="AA56" t="s">
        <v>3826</v>
      </c>
      <c r="AB56" s="3">
        <v>45672</v>
      </c>
      <c r="AC56" t="s">
        <v>4434</v>
      </c>
      <c r="AD56" t="str">
        <f>HYPERLINK("https%3A%2F%2Fwww.webofscience.com%2Fwos%2Fwoscc%2Ffull-record%2FWOS:000590462700009","View Full Record in Web of Science")</f>
        <v>View Full Record in Web of Science</v>
      </c>
    </row>
    <row r="57" spans="1:30" x14ac:dyDescent="0.35">
      <c r="A57">
        <v>56</v>
      </c>
      <c r="B57" t="s">
        <v>3086</v>
      </c>
      <c r="C57" t="s">
        <v>4435</v>
      </c>
      <c r="D57" t="s">
        <v>3086</v>
      </c>
      <c r="E57" t="s">
        <v>2904</v>
      </c>
      <c r="F57" t="s">
        <v>3810</v>
      </c>
      <c r="G57" t="s">
        <v>4436</v>
      </c>
      <c r="H57" t="s">
        <v>4437</v>
      </c>
      <c r="I57" t="s">
        <v>4438</v>
      </c>
      <c r="J57" t="s">
        <v>3808</v>
      </c>
      <c r="K57" t="s">
        <v>3808</v>
      </c>
      <c r="L57">
        <v>11</v>
      </c>
      <c r="M57" t="s">
        <v>4061</v>
      </c>
      <c r="N57" t="s">
        <v>4062</v>
      </c>
      <c r="O57" t="s">
        <v>4063</v>
      </c>
      <c r="P57" t="s">
        <v>4439</v>
      </c>
      <c r="Q57" t="s">
        <v>3808</v>
      </c>
      <c r="R57" t="s">
        <v>4440</v>
      </c>
      <c r="S57" t="s">
        <v>4441</v>
      </c>
      <c r="T57" t="s">
        <v>4442</v>
      </c>
      <c r="U57">
        <v>2014</v>
      </c>
      <c r="V57">
        <v>66</v>
      </c>
      <c r="W57" t="s">
        <v>3808</v>
      </c>
      <c r="X57" t="s">
        <v>4443</v>
      </c>
      <c r="Y57" t="str">
        <f>HYPERLINK("http://dx.doi.org/10.1186/1880-5981-66-64","http://dx.doi.org/10.1186/1880-5981-66-64")</f>
        <v>http://dx.doi.org/10.1186/1880-5981-66-64</v>
      </c>
      <c r="Z57" t="s">
        <v>4116</v>
      </c>
      <c r="AA57" t="s">
        <v>3826</v>
      </c>
      <c r="AB57" s="3">
        <v>45672</v>
      </c>
      <c r="AC57" t="s">
        <v>4444</v>
      </c>
      <c r="AD57" t="str">
        <f>HYPERLINK("https%3A%2F%2Fwww.webofscience.com%2Fwos%2Fwoscc%2Ffull-record%2FWOS:000338786500001","View Full Record in Web of Science")</f>
        <v>View Full Record in Web of Science</v>
      </c>
    </row>
    <row r="58" spans="1:30" x14ac:dyDescent="0.35">
      <c r="A58">
        <v>57</v>
      </c>
      <c r="B58" t="s">
        <v>3087</v>
      </c>
      <c r="C58" t="s">
        <v>298</v>
      </c>
      <c r="D58" t="s">
        <v>3087</v>
      </c>
      <c r="E58" t="s">
        <v>2905</v>
      </c>
      <c r="F58" t="s">
        <v>3810</v>
      </c>
      <c r="G58" t="s">
        <v>4445</v>
      </c>
      <c r="H58" t="s">
        <v>4446</v>
      </c>
      <c r="I58" t="s">
        <v>4447</v>
      </c>
      <c r="K58" t="s">
        <v>4448</v>
      </c>
      <c r="L58">
        <v>3</v>
      </c>
      <c r="M58" t="s">
        <v>4339</v>
      </c>
      <c r="N58" t="s">
        <v>4340</v>
      </c>
      <c r="O58" t="s">
        <v>4341</v>
      </c>
      <c r="P58" t="s">
        <v>4449</v>
      </c>
      <c r="Q58" t="s">
        <v>4450</v>
      </c>
      <c r="R58" t="s">
        <v>4451</v>
      </c>
      <c r="S58" t="s">
        <v>4452</v>
      </c>
      <c r="T58" t="s">
        <v>4453</v>
      </c>
      <c r="U58">
        <v>2021</v>
      </c>
      <c r="V58">
        <v>17</v>
      </c>
      <c r="W58">
        <v>2</v>
      </c>
      <c r="X58" t="s">
        <v>4454</v>
      </c>
      <c r="Y58" t="str">
        <f>HYPERLINK("http://dx.doi.org/10.5194/cp-17-791-2021","http://dx.doi.org/10.5194/cp-17-791-2021")</f>
        <v>http://dx.doi.org/10.5194/cp-17-791-2021</v>
      </c>
      <c r="Z58" t="s">
        <v>4455</v>
      </c>
      <c r="AA58" t="s">
        <v>3826</v>
      </c>
      <c r="AB58" s="3">
        <v>45672</v>
      </c>
      <c r="AC58" t="s">
        <v>4456</v>
      </c>
      <c r="AD58" t="str">
        <f>HYPERLINK("https%3A%2F%2Fwww.webofscience.com%2Fwos%2Fwoscc%2Ffull-record%2FWOS:000638995500001","View Full Record in Web of Science")</f>
        <v>View Full Record in Web of Science</v>
      </c>
    </row>
    <row r="59" spans="1:30" x14ac:dyDescent="0.35">
      <c r="A59">
        <v>58</v>
      </c>
      <c r="B59" t="s">
        <v>3088</v>
      </c>
      <c r="C59" t="s">
        <v>4457</v>
      </c>
      <c r="D59" t="s">
        <v>3088</v>
      </c>
      <c r="E59" t="s">
        <v>2866</v>
      </c>
      <c r="F59" t="s">
        <v>3810</v>
      </c>
      <c r="G59" t="s">
        <v>4458</v>
      </c>
      <c r="H59" t="s">
        <v>4459</v>
      </c>
      <c r="I59" t="s">
        <v>4460</v>
      </c>
      <c r="J59" t="s">
        <v>4461</v>
      </c>
      <c r="K59" t="s">
        <v>4462</v>
      </c>
      <c r="L59">
        <v>54</v>
      </c>
      <c r="M59" t="s">
        <v>3850</v>
      </c>
      <c r="N59" t="s">
        <v>3851</v>
      </c>
      <c r="O59" t="s">
        <v>3852</v>
      </c>
      <c r="P59" t="s">
        <v>3853</v>
      </c>
      <c r="Q59" t="s">
        <v>3854</v>
      </c>
      <c r="R59" t="s">
        <v>3855</v>
      </c>
      <c r="S59" t="s">
        <v>3856</v>
      </c>
      <c r="T59" t="s">
        <v>3958</v>
      </c>
      <c r="U59">
        <v>2016</v>
      </c>
      <c r="V59">
        <v>36</v>
      </c>
      <c r="W59">
        <v>14</v>
      </c>
      <c r="X59" t="s">
        <v>4463</v>
      </c>
      <c r="Y59" t="str">
        <f>HYPERLINK("http://dx.doi.org/10.1002/joc.4659","http://dx.doi.org/10.1002/joc.4659")</f>
        <v>http://dx.doi.org/10.1002/joc.4659</v>
      </c>
      <c r="Z59" t="s">
        <v>3825</v>
      </c>
      <c r="AA59" t="s">
        <v>3826</v>
      </c>
      <c r="AB59" s="3">
        <v>45672</v>
      </c>
      <c r="AC59" t="s">
        <v>4464</v>
      </c>
      <c r="AD59" t="str">
        <f>HYPERLINK("https%3A%2F%2Fwww.webofscience.com%2Fwos%2Fwoscc%2Ffull-record%2FWOS:000387803000015","View Full Record in Web of Science")</f>
        <v>View Full Record in Web of Science</v>
      </c>
    </row>
    <row r="60" spans="1:30" x14ac:dyDescent="0.35">
      <c r="A60">
        <v>59</v>
      </c>
      <c r="B60" t="s">
        <v>3089</v>
      </c>
      <c r="C60" t="s">
        <v>308</v>
      </c>
      <c r="D60" t="s">
        <v>3089</v>
      </c>
      <c r="E60" t="s">
        <v>2906</v>
      </c>
      <c r="F60" t="s">
        <v>3810</v>
      </c>
      <c r="G60" t="s">
        <v>4465</v>
      </c>
      <c r="H60" t="s">
        <v>4466</v>
      </c>
      <c r="I60" t="s">
        <v>4467</v>
      </c>
      <c r="K60" t="s">
        <v>3808</v>
      </c>
      <c r="L60">
        <v>13</v>
      </c>
      <c r="M60" t="s">
        <v>4468</v>
      </c>
      <c r="N60" t="s">
        <v>2907</v>
      </c>
      <c r="O60" t="s">
        <v>4469</v>
      </c>
      <c r="P60" t="s">
        <v>4470</v>
      </c>
      <c r="Q60" t="s">
        <v>4471</v>
      </c>
      <c r="R60" t="s">
        <v>4472</v>
      </c>
      <c r="S60" t="s">
        <v>4473</v>
      </c>
      <c r="T60" t="s">
        <v>4163</v>
      </c>
      <c r="U60">
        <v>2021</v>
      </c>
      <c r="V60">
        <v>29</v>
      </c>
      <c r="W60">
        <v>6</v>
      </c>
      <c r="X60" t="s">
        <v>4474</v>
      </c>
      <c r="Y60" t="str">
        <f>HYPERLINK("http://dx.doi.org/10.1007/s41324-021-00402-9","http://dx.doi.org/10.1007/s41324-021-00402-9")</f>
        <v>http://dx.doi.org/10.1007/s41324-021-00402-9</v>
      </c>
      <c r="Z60" t="s">
        <v>4475</v>
      </c>
      <c r="AA60" t="s">
        <v>4117</v>
      </c>
      <c r="AB60" s="3">
        <v>45672</v>
      </c>
      <c r="AC60" t="s">
        <v>4476</v>
      </c>
      <c r="AD60" t="str">
        <f>HYPERLINK("https%3A%2F%2Fwww.webofscience.com%2Fwos%2Fwoscc%2Ffull-record%2FWOS:000651351600001","View Full Record in Web of Science")</f>
        <v>View Full Record in Web of Science</v>
      </c>
    </row>
    <row r="61" spans="1:30" x14ac:dyDescent="0.35">
      <c r="A61">
        <v>60</v>
      </c>
      <c r="B61" t="s">
        <v>3090</v>
      </c>
      <c r="C61" t="s">
        <v>4477</v>
      </c>
      <c r="D61" t="s">
        <v>3090</v>
      </c>
      <c r="E61" t="s">
        <v>2867</v>
      </c>
      <c r="F61" t="s">
        <v>3810</v>
      </c>
      <c r="G61" t="s">
        <v>4478</v>
      </c>
      <c r="H61" t="s">
        <v>4479</v>
      </c>
      <c r="I61" t="s">
        <v>4480</v>
      </c>
      <c r="J61" t="s">
        <v>4481</v>
      </c>
      <c r="K61" t="s">
        <v>4482</v>
      </c>
      <c r="L61">
        <v>13</v>
      </c>
      <c r="M61" t="s">
        <v>3866</v>
      </c>
      <c r="N61" t="s">
        <v>3817</v>
      </c>
      <c r="O61" t="s">
        <v>3867</v>
      </c>
      <c r="P61" t="s">
        <v>3868</v>
      </c>
      <c r="Q61" t="s">
        <v>3869</v>
      </c>
      <c r="R61" t="s">
        <v>3870</v>
      </c>
      <c r="S61" t="s">
        <v>3871</v>
      </c>
      <c r="T61" t="s">
        <v>4163</v>
      </c>
      <c r="U61">
        <v>2020</v>
      </c>
      <c r="V61">
        <v>55</v>
      </c>
      <c r="W61" t="s">
        <v>4483</v>
      </c>
      <c r="X61" t="s">
        <v>4484</v>
      </c>
      <c r="Y61" t="str">
        <f>HYPERLINK("http://dx.doi.org/10.1007/s00382-020-05443-8","http://dx.doi.org/10.1007/s00382-020-05443-8")</f>
        <v>http://dx.doi.org/10.1007/s00382-020-05443-8</v>
      </c>
      <c r="Z61" t="s">
        <v>3825</v>
      </c>
      <c r="AA61" t="s">
        <v>3826</v>
      </c>
      <c r="AB61" s="3">
        <v>45672</v>
      </c>
      <c r="AC61" t="s">
        <v>4485</v>
      </c>
      <c r="AD61" t="str">
        <f>HYPERLINK("https%3A%2F%2Fwww.webofscience.com%2Fwos%2Fwoscc%2Ffull-record%2FWOS:000565110600002","View Full Record in Web of Science")</f>
        <v>View Full Record in Web of Science</v>
      </c>
    </row>
    <row r="62" spans="1:30" x14ac:dyDescent="0.35">
      <c r="A62">
        <v>61</v>
      </c>
      <c r="B62" t="s">
        <v>3091</v>
      </c>
      <c r="C62" t="s">
        <v>4486</v>
      </c>
      <c r="D62" t="s">
        <v>3091</v>
      </c>
      <c r="E62" t="s">
        <v>2866</v>
      </c>
      <c r="F62" t="s">
        <v>3810</v>
      </c>
      <c r="G62" t="s">
        <v>4487</v>
      </c>
      <c r="H62" t="s">
        <v>4488</v>
      </c>
      <c r="I62" t="s">
        <v>4489</v>
      </c>
      <c r="J62" t="s">
        <v>4490</v>
      </c>
      <c r="K62" t="s">
        <v>4491</v>
      </c>
      <c r="L62">
        <v>10</v>
      </c>
      <c r="M62" t="s">
        <v>3850</v>
      </c>
      <c r="N62" t="s">
        <v>3851</v>
      </c>
      <c r="O62" t="s">
        <v>3852</v>
      </c>
      <c r="P62" t="s">
        <v>3853</v>
      </c>
      <c r="Q62" t="s">
        <v>3854</v>
      </c>
      <c r="R62" t="s">
        <v>3855</v>
      </c>
      <c r="S62" t="s">
        <v>3856</v>
      </c>
      <c r="T62" t="s">
        <v>4163</v>
      </c>
      <c r="U62">
        <v>2018</v>
      </c>
      <c r="V62">
        <v>38</v>
      </c>
      <c r="W62">
        <v>15</v>
      </c>
      <c r="X62" t="s">
        <v>4492</v>
      </c>
      <c r="Y62" t="str">
        <f>HYPERLINK("http://dx.doi.org/10.1002/joc.5774","http://dx.doi.org/10.1002/joc.5774")</f>
        <v>http://dx.doi.org/10.1002/joc.5774</v>
      </c>
      <c r="Z62" t="s">
        <v>3825</v>
      </c>
      <c r="AA62" t="s">
        <v>3826</v>
      </c>
      <c r="AB62" s="3">
        <v>45672</v>
      </c>
      <c r="AC62" t="s">
        <v>4493</v>
      </c>
      <c r="AD62" t="str">
        <f>HYPERLINK("https%3A%2F%2Fwww.webofscience.com%2Fwos%2Fwoscc%2Ffull-record%2FWOS:000452432200020","View Full Record in Web of Science")</f>
        <v>View Full Record in Web of Science</v>
      </c>
    </row>
    <row r="63" spans="1:30" x14ac:dyDescent="0.35">
      <c r="A63">
        <v>62</v>
      </c>
      <c r="B63" t="s">
        <v>3092</v>
      </c>
      <c r="C63" t="s">
        <v>4494</v>
      </c>
      <c r="D63" t="s">
        <v>3092</v>
      </c>
      <c r="E63" t="s">
        <v>2896</v>
      </c>
      <c r="F63" t="s">
        <v>3810</v>
      </c>
      <c r="G63" t="s">
        <v>4495</v>
      </c>
      <c r="H63" t="s">
        <v>4496</v>
      </c>
      <c r="I63" t="s">
        <v>4497</v>
      </c>
      <c r="K63" t="s">
        <v>3808</v>
      </c>
      <c r="L63">
        <v>2</v>
      </c>
      <c r="M63" t="s">
        <v>4277</v>
      </c>
      <c r="N63" t="s">
        <v>4278</v>
      </c>
      <c r="O63" t="s">
        <v>4279</v>
      </c>
      <c r="P63" t="s">
        <v>3808</v>
      </c>
      <c r="Q63" t="s">
        <v>4280</v>
      </c>
      <c r="R63" t="s">
        <v>2896</v>
      </c>
      <c r="S63" t="s">
        <v>4281</v>
      </c>
      <c r="T63" t="s">
        <v>4114</v>
      </c>
      <c r="U63">
        <v>2023</v>
      </c>
      <c r="V63">
        <v>11</v>
      </c>
      <c r="W63">
        <v>3</v>
      </c>
      <c r="X63" t="s">
        <v>4498</v>
      </c>
      <c r="Y63" t="str">
        <f>HYPERLINK("http://dx.doi.org/10.3390/cli11030058","http://dx.doi.org/10.3390/cli11030058")</f>
        <v>http://dx.doi.org/10.3390/cli11030058</v>
      </c>
      <c r="Z63" t="s">
        <v>3825</v>
      </c>
      <c r="AA63" t="s">
        <v>4117</v>
      </c>
      <c r="AB63" s="3">
        <v>45672</v>
      </c>
      <c r="AC63" t="s">
        <v>4499</v>
      </c>
      <c r="AD63" t="str">
        <f>HYPERLINK("https%3A%2F%2Fwww.webofscience.com%2Fwos%2Fwoscc%2Ffull-record%2FWOS:000955425400001","View Full Record in Web of Science")</f>
        <v>View Full Record in Web of Science</v>
      </c>
    </row>
    <row r="64" spans="1:30" x14ac:dyDescent="0.35">
      <c r="A64">
        <v>63</v>
      </c>
      <c r="B64" t="s">
        <v>3093</v>
      </c>
      <c r="C64" t="s">
        <v>4500</v>
      </c>
      <c r="D64" t="s">
        <v>3093</v>
      </c>
      <c r="E64" t="s">
        <v>2864</v>
      </c>
      <c r="F64" t="s">
        <v>3810</v>
      </c>
      <c r="G64" t="s">
        <v>4501</v>
      </c>
      <c r="H64" t="s">
        <v>4502</v>
      </c>
      <c r="I64" t="s">
        <v>4503</v>
      </c>
      <c r="J64" t="s">
        <v>4504</v>
      </c>
      <c r="K64" t="s">
        <v>4505</v>
      </c>
      <c r="L64">
        <v>26</v>
      </c>
      <c r="M64" t="s">
        <v>3834</v>
      </c>
      <c r="N64" t="s">
        <v>3835</v>
      </c>
      <c r="O64" t="s">
        <v>3836</v>
      </c>
      <c r="P64" t="s">
        <v>3837</v>
      </c>
      <c r="Q64" t="s">
        <v>3838</v>
      </c>
      <c r="R64" t="s">
        <v>3839</v>
      </c>
      <c r="S64" t="s">
        <v>3840</v>
      </c>
      <c r="T64" t="s">
        <v>3808</v>
      </c>
      <c r="U64">
        <v>2016</v>
      </c>
      <c r="V64">
        <v>2016</v>
      </c>
      <c r="W64" t="s">
        <v>3808</v>
      </c>
      <c r="X64" t="s">
        <v>4506</v>
      </c>
      <c r="Y64" t="str">
        <f>HYPERLINK("http://dx.doi.org/10.1155/2016/7159132","http://dx.doi.org/10.1155/2016/7159132")</f>
        <v>http://dx.doi.org/10.1155/2016/7159132</v>
      </c>
      <c r="Z64" t="s">
        <v>3825</v>
      </c>
      <c r="AA64" t="s">
        <v>3826</v>
      </c>
      <c r="AB64" s="3">
        <v>45672</v>
      </c>
      <c r="AC64" t="s">
        <v>4507</v>
      </c>
      <c r="AD64" t="str">
        <f>HYPERLINK("https%3A%2F%2Fwww.webofscience.com%2Fwos%2Fwoscc%2Ffull-record%2FWOS:000378699500001","View Full Record in Web of Science")</f>
        <v>View Full Record in Web of Science</v>
      </c>
    </row>
    <row r="65" spans="1:30" x14ac:dyDescent="0.35">
      <c r="A65">
        <v>64</v>
      </c>
      <c r="B65" t="s">
        <v>3094</v>
      </c>
      <c r="C65" t="s">
        <v>4508</v>
      </c>
      <c r="D65" t="s">
        <v>3094</v>
      </c>
      <c r="E65" t="s">
        <v>2909</v>
      </c>
      <c r="F65" t="s">
        <v>3810</v>
      </c>
      <c r="G65" t="s">
        <v>4509</v>
      </c>
      <c r="H65" t="s">
        <v>4510</v>
      </c>
      <c r="I65" t="s">
        <v>4122</v>
      </c>
      <c r="J65" t="s">
        <v>4511</v>
      </c>
      <c r="K65" t="s">
        <v>4512</v>
      </c>
      <c r="L65">
        <v>5</v>
      </c>
      <c r="M65" t="s">
        <v>3834</v>
      </c>
      <c r="N65" t="s">
        <v>3835</v>
      </c>
      <c r="O65" t="s">
        <v>3836</v>
      </c>
      <c r="P65" t="s">
        <v>4513</v>
      </c>
      <c r="Q65" t="s">
        <v>4514</v>
      </c>
      <c r="R65" t="s">
        <v>4515</v>
      </c>
      <c r="S65" t="s">
        <v>4516</v>
      </c>
      <c r="T65" t="s">
        <v>4517</v>
      </c>
      <c r="U65">
        <v>2023</v>
      </c>
      <c r="V65">
        <v>2023</v>
      </c>
      <c r="W65" t="s">
        <v>3808</v>
      </c>
      <c r="X65" t="s">
        <v>4518</v>
      </c>
      <c r="Y65" t="str">
        <f>HYPERLINK("http://dx.doi.org/10.1155/2023/2186857","http://dx.doi.org/10.1155/2023/2186857")</f>
        <v>http://dx.doi.org/10.1155/2023/2186857</v>
      </c>
      <c r="Z65" t="s">
        <v>3920</v>
      </c>
      <c r="AA65" t="s">
        <v>4117</v>
      </c>
      <c r="AB65" s="3">
        <v>45672</v>
      </c>
      <c r="AC65" t="s">
        <v>4519</v>
      </c>
      <c r="AD65" t="str">
        <f>HYPERLINK("https%3A%2F%2Fwww.webofscience.com%2Fwos%2Fwoscc%2Ffull-record%2FWOS:001131683900001","View Full Record in Web of Science")</f>
        <v>View Full Record in Web of Science</v>
      </c>
    </row>
    <row r="66" spans="1:30" x14ac:dyDescent="0.35">
      <c r="A66">
        <v>65</v>
      </c>
      <c r="B66" t="s">
        <v>3095</v>
      </c>
      <c r="C66" t="s">
        <v>327</v>
      </c>
      <c r="D66" t="s">
        <v>3095</v>
      </c>
      <c r="E66" t="s">
        <v>2877</v>
      </c>
      <c r="F66" t="s">
        <v>3810</v>
      </c>
      <c r="G66" t="s">
        <v>4520</v>
      </c>
      <c r="H66" t="s">
        <v>4521</v>
      </c>
      <c r="I66" t="s">
        <v>4522</v>
      </c>
      <c r="J66" t="s">
        <v>4523</v>
      </c>
      <c r="K66" t="s">
        <v>4524</v>
      </c>
      <c r="L66">
        <v>75</v>
      </c>
      <c r="M66" t="s">
        <v>4033</v>
      </c>
      <c r="N66" t="s">
        <v>4034</v>
      </c>
      <c r="O66" t="s">
        <v>4035</v>
      </c>
      <c r="P66" t="s">
        <v>4036</v>
      </c>
      <c r="Q66" t="s">
        <v>4037</v>
      </c>
      <c r="R66" t="s">
        <v>4038</v>
      </c>
      <c r="S66" t="s">
        <v>4039</v>
      </c>
      <c r="T66" t="s">
        <v>3932</v>
      </c>
      <c r="U66">
        <v>2017</v>
      </c>
      <c r="V66">
        <v>30</v>
      </c>
      <c r="W66">
        <v>10</v>
      </c>
      <c r="X66" t="s">
        <v>4525</v>
      </c>
      <c r="Y66" t="str">
        <f>HYPERLINK("http://dx.doi.org/10.1175/JCLI-D-16-0150.1","http://dx.doi.org/10.1175/JCLI-D-16-0150.1")</f>
        <v>http://dx.doi.org/10.1175/JCLI-D-16-0150.1</v>
      </c>
      <c r="Z66" t="s">
        <v>3825</v>
      </c>
      <c r="AA66" t="s">
        <v>3826</v>
      </c>
      <c r="AB66" s="3">
        <v>45672</v>
      </c>
      <c r="AC66" t="s">
        <v>4526</v>
      </c>
      <c r="AD66" t="str">
        <f>HYPERLINK("https%3A%2F%2Fwww.webofscience.com%2Fwos%2Fwoscc%2Ffull-record%2FWOS:000401006100006","View Full Record in Web of Science")</f>
        <v>View Full Record in Web of Science</v>
      </c>
    </row>
    <row r="67" spans="1:30" x14ac:dyDescent="0.35">
      <c r="A67">
        <v>66</v>
      </c>
      <c r="B67" t="s">
        <v>3096</v>
      </c>
      <c r="C67" t="s">
        <v>4527</v>
      </c>
      <c r="D67" t="s">
        <v>3096</v>
      </c>
      <c r="E67" t="s">
        <v>2888</v>
      </c>
      <c r="F67" t="s">
        <v>3810</v>
      </c>
      <c r="G67" t="s">
        <v>4528</v>
      </c>
      <c r="H67" t="s">
        <v>4529</v>
      </c>
      <c r="I67" t="s">
        <v>4530</v>
      </c>
      <c r="K67" t="s">
        <v>3808</v>
      </c>
      <c r="L67">
        <v>22</v>
      </c>
      <c r="M67" t="s">
        <v>3951</v>
      </c>
      <c r="N67" t="s">
        <v>3952</v>
      </c>
      <c r="O67" t="s">
        <v>3953</v>
      </c>
      <c r="P67" t="s">
        <v>4198</v>
      </c>
      <c r="Q67" t="s">
        <v>4199</v>
      </c>
      <c r="R67" t="s">
        <v>4200</v>
      </c>
      <c r="S67" t="s">
        <v>4201</v>
      </c>
      <c r="T67" t="s">
        <v>4001</v>
      </c>
      <c r="U67">
        <v>2017</v>
      </c>
      <c r="V67">
        <v>148</v>
      </c>
      <c r="W67" t="s">
        <v>3808</v>
      </c>
      <c r="X67" t="s">
        <v>4531</v>
      </c>
      <c r="Y67" t="str">
        <f>HYPERLINK("http://dx.doi.org/10.1016/j.gloplacha.2016.12.003","http://dx.doi.org/10.1016/j.gloplacha.2016.12.003")</f>
        <v>http://dx.doi.org/10.1016/j.gloplacha.2016.12.003</v>
      </c>
      <c r="Z67" t="s">
        <v>4203</v>
      </c>
      <c r="AA67" t="s">
        <v>3826</v>
      </c>
      <c r="AB67" s="3">
        <v>45672</v>
      </c>
      <c r="AC67" t="s">
        <v>4532</v>
      </c>
      <c r="AD67" t="str">
        <f>HYPERLINK("https%3A%2F%2Fwww.webofscience.com%2Fwos%2Fwoscc%2Ffull-record%2FWOS:000393528200009","View Full Record in Web of Science")</f>
        <v>View Full Record in Web of Science</v>
      </c>
    </row>
    <row r="68" spans="1:30" x14ac:dyDescent="0.35">
      <c r="A68">
        <v>67</v>
      </c>
      <c r="B68" t="s">
        <v>3097</v>
      </c>
      <c r="C68" t="s">
        <v>4533</v>
      </c>
      <c r="D68" t="s">
        <v>3097</v>
      </c>
      <c r="E68" t="s">
        <v>2871</v>
      </c>
      <c r="F68" t="s">
        <v>3810</v>
      </c>
      <c r="G68" t="s">
        <v>4534</v>
      </c>
      <c r="H68" t="s">
        <v>4535</v>
      </c>
      <c r="I68" t="s">
        <v>3808</v>
      </c>
      <c r="J68" t="s">
        <v>4536</v>
      </c>
      <c r="K68" t="s">
        <v>4537</v>
      </c>
      <c r="L68">
        <v>10</v>
      </c>
      <c r="M68" t="s">
        <v>3866</v>
      </c>
      <c r="N68" t="s">
        <v>3817</v>
      </c>
      <c r="O68" t="s">
        <v>4290</v>
      </c>
      <c r="P68" t="s">
        <v>3928</v>
      </c>
      <c r="Q68" t="s">
        <v>3929</v>
      </c>
      <c r="R68" t="s">
        <v>3930</v>
      </c>
      <c r="S68" t="s">
        <v>3931</v>
      </c>
      <c r="T68" t="s">
        <v>3872</v>
      </c>
      <c r="U68">
        <v>2017</v>
      </c>
      <c r="V68">
        <v>88</v>
      </c>
      <c r="W68">
        <v>2</v>
      </c>
      <c r="X68" t="s">
        <v>4538</v>
      </c>
      <c r="Y68" t="str">
        <f>HYPERLINK("http://dx.doi.org/10.1007/s11069-017-2905-4","http://dx.doi.org/10.1007/s11069-017-2905-4")</f>
        <v>http://dx.doi.org/10.1007/s11069-017-2905-4</v>
      </c>
      <c r="Z68" t="s">
        <v>3934</v>
      </c>
      <c r="AA68" t="s">
        <v>3826</v>
      </c>
      <c r="AB68" s="3">
        <v>45672</v>
      </c>
      <c r="AC68" t="s">
        <v>4539</v>
      </c>
      <c r="AD68" t="str">
        <f>HYPERLINK("https%3A%2F%2Fwww.webofscience.com%2Fwos%2Fwoscc%2Ffull-record%2FWOS:000406767600021","View Full Record in Web of Science")</f>
        <v>View Full Record in Web of Science</v>
      </c>
    </row>
    <row r="69" spans="1:30" x14ac:dyDescent="0.35">
      <c r="A69">
        <v>68</v>
      </c>
      <c r="B69" t="s">
        <v>3098</v>
      </c>
      <c r="C69" t="s">
        <v>4540</v>
      </c>
      <c r="D69" t="s">
        <v>3098</v>
      </c>
      <c r="E69" t="s">
        <v>2866</v>
      </c>
      <c r="F69" t="s">
        <v>3810</v>
      </c>
      <c r="G69" t="s">
        <v>4541</v>
      </c>
      <c r="H69" t="s">
        <v>4542</v>
      </c>
      <c r="I69" t="s">
        <v>4543</v>
      </c>
      <c r="J69" t="s">
        <v>4544</v>
      </c>
      <c r="K69" t="s">
        <v>4545</v>
      </c>
      <c r="L69">
        <v>13</v>
      </c>
      <c r="M69" t="s">
        <v>3850</v>
      </c>
      <c r="N69" t="s">
        <v>3851</v>
      </c>
      <c r="O69" t="s">
        <v>3852</v>
      </c>
      <c r="P69" t="s">
        <v>3853</v>
      </c>
      <c r="Q69" t="s">
        <v>3854</v>
      </c>
      <c r="R69" t="s">
        <v>3855</v>
      </c>
      <c r="S69" t="s">
        <v>3856</v>
      </c>
      <c r="T69" t="s">
        <v>4546</v>
      </c>
      <c r="U69">
        <v>2020</v>
      </c>
      <c r="V69">
        <v>40</v>
      </c>
      <c r="W69">
        <v>8</v>
      </c>
      <c r="X69" t="s">
        <v>4547</v>
      </c>
      <c r="Y69" t="str">
        <f>HYPERLINK("http://dx.doi.org/10.1002/joc.6428","http://dx.doi.org/10.1002/joc.6428")</f>
        <v>http://dx.doi.org/10.1002/joc.6428</v>
      </c>
      <c r="Z69" t="s">
        <v>3825</v>
      </c>
      <c r="AA69" t="s">
        <v>3826</v>
      </c>
      <c r="AB69" s="3">
        <v>45672</v>
      </c>
      <c r="AC69" t="s">
        <v>4548</v>
      </c>
      <c r="AD69" t="str">
        <f>HYPERLINK("https%3A%2F%2Fwww.webofscience.com%2Fwos%2Fwoscc%2Ffull-record%2FWOS:000502465900001","View Full Record in Web of Science")</f>
        <v>View Full Record in Web of Science</v>
      </c>
    </row>
    <row r="70" spans="1:30" x14ac:dyDescent="0.35">
      <c r="A70">
        <v>69</v>
      </c>
      <c r="B70" t="s">
        <v>3099</v>
      </c>
      <c r="C70" t="s">
        <v>4549</v>
      </c>
      <c r="D70" t="s">
        <v>3099</v>
      </c>
      <c r="E70" t="s">
        <v>2910</v>
      </c>
      <c r="F70" t="s">
        <v>3810</v>
      </c>
      <c r="G70" t="s">
        <v>4550</v>
      </c>
      <c r="H70" t="s">
        <v>4551</v>
      </c>
      <c r="I70" t="s">
        <v>4552</v>
      </c>
      <c r="J70" t="s">
        <v>4553</v>
      </c>
      <c r="K70" t="s">
        <v>4554</v>
      </c>
      <c r="L70">
        <v>0</v>
      </c>
      <c r="M70" t="s">
        <v>4555</v>
      </c>
      <c r="N70" t="s">
        <v>4556</v>
      </c>
      <c r="O70" t="s">
        <v>4557</v>
      </c>
      <c r="P70" t="s">
        <v>3808</v>
      </c>
      <c r="Q70" t="s">
        <v>4558</v>
      </c>
      <c r="R70" t="s">
        <v>4559</v>
      </c>
      <c r="S70" t="s">
        <v>4560</v>
      </c>
      <c r="T70" t="s">
        <v>4561</v>
      </c>
      <c r="U70">
        <v>2021</v>
      </c>
      <c r="V70">
        <v>9</v>
      </c>
      <c r="W70" t="s">
        <v>3808</v>
      </c>
      <c r="X70" t="s">
        <v>4562</v>
      </c>
      <c r="Y70" t="str">
        <f>HYPERLINK("http://dx.doi.org/10.3389/feart.2021.709663","http://dx.doi.org/10.3389/feart.2021.709663")</f>
        <v>http://dx.doi.org/10.3389/feart.2021.709663</v>
      </c>
      <c r="Z70" t="s">
        <v>4116</v>
      </c>
      <c r="AA70" t="s">
        <v>3826</v>
      </c>
      <c r="AB70" s="3">
        <v>45672</v>
      </c>
      <c r="AC70" t="s">
        <v>4563</v>
      </c>
      <c r="AD70" t="str">
        <f>HYPERLINK("https%3A%2F%2Fwww.webofscience.com%2Fwos%2Fwoscc%2Ffull-record%2FWOS:000674267700001","View Full Record in Web of Science")</f>
        <v>View Full Record in Web of Science</v>
      </c>
    </row>
    <row r="71" spans="1:30" x14ac:dyDescent="0.35">
      <c r="A71">
        <v>70</v>
      </c>
      <c r="B71" t="s">
        <v>3100</v>
      </c>
      <c r="C71" t="s">
        <v>4564</v>
      </c>
      <c r="D71" t="s">
        <v>3100</v>
      </c>
      <c r="E71" t="s">
        <v>2903</v>
      </c>
      <c r="F71" t="s">
        <v>3810</v>
      </c>
      <c r="G71" t="s">
        <v>4565</v>
      </c>
      <c r="H71" t="s">
        <v>4566</v>
      </c>
      <c r="I71" t="s">
        <v>4567</v>
      </c>
      <c r="J71" t="s">
        <v>4568</v>
      </c>
      <c r="K71" t="s">
        <v>4569</v>
      </c>
      <c r="L71">
        <v>39</v>
      </c>
      <c r="M71" t="s">
        <v>4406</v>
      </c>
      <c r="N71" t="s">
        <v>3835</v>
      </c>
      <c r="O71" t="s">
        <v>4407</v>
      </c>
      <c r="P71" t="s">
        <v>4408</v>
      </c>
      <c r="Q71" t="s">
        <v>3808</v>
      </c>
      <c r="R71" t="s">
        <v>4409</v>
      </c>
      <c r="S71" t="s">
        <v>4410</v>
      </c>
      <c r="T71" t="s">
        <v>4570</v>
      </c>
      <c r="U71">
        <v>2019</v>
      </c>
      <c r="V71">
        <v>6</v>
      </c>
      <c r="W71" t="s">
        <v>3808</v>
      </c>
      <c r="X71" t="s">
        <v>4571</v>
      </c>
      <c r="Y71" t="str">
        <f>HYPERLINK("http://dx.doi.org/10.1186/s40645-019-0297-7","http://dx.doi.org/10.1186/s40645-019-0297-7")</f>
        <v>http://dx.doi.org/10.1186/s40645-019-0297-7</v>
      </c>
      <c r="Z71" t="s">
        <v>4116</v>
      </c>
      <c r="AA71" t="s">
        <v>3826</v>
      </c>
      <c r="AB71" s="3">
        <v>45672</v>
      </c>
      <c r="AC71" t="s">
        <v>4572</v>
      </c>
      <c r="AD71" t="str">
        <f>HYPERLINK("https%3A%2F%2Fwww.webofscience.com%2Fwos%2Fwoscc%2Ffull-record%2FWOS:000478003500001","View Full Record in Web of Science")</f>
        <v>View Full Record in Web of Science</v>
      </c>
    </row>
    <row r="72" spans="1:30" x14ac:dyDescent="0.35">
      <c r="A72">
        <v>71</v>
      </c>
      <c r="B72" t="s">
        <v>3101</v>
      </c>
      <c r="C72" t="s">
        <v>4573</v>
      </c>
      <c r="D72" t="s">
        <v>3101</v>
      </c>
      <c r="E72" t="s">
        <v>2869</v>
      </c>
      <c r="F72" t="s">
        <v>3810</v>
      </c>
      <c r="G72" t="s">
        <v>4574</v>
      </c>
      <c r="H72" t="s">
        <v>4575</v>
      </c>
      <c r="I72" t="s">
        <v>4576</v>
      </c>
      <c r="K72" t="s">
        <v>3808</v>
      </c>
      <c r="L72">
        <v>15</v>
      </c>
      <c r="M72" t="s">
        <v>3880</v>
      </c>
      <c r="N72" t="s">
        <v>3881</v>
      </c>
      <c r="O72" t="s">
        <v>3882</v>
      </c>
      <c r="P72" t="s">
        <v>3897</v>
      </c>
      <c r="Q72" t="s">
        <v>3898</v>
      </c>
      <c r="R72" t="s">
        <v>3899</v>
      </c>
      <c r="S72" t="s">
        <v>3900</v>
      </c>
      <c r="T72" t="s">
        <v>4577</v>
      </c>
      <c r="U72">
        <v>2019</v>
      </c>
      <c r="V72">
        <v>40</v>
      </c>
      <c r="W72">
        <v>19</v>
      </c>
      <c r="X72" t="s">
        <v>4578</v>
      </c>
      <c r="Y72" t="str">
        <f>HYPERLINK("http://dx.doi.org/10.1080/01431161.2019.1584689","http://dx.doi.org/10.1080/01431161.2019.1584689")</f>
        <v>http://dx.doi.org/10.1080/01431161.2019.1584689</v>
      </c>
      <c r="Z72" t="s">
        <v>3903</v>
      </c>
      <c r="AA72" t="s">
        <v>3826</v>
      </c>
      <c r="AB72" s="3">
        <v>45672</v>
      </c>
      <c r="AC72" t="s">
        <v>4579</v>
      </c>
      <c r="AD72" t="str">
        <f>HYPERLINK("https%3A%2F%2Fwww.webofscience.com%2Fwos%2Fwoscc%2Ffull-record%2FWOS:000471955100002","View Full Record in Web of Science")</f>
        <v>View Full Record in Web of Science</v>
      </c>
    </row>
    <row r="73" spans="1:30" x14ac:dyDescent="0.35">
      <c r="A73">
        <v>72</v>
      </c>
      <c r="B73" t="s">
        <v>3102</v>
      </c>
      <c r="C73" t="s">
        <v>4580</v>
      </c>
      <c r="D73" t="s">
        <v>3102</v>
      </c>
      <c r="E73" t="s">
        <v>2862</v>
      </c>
      <c r="F73" t="s">
        <v>3810</v>
      </c>
      <c r="G73" t="s">
        <v>4581</v>
      </c>
      <c r="H73" t="s">
        <v>4582</v>
      </c>
      <c r="I73" t="s">
        <v>4583</v>
      </c>
      <c r="J73" t="s">
        <v>4584</v>
      </c>
      <c r="K73" t="s">
        <v>4585</v>
      </c>
      <c r="L73">
        <v>25</v>
      </c>
      <c r="M73" t="s">
        <v>3816</v>
      </c>
      <c r="N73" t="s">
        <v>3817</v>
      </c>
      <c r="O73" t="s">
        <v>3818</v>
      </c>
      <c r="P73" t="s">
        <v>3819</v>
      </c>
      <c r="Q73" t="s">
        <v>3820</v>
      </c>
      <c r="R73" t="s">
        <v>3821</v>
      </c>
      <c r="S73" t="s">
        <v>3822</v>
      </c>
      <c r="T73" t="s">
        <v>4137</v>
      </c>
      <c r="U73">
        <v>2020</v>
      </c>
      <c r="V73">
        <v>240</v>
      </c>
      <c r="W73" t="s">
        <v>3808</v>
      </c>
      <c r="X73" t="s">
        <v>4586</v>
      </c>
      <c r="Y73" t="str">
        <f>HYPERLINK("http://dx.doi.org/10.1016/j.atmosres.2020.104926","http://dx.doi.org/10.1016/j.atmosres.2020.104926")</f>
        <v>http://dx.doi.org/10.1016/j.atmosres.2020.104926</v>
      </c>
      <c r="Z73" t="s">
        <v>3825</v>
      </c>
      <c r="AA73" t="s">
        <v>3826</v>
      </c>
      <c r="AB73" s="3">
        <v>45672</v>
      </c>
      <c r="AC73" t="s">
        <v>4587</v>
      </c>
      <c r="AD73" t="str">
        <f>HYPERLINK("https%3A%2F%2Fwww.webofscience.com%2Fwos%2Fwoscc%2Ffull-record%2FWOS:000527314900002","View Full Record in Web of Science")</f>
        <v>View Full Record in Web of Science</v>
      </c>
    </row>
    <row r="74" spans="1:30" x14ac:dyDescent="0.35">
      <c r="A74">
        <v>73</v>
      </c>
      <c r="B74" t="s">
        <v>3103</v>
      </c>
      <c r="C74" t="s">
        <v>4588</v>
      </c>
      <c r="D74" t="s">
        <v>3103</v>
      </c>
      <c r="E74" t="s">
        <v>2911</v>
      </c>
      <c r="F74" t="s">
        <v>3810</v>
      </c>
      <c r="G74" t="s">
        <v>4589</v>
      </c>
      <c r="H74" t="s">
        <v>4590</v>
      </c>
      <c r="I74" t="s">
        <v>4591</v>
      </c>
      <c r="K74" t="s">
        <v>3808</v>
      </c>
      <c r="L74">
        <v>7</v>
      </c>
      <c r="M74" t="s">
        <v>3880</v>
      </c>
      <c r="N74" t="s">
        <v>3881</v>
      </c>
      <c r="O74" t="s">
        <v>3882</v>
      </c>
      <c r="P74" t="s">
        <v>4592</v>
      </c>
      <c r="Q74" t="s">
        <v>4593</v>
      </c>
      <c r="R74" t="s">
        <v>4594</v>
      </c>
      <c r="S74" t="s">
        <v>4595</v>
      </c>
      <c r="T74" t="s">
        <v>3808</v>
      </c>
      <c r="U74">
        <v>2016</v>
      </c>
      <c r="V74">
        <v>7</v>
      </c>
      <c r="W74">
        <v>6</v>
      </c>
      <c r="X74" t="s">
        <v>4596</v>
      </c>
      <c r="Y74" t="str">
        <f>HYPERLINK("http://dx.doi.org/10.1080/19475705.2016.1155503","http://dx.doi.org/10.1080/19475705.2016.1155503")</f>
        <v>http://dx.doi.org/10.1080/19475705.2016.1155503</v>
      </c>
      <c r="Z74" t="s">
        <v>3934</v>
      </c>
      <c r="AA74" t="s">
        <v>3826</v>
      </c>
      <c r="AB74" s="3">
        <v>45672</v>
      </c>
      <c r="AC74" t="s">
        <v>4597</v>
      </c>
      <c r="AD74" t="str">
        <f>HYPERLINK("https%3A%2F%2Fwww.webofscience.com%2Fwos%2Fwoscc%2Ffull-record%2FWOS:000382556200001","View Full Record in Web of Science")</f>
        <v>View Full Record in Web of Science</v>
      </c>
    </row>
    <row r="75" spans="1:30" x14ac:dyDescent="0.35">
      <c r="A75">
        <v>74</v>
      </c>
      <c r="B75" t="s">
        <v>3104</v>
      </c>
      <c r="C75" t="s">
        <v>4598</v>
      </c>
      <c r="D75" t="s">
        <v>3104</v>
      </c>
      <c r="E75" t="s">
        <v>2888</v>
      </c>
      <c r="F75" t="s">
        <v>3810</v>
      </c>
      <c r="G75" t="s">
        <v>4599</v>
      </c>
      <c r="H75" t="s">
        <v>4600</v>
      </c>
      <c r="I75" t="s">
        <v>4601</v>
      </c>
      <c r="J75" t="s">
        <v>4602</v>
      </c>
      <c r="K75" t="s">
        <v>4603</v>
      </c>
      <c r="L75">
        <v>2</v>
      </c>
      <c r="M75" t="s">
        <v>3951</v>
      </c>
      <c r="N75" t="s">
        <v>3952</v>
      </c>
      <c r="O75" t="s">
        <v>3953</v>
      </c>
      <c r="P75" t="s">
        <v>4198</v>
      </c>
      <c r="Q75" t="s">
        <v>4199</v>
      </c>
      <c r="R75" t="s">
        <v>4200</v>
      </c>
      <c r="S75" t="s">
        <v>4201</v>
      </c>
      <c r="T75" t="s">
        <v>3958</v>
      </c>
      <c r="U75">
        <v>2023</v>
      </c>
      <c r="V75">
        <v>230</v>
      </c>
      <c r="W75" t="s">
        <v>3808</v>
      </c>
      <c r="X75" t="s">
        <v>4604</v>
      </c>
      <c r="Y75" t="str">
        <f>HYPERLINK("http://dx.doi.org/10.1016/j.gloplacha.2023.104277","http://dx.doi.org/10.1016/j.gloplacha.2023.104277")</f>
        <v>http://dx.doi.org/10.1016/j.gloplacha.2023.104277</v>
      </c>
      <c r="Z75" t="s">
        <v>4203</v>
      </c>
      <c r="AA75" t="s">
        <v>3826</v>
      </c>
      <c r="AB75" s="3">
        <v>45672</v>
      </c>
      <c r="AC75" t="s">
        <v>4605</v>
      </c>
      <c r="AD75" t="str">
        <f>HYPERLINK("https%3A%2F%2Fwww.webofscience.com%2Fwos%2Fwoscc%2Ffull-record%2FWOS:001102714800001","View Full Record in Web of Science")</f>
        <v>View Full Record in Web of Science</v>
      </c>
    </row>
    <row r="76" spans="1:30" x14ac:dyDescent="0.35">
      <c r="A76">
        <v>75</v>
      </c>
      <c r="B76" t="s">
        <v>3105</v>
      </c>
      <c r="C76" t="s">
        <v>4606</v>
      </c>
      <c r="D76" t="s">
        <v>3105</v>
      </c>
      <c r="E76" t="s">
        <v>2867</v>
      </c>
      <c r="F76" t="s">
        <v>3810</v>
      </c>
      <c r="G76" t="s">
        <v>4607</v>
      </c>
      <c r="H76" t="s">
        <v>4608</v>
      </c>
      <c r="I76" t="s">
        <v>4609</v>
      </c>
      <c r="J76" t="s">
        <v>4610</v>
      </c>
      <c r="K76" t="s">
        <v>4611</v>
      </c>
      <c r="L76">
        <v>10</v>
      </c>
      <c r="M76" t="s">
        <v>3866</v>
      </c>
      <c r="N76" t="s">
        <v>3817</v>
      </c>
      <c r="O76" t="s">
        <v>4290</v>
      </c>
      <c r="P76" t="s">
        <v>3868</v>
      </c>
      <c r="Q76" t="s">
        <v>3869</v>
      </c>
      <c r="R76" t="s">
        <v>3870</v>
      </c>
      <c r="S76" t="s">
        <v>3871</v>
      </c>
      <c r="T76" t="s">
        <v>4137</v>
      </c>
      <c r="U76">
        <v>2015</v>
      </c>
      <c r="V76">
        <v>45</v>
      </c>
      <c r="W76" t="s">
        <v>4268</v>
      </c>
      <c r="X76" t="s">
        <v>4612</v>
      </c>
      <c r="Y76" t="str">
        <f>HYPERLINK("http://dx.doi.org/10.1007/s00382-014-2289-z","http://dx.doi.org/10.1007/s00382-014-2289-z")</f>
        <v>http://dx.doi.org/10.1007/s00382-014-2289-z</v>
      </c>
      <c r="Z76" t="s">
        <v>3825</v>
      </c>
      <c r="AA76" t="s">
        <v>3826</v>
      </c>
      <c r="AB76" s="3">
        <v>45672</v>
      </c>
      <c r="AC76" t="s">
        <v>4613</v>
      </c>
      <c r="AD76" t="str">
        <f>HYPERLINK("https%3A%2F%2Fwww.webofscience.com%2Fwos%2Fwoscc%2Ffull-record%2FWOS:000356807800010","View Full Record in Web of Science")</f>
        <v>View Full Record in Web of Science</v>
      </c>
    </row>
    <row r="77" spans="1:30" x14ac:dyDescent="0.35">
      <c r="A77">
        <v>76</v>
      </c>
      <c r="B77" t="s">
        <v>3106</v>
      </c>
      <c r="C77" t="s">
        <v>4614</v>
      </c>
      <c r="D77" t="s">
        <v>3106</v>
      </c>
      <c r="E77" t="s">
        <v>2901</v>
      </c>
      <c r="F77" t="s">
        <v>3810</v>
      </c>
      <c r="G77" t="s">
        <v>4615</v>
      </c>
      <c r="H77" t="s">
        <v>4616</v>
      </c>
      <c r="I77" t="s">
        <v>4617</v>
      </c>
      <c r="J77" t="s">
        <v>4618</v>
      </c>
      <c r="K77" t="s">
        <v>4619</v>
      </c>
      <c r="L77">
        <v>7</v>
      </c>
      <c r="M77" t="s">
        <v>4377</v>
      </c>
      <c r="N77" t="s">
        <v>4378</v>
      </c>
      <c r="O77" t="s">
        <v>4379</v>
      </c>
      <c r="P77" t="s">
        <v>4380</v>
      </c>
      <c r="Q77" t="s">
        <v>4381</v>
      </c>
      <c r="R77" t="s">
        <v>4382</v>
      </c>
      <c r="S77" t="s">
        <v>4383</v>
      </c>
      <c r="T77" t="s">
        <v>4163</v>
      </c>
      <c r="U77">
        <v>2021</v>
      </c>
      <c r="V77">
        <v>99</v>
      </c>
      <c r="W77">
        <v>6</v>
      </c>
      <c r="X77" t="s">
        <v>4620</v>
      </c>
      <c r="Y77" t="str">
        <f>HYPERLINK("http://dx.doi.org/10.2151/jmsj.2021-0741525","http://dx.doi.org/10.2151/jmsj.2021-0741525")</f>
        <v>http://dx.doi.org/10.2151/jmsj.2021-0741525</v>
      </c>
      <c r="Z77" t="s">
        <v>3825</v>
      </c>
      <c r="AA77" t="s">
        <v>3826</v>
      </c>
      <c r="AB77" s="3">
        <v>45672</v>
      </c>
      <c r="AC77" t="s">
        <v>4621</v>
      </c>
      <c r="AD77" t="str">
        <f>HYPERLINK("https%3A%2F%2Fwww.webofscience.com%2Fwos%2Fwoscc%2Ffull-record%2FWOS:000737427900001","View Full Record in Web of Science")</f>
        <v>View Full Record in Web of Science</v>
      </c>
    </row>
    <row r="78" spans="1:30" x14ac:dyDescent="0.35">
      <c r="A78">
        <v>77</v>
      </c>
      <c r="B78" t="s">
        <v>3107</v>
      </c>
      <c r="C78" t="s">
        <v>4622</v>
      </c>
      <c r="D78" t="s">
        <v>3107</v>
      </c>
      <c r="E78" t="s">
        <v>2910</v>
      </c>
      <c r="F78" t="s">
        <v>3810</v>
      </c>
      <c r="G78" t="s">
        <v>4623</v>
      </c>
      <c r="H78" t="s">
        <v>4624</v>
      </c>
      <c r="I78" t="s">
        <v>3939</v>
      </c>
      <c r="J78" t="s">
        <v>4625</v>
      </c>
      <c r="K78" t="s">
        <v>4626</v>
      </c>
      <c r="L78">
        <v>3</v>
      </c>
      <c r="M78" t="s">
        <v>4555</v>
      </c>
      <c r="N78" t="s">
        <v>4556</v>
      </c>
      <c r="O78" t="s">
        <v>4557</v>
      </c>
      <c r="P78" t="s">
        <v>3808</v>
      </c>
      <c r="Q78" t="s">
        <v>4558</v>
      </c>
      <c r="R78" t="s">
        <v>4559</v>
      </c>
      <c r="S78" t="s">
        <v>4560</v>
      </c>
      <c r="T78" t="s">
        <v>4627</v>
      </c>
      <c r="U78">
        <v>2023</v>
      </c>
      <c r="V78">
        <v>10</v>
      </c>
      <c r="W78" t="s">
        <v>3808</v>
      </c>
      <c r="X78" t="s">
        <v>4628</v>
      </c>
      <c r="Y78" t="str">
        <f>HYPERLINK("http://dx.doi.org/10.3389/feart.2022.1024037","http://dx.doi.org/10.3389/feart.2022.1024037")</f>
        <v>http://dx.doi.org/10.3389/feart.2022.1024037</v>
      </c>
      <c r="Z78" t="s">
        <v>4116</v>
      </c>
      <c r="AA78" t="s">
        <v>3826</v>
      </c>
      <c r="AB78" s="3">
        <v>45672</v>
      </c>
      <c r="AC78" t="s">
        <v>4629</v>
      </c>
      <c r="AD78" t="str">
        <f>HYPERLINK("https%3A%2F%2Fwww.webofscience.com%2Fwos%2Fwoscc%2Ffull-record%2FWOS:000919228700001","View Full Record in Web of Science")</f>
        <v>View Full Record in Web of Science</v>
      </c>
    </row>
    <row r="79" spans="1:30" x14ac:dyDescent="0.35">
      <c r="A79">
        <v>78</v>
      </c>
      <c r="B79" t="s">
        <v>3108</v>
      </c>
      <c r="C79" t="s">
        <v>4630</v>
      </c>
      <c r="D79" t="s">
        <v>3108</v>
      </c>
      <c r="E79" t="s">
        <v>2862</v>
      </c>
      <c r="F79" t="s">
        <v>3810</v>
      </c>
      <c r="G79" t="s">
        <v>4631</v>
      </c>
      <c r="H79" t="s">
        <v>4632</v>
      </c>
      <c r="I79" t="s">
        <v>4633</v>
      </c>
      <c r="J79" t="s">
        <v>4634</v>
      </c>
      <c r="K79" t="s">
        <v>4635</v>
      </c>
      <c r="L79">
        <v>157</v>
      </c>
      <c r="M79" t="s">
        <v>3816</v>
      </c>
      <c r="N79" t="s">
        <v>3817</v>
      </c>
      <c r="O79" t="s">
        <v>3818</v>
      </c>
      <c r="P79" t="s">
        <v>3819</v>
      </c>
      <c r="Q79" t="s">
        <v>3820</v>
      </c>
      <c r="R79" t="s">
        <v>3821</v>
      </c>
      <c r="S79" t="s">
        <v>3822</v>
      </c>
      <c r="T79" t="s">
        <v>4636</v>
      </c>
      <c r="U79">
        <v>2016</v>
      </c>
      <c r="V79">
        <v>169</v>
      </c>
      <c r="W79" t="s">
        <v>3808</v>
      </c>
      <c r="X79" t="s">
        <v>4637</v>
      </c>
      <c r="Y79" t="str">
        <f>HYPERLINK("http://dx.doi.org/10.1016/j.atmosres.2015.10.015","http://dx.doi.org/10.1016/j.atmosres.2015.10.015")</f>
        <v>http://dx.doi.org/10.1016/j.atmosres.2015.10.015</v>
      </c>
      <c r="Z79" t="s">
        <v>3825</v>
      </c>
      <c r="AA79" t="s">
        <v>3826</v>
      </c>
      <c r="AB79" s="3">
        <v>45672</v>
      </c>
      <c r="AC79" t="s">
        <v>4638</v>
      </c>
      <c r="AD79" t="str">
        <f>HYPERLINK("https%3A%2F%2Fwww.webofscience.com%2Fwos%2Fwoscc%2Ffull-record%2FWOS:000366879100029","View Full Record in Web of Science")</f>
        <v>View Full Record in Web of Science</v>
      </c>
    </row>
    <row r="80" spans="1:30" x14ac:dyDescent="0.35">
      <c r="A80">
        <v>79</v>
      </c>
      <c r="B80" t="s">
        <v>3109</v>
      </c>
      <c r="C80" t="s">
        <v>4639</v>
      </c>
      <c r="D80" t="s">
        <v>3109</v>
      </c>
      <c r="E80" t="s">
        <v>2866</v>
      </c>
      <c r="F80" t="s">
        <v>3810</v>
      </c>
      <c r="G80" t="s">
        <v>4640</v>
      </c>
      <c r="H80" t="s">
        <v>4641</v>
      </c>
      <c r="I80" t="s">
        <v>4642</v>
      </c>
      <c r="J80" t="s">
        <v>4643</v>
      </c>
      <c r="K80" t="s">
        <v>4644</v>
      </c>
      <c r="L80">
        <v>9</v>
      </c>
      <c r="M80" t="s">
        <v>3850</v>
      </c>
      <c r="N80" t="s">
        <v>3851</v>
      </c>
      <c r="O80" t="s">
        <v>3852</v>
      </c>
      <c r="P80" t="s">
        <v>3853</v>
      </c>
      <c r="Q80" t="s">
        <v>3854</v>
      </c>
      <c r="R80" t="s">
        <v>3855</v>
      </c>
      <c r="S80" t="s">
        <v>3856</v>
      </c>
      <c r="T80" t="s">
        <v>3857</v>
      </c>
      <c r="U80">
        <v>2021</v>
      </c>
      <c r="V80">
        <v>41</v>
      </c>
      <c r="W80">
        <v>3</v>
      </c>
      <c r="X80" t="s">
        <v>4645</v>
      </c>
      <c r="Y80" t="str">
        <f>HYPERLINK("http://dx.doi.org/10.1002/joc.6949","http://dx.doi.org/10.1002/joc.6949")</f>
        <v>http://dx.doi.org/10.1002/joc.6949</v>
      </c>
      <c r="Z80" t="s">
        <v>3825</v>
      </c>
      <c r="AA80" t="s">
        <v>3826</v>
      </c>
      <c r="AB80" s="3">
        <v>45672</v>
      </c>
      <c r="AC80" t="s">
        <v>4646</v>
      </c>
      <c r="AD80" t="str">
        <f>HYPERLINK("https%3A%2F%2Fwww.webofscience.com%2Fwos%2Fwoscc%2Ffull-record%2FWOS:000604423500001","View Full Record in Web of Science")</f>
        <v>View Full Record in Web of Science</v>
      </c>
    </row>
    <row r="81" spans="1:30" x14ac:dyDescent="0.35">
      <c r="A81">
        <v>80</v>
      </c>
      <c r="B81" t="s">
        <v>3110</v>
      </c>
      <c r="C81" t="s">
        <v>4647</v>
      </c>
      <c r="D81" t="s">
        <v>3110</v>
      </c>
      <c r="E81" t="s">
        <v>2867</v>
      </c>
      <c r="F81" t="s">
        <v>3810</v>
      </c>
      <c r="G81" t="s">
        <v>4648</v>
      </c>
      <c r="H81" t="s">
        <v>4649</v>
      </c>
      <c r="I81" t="s">
        <v>4650</v>
      </c>
      <c r="J81" t="s">
        <v>4651</v>
      </c>
      <c r="K81" t="s">
        <v>4652</v>
      </c>
      <c r="L81">
        <v>8</v>
      </c>
      <c r="M81" t="s">
        <v>3866</v>
      </c>
      <c r="N81" t="s">
        <v>3817</v>
      </c>
      <c r="O81" t="s">
        <v>4290</v>
      </c>
      <c r="P81" t="s">
        <v>3868</v>
      </c>
      <c r="Q81" t="s">
        <v>3869</v>
      </c>
      <c r="R81" t="s">
        <v>3870</v>
      </c>
      <c r="S81" t="s">
        <v>3871</v>
      </c>
      <c r="T81" t="s">
        <v>4001</v>
      </c>
      <c r="U81">
        <v>2019</v>
      </c>
      <c r="V81">
        <v>52</v>
      </c>
      <c r="W81" t="s">
        <v>4259</v>
      </c>
      <c r="X81" t="s">
        <v>4653</v>
      </c>
      <c r="Y81" t="str">
        <f>HYPERLINK("http://dx.doi.org/10.1007/s00382-018-4198-z","http://dx.doi.org/10.1007/s00382-018-4198-z")</f>
        <v>http://dx.doi.org/10.1007/s00382-018-4198-z</v>
      </c>
      <c r="Z81" t="s">
        <v>3825</v>
      </c>
      <c r="AA81" t="s">
        <v>3826</v>
      </c>
      <c r="AB81" s="3">
        <v>45672</v>
      </c>
      <c r="AC81" t="s">
        <v>4654</v>
      </c>
      <c r="AD81" t="str">
        <f>HYPERLINK("https%3A%2F%2Fwww.webofscience.com%2Fwos%2Fwoscc%2Ffull-record%2FWOS:000460619200021","View Full Record in Web of Science")</f>
        <v>View Full Record in Web of Science</v>
      </c>
    </row>
    <row r="82" spans="1:30" x14ac:dyDescent="0.35">
      <c r="A82">
        <v>81</v>
      </c>
      <c r="B82" t="s">
        <v>3111</v>
      </c>
      <c r="C82" t="s">
        <v>4655</v>
      </c>
      <c r="D82" t="s">
        <v>3111</v>
      </c>
      <c r="E82" t="s">
        <v>2911</v>
      </c>
      <c r="F82" t="s">
        <v>3810</v>
      </c>
      <c r="G82" t="s">
        <v>4656</v>
      </c>
      <c r="H82" t="s">
        <v>4657</v>
      </c>
      <c r="I82" t="s">
        <v>4658</v>
      </c>
      <c r="J82" t="s">
        <v>3808</v>
      </c>
      <c r="K82" t="s">
        <v>3808</v>
      </c>
      <c r="L82">
        <v>19</v>
      </c>
      <c r="M82" t="s">
        <v>3880</v>
      </c>
      <c r="N82" t="s">
        <v>3881</v>
      </c>
      <c r="O82" t="s">
        <v>3882</v>
      </c>
      <c r="P82" t="s">
        <v>4592</v>
      </c>
      <c r="Q82" t="s">
        <v>4593</v>
      </c>
      <c r="R82" t="s">
        <v>4594</v>
      </c>
      <c r="S82" t="s">
        <v>4595</v>
      </c>
      <c r="T82" t="s">
        <v>4659</v>
      </c>
      <c r="U82">
        <v>2021</v>
      </c>
      <c r="V82">
        <v>12</v>
      </c>
      <c r="W82">
        <v>1</v>
      </c>
      <c r="X82" t="s">
        <v>4660</v>
      </c>
      <c r="Y82" t="str">
        <f>HYPERLINK("http://dx.doi.org/10.1080/19475705.2021.1998232","http://dx.doi.org/10.1080/19475705.2021.1998232")</f>
        <v>http://dx.doi.org/10.1080/19475705.2021.1998232</v>
      </c>
      <c r="Z82" t="s">
        <v>3934</v>
      </c>
      <c r="AA82" t="s">
        <v>3826</v>
      </c>
      <c r="AB82" s="3">
        <v>45672</v>
      </c>
      <c r="AC82" t="s">
        <v>4661</v>
      </c>
      <c r="AD82" t="str">
        <f>HYPERLINK("https%3A%2F%2Fwww.webofscience.com%2Fwos%2Fwoscc%2Ffull-record%2FWOS:000717270100001","View Full Record in Web of Science")</f>
        <v>View Full Record in Web of Science</v>
      </c>
    </row>
    <row r="83" spans="1:30" x14ac:dyDescent="0.35">
      <c r="A83">
        <v>82</v>
      </c>
      <c r="B83" t="s">
        <v>3112</v>
      </c>
      <c r="C83" t="s">
        <v>4662</v>
      </c>
      <c r="D83" t="s">
        <v>3112</v>
      </c>
      <c r="E83" t="s">
        <v>2912</v>
      </c>
      <c r="F83" t="s">
        <v>3810</v>
      </c>
      <c r="G83" t="s">
        <v>4663</v>
      </c>
      <c r="H83" t="s">
        <v>4664</v>
      </c>
      <c r="I83" t="s">
        <v>4497</v>
      </c>
      <c r="J83" t="s">
        <v>3808</v>
      </c>
      <c r="K83" t="s">
        <v>3808</v>
      </c>
      <c r="L83">
        <v>18</v>
      </c>
      <c r="M83" t="s">
        <v>4033</v>
      </c>
      <c r="N83" t="s">
        <v>4034</v>
      </c>
      <c r="O83" t="s">
        <v>4035</v>
      </c>
      <c r="P83" t="s">
        <v>4665</v>
      </c>
      <c r="Q83" t="s">
        <v>4666</v>
      </c>
      <c r="R83" t="s">
        <v>4667</v>
      </c>
      <c r="S83" t="s">
        <v>4668</v>
      </c>
      <c r="T83" t="s">
        <v>3823</v>
      </c>
      <c r="U83">
        <v>2019</v>
      </c>
      <c r="V83">
        <v>58</v>
      </c>
      <c r="W83">
        <v>2</v>
      </c>
      <c r="X83" t="s">
        <v>4669</v>
      </c>
      <c r="Y83" t="str">
        <f>HYPERLINK("http://dx.doi.org/10.1175/JAMC-D-18-0136.1","http://dx.doi.org/10.1175/JAMC-D-18-0136.1")</f>
        <v>http://dx.doi.org/10.1175/JAMC-D-18-0136.1</v>
      </c>
      <c r="Z83" t="s">
        <v>3825</v>
      </c>
      <c r="AA83" t="s">
        <v>3826</v>
      </c>
      <c r="AB83" s="3">
        <v>45672</v>
      </c>
      <c r="AC83" t="s">
        <v>4670</v>
      </c>
      <c r="AD83" t="str">
        <f>HYPERLINK("https%3A%2F%2Fwww.webofscience.com%2Fwos%2Fwoscc%2Ffull-record%2FWOS:000459276200001","View Full Record in Web of Science")</f>
        <v>View Full Record in Web of Science</v>
      </c>
    </row>
    <row r="84" spans="1:30" x14ac:dyDescent="0.35">
      <c r="A84">
        <v>83</v>
      </c>
      <c r="B84" t="s">
        <v>3113</v>
      </c>
      <c r="C84" t="s">
        <v>4671</v>
      </c>
      <c r="D84" t="s">
        <v>3113</v>
      </c>
      <c r="E84" t="s">
        <v>2894</v>
      </c>
      <c r="F84" t="s">
        <v>3810</v>
      </c>
      <c r="G84" t="s">
        <v>4672</v>
      </c>
      <c r="H84" t="s">
        <v>4673</v>
      </c>
      <c r="I84" t="s">
        <v>4674</v>
      </c>
      <c r="K84" t="s">
        <v>3808</v>
      </c>
      <c r="L84">
        <v>21</v>
      </c>
      <c r="M84" t="s">
        <v>4252</v>
      </c>
      <c r="N84" t="s">
        <v>4253</v>
      </c>
      <c r="O84" t="s">
        <v>4254</v>
      </c>
      <c r="P84" t="s">
        <v>4255</v>
      </c>
      <c r="Q84" t="s">
        <v>4256</v>
      </c>
      <c r="R84" t="s">
        <v>4257</v>
      </c>
      <c r="S84" t="s">
        <v>4258</v>
      </c>
      <c r="T84" t="s">
        <v>3918</v>
      </c>
      <c r="U84">
        <v>2017</v>
      </c>
      <c r="V84">
        <v>129</v>
      </c>
      <c r="W84" t="s">
        <v>4259</v>
      </c>
      <c r="X84" t="s">
        <v>4675</v>
      </c>
      <c r="Y84" t="str">
        <f>HYPERLINK("http://dx.doi.org/10.1007/s00704-016-1792-z","http://dx.doi.org/10.1007/s00704-016-1792-z")</f>
        <v>http://dx.doi.org/10.1007/s00704-016-1792-z</v>
      </c>
      <c r="Z84" t="s">
        <v>3825</v>
      </c>
      <c r="AA84" t="s">
        <v>3826</v>
      </c>
      <c r="AB84" s="3">
        <v>45672</v>
      </c>
      <c r="AC84" t="s">
        <v>4676</v>
      </c>
      <c r="AD84" t="str">
        <f>HYPERLINK("https%3A%2F%2Fwww.webofscience.com%2Fwos%2Fwoscc%2Ffull-record%2FWOS:000403666400024","View Full Record in Web of Science")</f>
        <v>View Full Record in Web of Science</v>
      </c>
    </row>
    <row r="85" spans="1:30" x14ac:dyDescent="0.35">
      <c r="A85">
        <v>84</v>
      </c>
      <c r="B85" t="s">
        <v>3114</v>
      </c>
      <c r="C85" t="s">
        <v>4677</v>
      </c>
      <c r="D85" t="s">
        <v>3114</v>
      </c>
      <c r="E85" t="s">
        <v>2876</v>
      </c>
      <c r="F85" t="s">
        <v>3810</v>
      </c>
      <c r="G85" t="s">
        <v>4678</v>
      </c>
      <c r="H85" t="s">
        <v>4679</v>
      </c>
      <c r="I85" t="s">
        <v>4680</v>
      </c>
      <c r="J85" t="s">
        <v>4681</v>
      </c>
      <c r="K85" t="s">
        <v>4682</v>
      </c>
      <c r="L85">
        <v>11</v>
      </c>
      <c r="M85" t="s">
        <v>3951</v>
      </c>
      <c r="N85" t="s">
        <v>3952</v>
      </c>
      <c r="O85" t="s">
        <v>3953</v>
      </c>
      <c r="P85" t="s">
        <v>3981</v>
      </c>
      <c r="Q85" t="s">
        <v>3808</v>
      </c>
      <c r="R85" t="s">
        <v>3982</v>
      </c>
      <c r="S85" t="s">
        <v>3983</v>
      </c>
      <c r="T85" t="s">
        <v>3872</v>
      </c>
      <c r="U85">
        <v>2022</v>
      </c>
      <c r="V85">
        <v>37</v>
      </c>
      <c r="W85" t="s">
        <v>3808</v>
      </c>
      <c r="X85" t="s">
        <v>4683</v>
      </c>
      <c r="Y85" t="str">
        <f>HYPERLINK("http://dx.doi.org/10.1016/j.wace.2022.100480December2021;July2022","http://dx.doi.org/10.1016/j.wace.2022.100480December2021;July2022")</f>
        <v>http://dx.doi.org/10.1016/j.wace.2022.100480December2021;July2022</v>
      </c>
      <c r="Z85" t="s">
        <v>3825</v>
      </c>
      <c r="AA85" t="s">
        <v>3826</v>
      </c>
      <c r="AB85" s="3">
        <v>45672</v>
      </c>
      <c r="AC85" t="s">
        <v>4684</v>
      </c>
      <c r="AD85" t="str">
        <f>HYPERLINK("https%3A%2F%2Fwww.webofscience.com%2Fwos%2Fwoscc%2Ffull-record%2FWOS:000827327300001","View Full Record in Web of Science")</f>
        <v>View Full Record in Web of Science</v>
      </c>
    </row>
    <row r="86" spans="1:30" x14ac:dyDescent="0.35">
      <c r="A86">
        <v>85</v>
      </c>
      <c r="B86" t="s">
        <v>3115</v>
      </c>
      <c r="C86" t="s">
        <v>4685</v>
      </c>
      <c r="D86" t="s">
        <v>3115</v>
      </c>
      <c r="E86" t="s">
        <v>2913</v>
      </c>
      <c r="F86" t="s">
        <v>3810</v>
      </c>
      <c r="G86" t="s">
        <v>4686</v>
      </c>
      <c r="H86" t="s">
        <v>4687</v>
      </c>
      <c r="I86" t="s">
        <v>4688</v>
      </c>
      <c r="J86" t="s">
        <v>4689</v>
      </c>
      <c r="K86" t="s">
        <v>4690</v>
      </c>
      <c r="L86">
        <v>8</v>
      </c>
      <c r="M86" t="s">
        <v>4377</v>
      </c>
      <c r="N86" t="s">
        <v>4378</v>
      </c>
      <c r="O86" t="s">
        <v>4379</v>
      </c>
      <c r="P86" t="s">
        <v>4691</v>
      </c>
      <c r="Q86" t="s">
        <v>3808</v>
      </c>
      <c r="R86" t="s">
        <v>2913</v>
      </c>
      <c r="S86" t="s">
        <v>2913</v>
      </c>
      <c r="T86" t="s">
        <v>4692</v>
      </c>
      <c r="U86">
        <v>2020</v>
      </c>
      <c r="V86">
        <v>16</v>
      </c>
      <c r="W86" t="s">
        <v>3808</v>
      </c>
      <c r="X86" t="s">
        <v>4693</v>
      </c>
      <c r="Y86" t="str">
        <f>HYPERLINK("http://dx.doi.org/10.2151/sola.2020-023","http://dx.doi.org/10.2151/sola.2020-023")</f>
        <v>http://dx.doi.org/10.2151/sola.2020-023</v>
      </c>
      <c r="Z86" t="s">
        <v>3825</v>
      </c>
      <c r="AA86" t="s">
        <v>3826</v>
      </c>
      <c r="AB86" s="3">
        <v>45672</v>
      </c>
      <c r="AC86" t="s">
        <v>4694</v>
      </c>
      <c r="AD86" t="str">
        <f>HYPERLINK("https%3A%2F%2Fwww.webofscience.com%2Fwos%2Fwoscc%2Ffull-record%2FWOS:000557475700001","View Full Record in Web of Science")</f>
        <v>View Full Record in Web of Science</v>
      </c>
    </row>
    <row r="87" spans="1:30" x14ac:dyDescent="0.35">
      <c r="A87">
        <v>86</v>
      </c>
      <c r="B87" t="s">
        <v>3116</v>
      </c>
      <c r="C87" t="s">
        <v>4695</v>
      </c>
      <c r="D87" t="s">
        <v>3116</v>
      </c>
      <c r="E87" t="s">
        <v>2914</v>
      </c>
      <c r="F87" t="s">
        <v>3810</v>
      </c>
      <c r="G87" t="s">
        <v>4696</v>
      </c>
      <c r="H87" t="s">
        <v>4697</v>
      </c>
      <c r="I87" t="s">
        <v>4698</v>
      </c>
      <c r="J87" t="s">
        <v>4699</v>
      </c>
      <c r="K87" t="s">
        <v>4700</v>
      </c>
      <c r="L87">
        <v>32</v>
      </c>
      <c r="M87" t="s">
        <v>4211</v>
      </c>
      <c r="N87" t="s">
        <v>3952</v>
      </c>
      <c r="O87" t="s">
        <v>4212</v>
      </c>
      <c r="P87" t="s">
        <v>4701</v>
      </c>
      <c r="Q87" t="s">
        <v>4702</v>
      </c>
      <c r="R87" t="s">
        <v>4703</v>
      </c>
      <c r="S87" t="s">
        <v>4704</v>
      </c>
      <c r="T87" t="s">
        <v>4705</v>
      </c>
      <c r="U87">
        <v>2014</v>
      </c>
      <c r="V87">
        <v>348</v>
      </c>
      <c r="W87" t="s">
        <v>3808</v>
      </c>
      <c r="X87" t="s">
        <v>4706</v>
      </c>
      <c r="Y87" t="str">
        <f>HYPERLINK("http://dx.doi.org/10.1016/j.margeo.2013.11.014","http://dx.doi.org/10.1016/j.margeo.2013.11.014")</f>
        <v>http://dx.doi.org/10.1016/j.margeo.2013.11.014</v>
      </c>
      <c r="Z87" t="s">
        <v>4707</v>
      </c>
      <c r="AA87" t="s">
        <v>3826</v>
      </c>
      <c r="AB87" s="3">
        <v>45672</v>
      </c>
      <c r="AC87" t="s">
        <v>4708</v>
      </c>
      <c r="AD87" t="str">
        <f>HYPERLINK("https%3A%2F%2Fwww.webofscience.com%2Fwos%2Fwoscc%2Ffull-record%2FWOS:000331681400004","View Full Record in Web of Science")</f>
        <v>View Full Record in Web of Science</v>
      </c>
    </row>
    <row r="88" spans="1:30" x14ac:dyDescent="0.35">
      <c r="A88">
        <v>87</v>
      </c>
      <c r="B88" t="s">
        <v>3117</v>
      </c>
      <c r="C88" t="s">
        <v>411</v>
      </c>
      <c r="D88" t="s">
        <v>3117</v>
      </c>
      <c r="E88" t="s">
        <v>2910</v>
      </c>
      <c r="F88" t="s">
        <v>3810</v>
      </c>
      <c r="G88" t="s">
        <v>4709</v>
      </c>
      <c r="H88" t="s">
        <v>4710</v>
      </c>
      <c r="I88" t="s">
        <v>4711</v>
      </c>
      <c r="J88" t="s">
        <v>4712</v>
      </c>
      <c r="K88" t="s">
        <v>4713</v>
      </c>
      <c r="L88">
        <v>28</v>
      </c>
      <c r="M88" t="s">
        <v>4555</v>
      </c>
      <c r="N88" t="s">
        <v>4556</v>
      </c>
      <c r="O88" t="s">
        <v>4557</v>
      </c>
      <c r="P88" t="s">
        <v>3808</v>
      </c>
      <c r="Q88" t="s">
        <v>4558</v>
      </c>
      <c r="R88" t="s">
        <v>4559</v>
      </c>
      <c r="S88" t="s">
        <v>4560</v>
      </c>
      <c r="T88" t="s">
        <v>4714</v>
      </c>
      <c r="U88">
        <v>2018</v>
      </c>
      <c r="V88">
        <v>6</v>
      </c>
      <c r="W88" t="s">
        <v>3808</v>
      </c>
      <c r="X88" t="s">
        <v>4715</v>
      </c>
      <c r="Y88" t="str">
        <f>HYPERLINK("http://dx.doi.org/10.3389/feart.2018.00040","http://dx.doi.org/10.3389/feart.2018.00040")</f>
        <v>http://dx.doi.org/10.3389/feart.2018.00040</v>
      </c>
      <c r="Z88" t="s">
        <v>4116</v>
      </c>
      <c r="AA88" t="s">
        <v>3826</v>
      </c>
      <c r="AB88" s="3">
        <v>45672</v>
      </c>
      <c r="AC88" t="s">
        <v>4716</v>
      </c>
      <c r="AD88" t="str">
        <f>HYPERLINK("https%3A%2F%2Fwww.webofscience.com%2Fwos%2Fwoscc%2Ffull-record%2FWOS:000441663900001","View Full Record in Web of Science")</f>
        <v>View Full Record in Web of Science</v>
      </c>
    </row>
    <row r="89" spans="1:30" x14ac:dyDescent="0.35">
      <c r="A89">
        <v>88</v>
      </c>
      <c r="B89" t="s">
        <v>3118</v>
      </c>
      <c r="C89" t="s">
        <v>4717</v>
      </c>
      <c r="D89" t="s">
        <v>3118</v>
      </c>
      <c r="E89" t="s">
        <v>2866</v>
      </c>
      <c r="F89" t="s">
        <v>3810</v>
      </c>
      <c r="G89" t="s">
        <v>4718</v>
      </c>
      <c r="H89" t="s">
        <v>4719</v>
      </c>
      <c r="I89" t="s">
        <v>4720</v>
      </c>
      <c r="J89" t="s">
        <v>4721</v>
      </c>
      <c r="K89" t="s">
        <v>4722</v>
      </c>
      <c r="L89">
        <v>1</v>
      </c>
      <c r="M89" t="s">
        <v>3850</v>
      </c>
      <c r="N89" t="s">
        <v>3851</v>
      </c>
      <c r="O89" t="s">
        <v>3852</v>
      </c>
      <c r="P89" t="s">
        <v>3853</v>
      </c>
      <c r="Q89" t="s">
        <v>3854</v>
      </c>
      <c r="R89" t="s">
        <v>3855</v>
      </c>
      <c r="S89" t="s">
        <v>3856</v>
      </c>
      <c r="T89" t="s">
        <v>4723</v>
      </c>
      <c r="U89">
        <v>2022</v>
      </c>
      <c r="V89">
        <v>42</v>
      </c>
      <c r="W89">
        <v>7</v>
      </c>
      <c r="X89" t="s">
        <v>4724</v>
      </c>
      <c r="Y89" t="str">
        <f>HYPERLINK("http://dx.doi.org/10.1002/joc.7440","http://dx.doi.org/10.1002/joc.7440")</f>
        <v>http://dx.doi.org/10.1002/joc.7440</v>
      </c>
      <c r="Z89" t="s">
        <v>3825</v>
      </c>
      <c r="AA89" t="s">
        <v>3826</v>
      </c>
      <c r="AB89" s="3">
        <v>45672</v>
      </c>
      <c r="AC89" t="s">
        <v>4725</v>
      </c>
      <c r="AD89" t="str">
        <f>HYPERLINK("https%3A%2F%2Fwww.webofscience.com%2Fwos%2Fwoscc%2Ffull-record%2FWOS:000722366800001","View Full Record in Web of Science")</f>
        <v>View Full Record in Web of Science</v>
      </c>
    </row>
    <row r="90" spans="1:30" x14ac:dyDescent="0.35">
      <c r="A90">
        <v>89</v>
      </c>
      <c r="B90" t="s">
        <v>3119</v>
      </c>
      <c r="C90" t="s">
        <v>415</v>
      </c>
      <c r="D90" t="s">
        <v>3119</v>
      </c>
      <c r="E90" t="s">
        <v>2915</v>
      </c>
      <c r="F90" t="s">
        <v>3810</v>
      </c>
      <c r="G90" t="s">
        <v>4726</v>
      </c>
      <c r="H90" t="s">
        <v>4727</v>
      </c>
      <c r="I90" t="s">
        <v>4728</v>
      </c>
      <c r="J90" t="s">
        <v>4144</v>
      </c>
      <c r="K90" t="s">
        <v>4729</v>
      </c>
      <c r="L90">
        <v>6</v>
      </c>
      <c r="M90" t="s">
        <v>4730</v>
      </c>
      <c r="N90" t="s">
        <v>4731</v>
      </c>
      <c r="O90" t="s">
        <v>4732</v>
      </c>
      <c r="P90" t="s">
        <v>4733</v>
      </c>
      <c r="Q90" t="s">
        <v>4734</v>
      </c>
      <c r="R90" t="s">
        <v>4735</v>
      </c>
      <c r="S90" t="s">
        <v>4736</v>
      </c>
      <c r="T90" t="s">
        <v>3808</v>
      </c>
      <c r="U90">
        <v>2023</v>
      </c>
      <c r="V90">
        <v>45</v>
      </c>
      <c r="W90">
        <v>2</v>
      </c>
      <c r="X90" t="s">
        <v>4737</v>
      </c>
      <c r="Y90" t="str">
        <f>HYPERLINK("http://dx.doi.org/10.15625/2615-9783/18284","http://dx.doi.org/10.15625/2615-9783/18284")</f>
        <v>http://dx.doi.org/10.15625/2615-9783/18284</v>
      </c>
      <c r="Z90" t="s">
        <v>4116</v>
      </c>
      <c r="AA90" t="s">
        <v>4117</v>
      </c>
      <c r="AB90" s="3">
        <v>45672</v>
      </c>
      <c r="AC90" t="s">
        <v>4738</v>
      </c>
      <c r="AD90" t="str">
        <f>HYPERLINK("https%3A%2F%2Fwww.webofscience.com%2Fwos%2Fwoscc%2Ffull-record%2FWOS:001014952100004","View Full Record in Web of Science")</f>
        <v>View Full Record in Web of Science</v>
      </c>
    </row>
    <row r="91" spans="1:30" x14ac:dyDescent="0.35">
      <c r="A91">
        <v>90</v>
      </c>
      <c r="B91" t="s">
        <v>3120</v>
      </c>
      <c r="C91" t="s">
        <v>4739</v>
      </c>
      <c r="D91" t="s">
        <v>3120</v>
      </c>
      <c r="E91" t="s">
        <v>2866</v>
      </c>
      <c r="F91" t="s">
        <v>3810</v>
      </c>
      <c r="G91" t="s">
        <v>4740</v>
      </c>
      <c r="H91" t="s">
        <v>4741</v>
      </c>
      <c r="I91" t="s">
        <v>4742</v>
      </c>
      <c r="J91" t="s">
        <v>4743</v>
      </c>
      <c r="K91" t="s">
        <v>4744</v>
      </c>
      <c r="L91">
        <v>9</v>
      </c>
      <c r="M91" t="s">
        <v>3850</v>
      </c>
      <c r="N91" t="s">
        <v>3851</v>
      </c>
      <c r="O91" t="s">
        <v>3852</v>
      </c>
      <c r="P91" t="s">
        <v>3853</v>
      </c>
      <c r="Q91" t="s">
        <v>3854</v>
      </c>
      <c r="R91" t="s">
        <v>3855</v>
      </c>
      <c r="S91" t="s">
        <v>3856</v>
      </c>
      <c r="T91" t="s">
        <v>4016</v>
      </c>
      <c r="U91">
        <v>2021</v>
      </c>
      <c r="V91">
        <v>41</v>
      </c>
      <c r="W91">
        <v>12</v>
      </c>
      <c r="X91" t="s">
        <v>4745</v>
      </c>
      <c r="Y91" t="str">
        <f>HYPERLINK("http://dx.doi.org/10.1002/joc.7150","http://dx.doi.org/10.1002/joc.7150")</f>
        <v>http://dx.doi.org/10.1002/joc.7150</v>
      </c>
      <c r="Z91" t="s">
        <v>3825</v>
      </c>
      <c r="AA91" t="s">
        <v>3826</v>
      </c>
      <c r="AB91" s="3">
        <v>45672</v>
      </c>
      <c r="AC91" t="s">
        <v>4746</v>
      </c>
      <c r="AD91" t="str">
        <f>HYPERLINK("https%3A%2F%2Fwww.webofscience.com%2Fwos%2Fwoscc%2Ffull-record%2FWOS:000646159200001","View Full Record in Web of Science")</f>
        <v>View Full Record in Web of Science</v>
      </c>
    </row>
    <row r="92" spans="1:30" x14ac:dyDescent="0.35">
      <c r="A92">
        <v>91</v>
      </c>
      <c r="B92" t="s">
        <v>3121</v>
      </c>
      <c r="C92" t="s">
        <v>4747</v>
      </c>
      <c r="D92" t="s">
        <v>3121</v>
      </c>
      <c r="E92" t="s">
        <v>2866</v>
      </c>
      <c r="F92" t="s">
        <v>3810</v>
      </c>
      <c r="G92" t="s">
        <v>4748</v>
      </c>
      <c r="H92" t="s">
        <v>4749</v>
      </c>
      <c r="I92" t="s">
        <v>4403</v>
      </c>
      <c r="J92" t="s">
        <v>4750</v>
      </c>
      <c r="K92" t="s">
        <v>4751</v>
      </c>
      <c r="L92">
        <v>39</v>
      </c>
      <c r="M92" t="s">
        <v>3850</v>
      </c>
      <c r="N92" t="s">
        <v>3851</v>
      </c>
      <c r="O92" t="s">
        <v>3852</v>
      </c>
      <c r="P92" t="s">
        <v>3853</v>
      </c>
      <c r="Q92" t="s">
        <v>3854</v>
      </c>
      <c r="R92" t="s">
        <v>3855</v>
      </c>
      <c r="S92" t="s">
        <v>3856</v>
      </c>
      <c r="T92" t="s">
        <v>4546</v>
      </c>
      <c r="U92">
        <v>2015</v>
      </c>
      <c r="V92">
        <v>35</v>
      </c>
      <c r="W92">
        <v>8</v>
      </c>
      <c r="X92" t="s">
        <v>4752</v>
      </c>
      <c r="Y92" t="str">
        <f>HYPERLINK("http://dx.doi.org/10.1002/joc.4105","http://dx.doi.org/10.1002/joc.4105")</f>
        <v>http://dx.doi.org/10.1002/joc.4105</v>
      </c>
      <c r="Z92" t="s">
        <v>3825</v>
      </c>
      <c r="AA92" t="s">
        <v>3826</v>
      </c>
      <c r="AB92" s="3">
        <v>45672</v>
      </c>
      <c r="AC92" t="s">
        <v>4753</v>
      </c>
      <c r="AD92" t="str">
        <f>HYPERLINK("https%3A%2F%2Fwww.webofscience.com%2Fwos%2Fwoscc%2Ffull-record%2FWOS:000357737000026","View Full Record in Web of Science")</f>
        <v>View Full Record in Web of Science</v>
      </c>
    </row>
    <row r="93" spans="1:30" x14ac:dyDescent="0.35">
      <c r="A93">
        <v>92</v>
      </c>
      <c r="B93" t="s">
        <v>3122</v>
      </c>
      <c r="C93" t="s">
        <v>4754</v>
      </c>
      <c r="D93" t="s">
        <v>3122</v>
      </c>
      <c r="E93" t="s">
        <v>2917</v>
      </c>
      <c r="F93" t="s">
        <v>3810</v>
      </c>
      <c r="G93" t="s">
        <v>4755</v>
      </c>
      <c r="H93" t="s">
        <v>4756</v>
      </c>
      <c r="I93" t="s">
        <v>4757</v>
      </c>
      <c r="J93" t="s">
        <v>4758</v>
      </c>
      <c r="K93" t="s">
        <v>4759</v>
      </c>
      <c r="L93">
        <v>9</v>
      </c>
      <c r="M93" t="s">
        <v>4061</v>
      </c>
      <c r="N93" t="s">
        <v>4062</v>
      </c>
      <c r="O93" t="s">
        <v>4063</v>
      </c>
      <c r="P93" t="s">
        <v>4760</v>
      </c>
      <c r="Q93" t="s">
        <v>4761</v>
      </c>
      <c r="R93" t="s">
        <v>4762</v>
      </c>
      <c r="S93" t="s">
        <v>4763</v>
      </c>
      <c r="T93" t="s">
        <v>4114</v>
      </c>
      <c r="U93">
        <v>2023</v>
      </c>
      <c r="V93">
        <v>16</v>
      </c>
      <c r="W93">
        <v>1</v>
      </c>
      <c r="X93" t="s">
        <v>4764</v>
      </c>
      <c r="Y93" t="str">
        <f>HYPERLINK("http://dx.doi.org/10.1007/s12145-022-00921-5","http://dx.doi.org/10.1007/s12145-022-00921-5")</f>
        <v>http://dx.doi.org/10.1007/s12145-022-00921-5</v>
      </c>
      <c r="Z93" t="s">
        <v>4765</v>
      </c>
      <c r="AA93" t="s">
        <v>3826</v>
      </c>
      <c r="AB93" s="3">
        <v>45672</v>
      </c>
      <c r="AC93" t="s">
        <v>4766</v>
      </c>
      <c r="AD93" t="str">
        <f>HYPERLINK("https%3A%2F%2Fwww.webofscience.com%2Fwos%2Fwoscc%2Ffull-record%2FWOS:000906228400001","View Full Record in Web of Science")</f>
        <v>View Full Record in Web of Science</v>
      </c>
    </row>
    <row r="94" spans="1:30" x14ac:dyDescent="0.35">
      <c r="A94">
        <v>93</v>
      </c>
      <c r="B94" t="s">
        <v>3123</v>
      </c>
      <c r="C94" t="s">
        <v>4767</v>
      </c>
      <c r="D94" t="s">
        <v>3123</v>
      </c>
      <c r="E94" t="s">
        <v>2875</v>
      </c>
      <c r="F94" t="s">
        <v>3810</v>
      </c>
      <c r="G94" t="s">
        <v>4768</v>
      </c>
      <c r="H94" t="s">
        <v>4769</v>
      </c>
      <c r="I94" t="s">
        <v>4770</v>
      </c>
      <c r="J94" t="s">
        <v>4771</v>
      </c>
      <c r="K94" t="s">
        <v>4772</v>
      </c>
      <c r="L94">
        <v>7</v>
      </c>
      <c r="M94" t="s">
        <v>3968</v>
      </c>
      <c r="N94" t="s">
        <v>3969</v>
      </c>
      <c r="O94" t="s">
        <v>3970</v>
      </c>
      <c r="P94" t="s">
        <v>3971</v>
      </c>
      <c r="Q94" t="s">
        <v>3972</v>
      </c>
      <c r="R94" t="s">
        <v>2875</v>
      </c>
      <c r="S94" t="s">
        <v>3973</v>
      </c>
      <c r="T94" t="s">
        <v>4773</v>
      </c>
      <c r="U94">
        <v>2021</v>
      </c>
      <c r="V94">
        <v>49</v>
      </c>
      <c r="W94">
        <v>12</v>
      </c>
      <c r="X94" t="s">
        <v>4774</v>
      </c>
      <c r="Y94" t="str">
        <f>HYPERLINK("http://dx.doi.org/10.1130/G49061.1","http://dx.doi.org/10.1130/G49061.1")</f>
        <v>http://dx.doi.org/10.1130/G49061.1</v>
      </c>
      <c r="Z94" t="s">
        <v>3973</v>
      </c>
      <c r="AA94" t="s">
        <v>3826</v>
      </c>
      <c r="AB94" s="3">
        <v>45672</v>
      </c>
      <c r="AC94" t="s">
        <v>4775</v>
      </c>
      <c r="AD94" t="str">
        <f>HYPERLINK("https%3A%2F%2Fwww.webofscience.com%2Fwos%2Fwoscc%2Ffull-record%2FWOS:000730226600007","View Full Record in Web of Science")</f>
        <v>View Full Record in Web of Science</v>
      </c>
    </row>
    <row r="95" spans="1:30" x14ac:dyDescent="0.35">
      <c r="A95">
        <v>94</v>
      </c>
      <c r="B95" t="s">
        <v>3124</v>
      </c>
      <c r="C95" t="s">
        <v>4776</v>
      </c>
      <c r="D95" t="s">
        <v>3124</v>
      </c>
      <c r="E95" t="s">
        <v>2913</v>
      </c>
      <c r="F95" t="s">
        <v>3810</v>
      </c>
      <c r="G95" t="s">
        <v>4777</v>
      </c>
      <c r="H95" t="s">
        <v>4778</v>
      </c>
      <c r="I95" t="s">
        <v>4779</v>
      </c>
      <c r="J95" t="s">
        <v>4780</v>
      </c>
      <c r="K95" t="s">
        <v>4781</v>
      </c>
      <c r="L95">
        <v>42</v>
      </c>
      <c r="M95" t="s">
        <v>4377</v>
      </c>
      <c r="N95" t="s">
        <v>4378</v>
      </c>
      <c r="O95" t="s">
        <v>4379</v>
      </c>
      <c r="P95" t="s">
        <v>4691</v>
      </c>
      <c r="Q95" t="s">
        <v>3808</v>
      </c>
      <c r="R95" t="s">
        <v>2913</v>
      </c>
      <c r="S95" t="s">
        <v>2913</v>
      </c>
      <c r="T95" t="s">
        <v>3808</v>
      </c>
      <c r="U95">
        <v>2019</v>
      </c>
      <c r="V95">
        <v>15</v>
      </c>
      <c r="W95" t="s">
        <v>3808</v>
      </c>
      <c r="X95" t="s">
        <v>4782</v>
      </c>
      <c r="Y95" t="str">
        <f>HYPERLINK("http://dx.doi.org/10.2151/sola.2019-001","http://dx.doi.org/10.2151/sola.2019-001")</f>
        <v>http://dx.doi.org/10.2151/sola.2019-001</v>
      </c>
      <c r="Z95" t="s">
        <v>3825</v>
      </c>
      <c r="AA95" t="s">
        <v>3826</v>
      </c>
      <c r="AB95" s="3">
        <v>45672</v>
      </c>
      <c r="AC95" t="s">
        <v>4783</v>
      </c>
      <c r="AD95" t="str">
        <f>HYPERLINK("https%3A%2F%2Fwww.webofscience.com%2Fwos%2Fwoscc%2Ffull-record%2FWOS:000456049000001","View Full Record in Web of Science")</f>
        <v>View Full Record in Web of Science</v>
      </c>
    </row>
    <row r="96" spans="1:30" x14ac:dyDescent="0.35">
      <c r="A96">
        <v>95</v>
      </c>
      <c r="B96" t="s">
        <v>3125</v>
      </c>
      <c r="C96" t="s">
        <v>4784</v>
      </c>
      <c r="D96" t="s">
        <v>3125</v>
      </c>
      <c r="E96" t="s">
        <v>2918</v>
      </c>
      <c r="F96" t="s">
        <v>3810</v>
      </c>
      <c r="G96" t="s">
        <v>4785</v>
      </c>
      <c r="H96" t="s">
        <v>4786</v>
      </c>
      <c r="I96" t="s">
        <v>4787</v>
      </c>
      <c r="J96" t="s">
        <v>4788</v>
      </c>
      <c r="K96" t="s">
        <v>4789</v>
      </c>
      <c r="L96">
        <v>5</v>
      </c>
      <c r="M96" t="s">
        <v>4277</v>
      </c>
      <c r="N96" t="s">
        <v>4278</v>
      </c>
      <c r="O96" t="s">
        <v>4279</v>
      </c>
      <c r="P96" t="s">
        <v>4790</v>
      </c>
      <c r="Q96" t="s">
        <v>3808</v>
      </c>
      <c r="R96" t="s">
        <v>2918</v>
      </c>
      <c r="S96" t="s">
        <v>4791</v>
      </c>
      <c r="T96" t="s">
        <v>3974</v>
      </c>
      <c r="U96">
        <v>2020</v>
      </c>
      <c r="V96">
        <v>3</v>
      </c>
      <c r="W96">
        <v>2</v>
      </c>
      <c r="X96" t="s">
        <v>4792</v>
      </c>
      <c r="Y96" t="str">
        <f>HYPERLINK("http://dx.doi.org/10.3390/quat3020018","http://dx.doi.org/10.3390/quat3020018")</f>
        <v>http://dx.doi.org/10.3390/quat3020018</v>
      </c>
      <c r="Z96" t="s">
        <v>4116</v>
      </c>
      <c r="AA96" t="s">
        <v>4117</v>
      </c>
      <c r="AB96" s="3">
        <v>45672</v>
      </c>
      <c r="AC96" t="s">
        <v>4793</v>
      </c>
      <c r="AD96" t="str">
        <f>HYPERLINK("https%3A%2F%2Fwww.webofscience.com%2Fwos%2Fwoscc%2Ffull-record%2FWOS:000551267300007","View Full Record in Web of Science")</f>
        <v>View Full Record in Web of Science</v>
      </c>
    </row>
    <row r="97" spans="1:30" x14ac:dyDescent="0.35">
      <c r="A97">
        <v>96</v>
      </c>
      <c r="B97" t="s">
        <v>3126</v>
      </c>
      <c r="C97" t="s">
        <v>4794</v>
      </c>
      <c r="D97" t="s">
        <v>3126</v>
      </c>
      <c r="E97" t="s">
        <v>2864</v>
      </c>
      <c r="F97" t="s">
        <v>3810</v>
      </c>
      <c r="G97" t="s">
        <v>4795</v>
      </c>
      <c r="H97" t="s">
        <v>4796</v>
      </c>
      <c r="I97" t="s">
        <v>4797</v>
      </c>
      <c r="K97" t="s">
        <v>3808</v>
      </c>
      <c r="L97">
        <v>4</v>
      </c>
      <c r="M97" t="s">
        <v>3834</v>
      </c>
      <c r="N97" t="s">
        <v>3835</v>
      </c>
      <c r="O97" t="s">
        <v>3836</v>
      </c>
      <c r="P97" t="s">
        <v>3837</v>
      </c>
      <c r="Q97" t="s">
        <v>3838</v>
      </c>
      <c r="R97" t="s">
        <v>3839</v>
      </c>
      <c r="S97" t="s">
        <v>3840</v>
      </c>
      <c r="T97" t="s">
        <v>4798</v>
      </c>
      <c r="U97">
        <v>2019</v>
      </c>
      <c r="V97">
        <v>2019</v>
      </c>
      <c r="W97" t="s">
        <v>3808</v>
      </c>
      <c r="X97" t="s">
        <v>4799</v>
      </c>
      <c r="Y97" t="str">
        <f>HYPERLINK("http://dx.doi.org/10.1155/2019/4957127","http://dx.doi.org/10.1155/2019/4957127")</f>
        <v>http://dx.doi.org/10.1155/2019/4957127</v>
      </c>
      <c r="Z97" t="s">
        <v>3825</v>
      </c>
      <c r="AA97" t="s">
        <v>3826</v>
      </c>
      <c r="AB97" s="3">
        <v>45672</v>
      </c>
      <c r="AC97" t="s">
        <v>4800</v>
      </c>
      <c r="AD97" t="str">
        <f>HYPERLINK("https%3A%2F%2Fwww.webofscience.com%2Fwos%2Fwoscc%2Ffull-record%2FWOS:000522113000002","View Full Record in Web of Science")</f>
        <v>View Full Record in Web of Science</v>
      </c>
    </row>
    <row r="98" spans="1:30" x14ac:dyDescent="0.35">
      <c r="A98">
        <v>97</v>
      </c>
      <c r="B98" t="s">
        <v>3127</v>
      </c>
      <c r="C98" t="s">
        <v>4801</v>
      </c>
      <c r="D98" t="s">
        <v>3127</v>
      </c>
      <c r="E98" t="s">
        <v>2882</v>
      </c>
      <c r="F98" t="s">
        <v>3810</v>
      </c>
      <c r="G98" t="s">
        <v>4802</v>
      </c>
      <c r="H98" t="s">
        <v>4803</v>
      </c>
      <c r="I98" t="s">
        <v>4804</v>
      </c>
      <c r="J98" t="s">
        <v>4805</v>
      </c>
      <c r="K98" t="s">
        <v>4806</v>
      </c>
      <c r="L98">
        <v>35</v>
      </c>
      <c r="M98" t="s">
        <v>3850</v>
      </c>
      <c r="N98" t="s">
        <v>3851</v>
      </c>
      <c r="O98" t="s">
        <v>3852</v>
      </c>
      <c r="P98" t="s">
        <v>4088</v>
      </c>
      <c r="Q98" t="s">
        <v>4089</v>
      </c>
      <c r="R98" t="s">
        <v>4090</v>
      </c>
      <c r="S98" t="s">
        <v>4091</v>
      </c>
      <c r="T98" t="s">
        <v>4001</v>
      </c>
      <c r="U98">
        <v>2021</v>
      </c>
      <c r="V98">
        <v>147</v>
      </c>
      <c r="W98">
        <v>735</v>
      </c>
      <c r="X98" t="s">
        <v>4807</v>
      </c>
      <c r="Y98" t="str">
        <f>HYPERLINK("http://dx.doi.org/10.1002/qj.3966","http://dx.doi.org/10.1002/qj.3966")</f>
        <v>http://dx.doi.org/10.1002/qj.3966</v>
      </c>
      <c r="Z98" t="s">
        <v>3825</v>
      </c>
      <c r="AA98" t="s">
        <v>3826</v>
      </c>
      <c r="AB98" s="3">
        <v>45672</v>
      </c>
      <c r="AC98" t="s">
        <v>4808</v>
      </c>
      <c r="AD98" t="str">
        <f>HYPERLINK("https%3A%2F%2Fwww.webofscience.com%2Fwos%2Fwoscc%2Ffull-record%2FWOS:000609308700001","View Full Record in Web of Science")</f>
        <v>View Full Record in Web of Science</v>
      </c>
    </row>
    <row r="99" spans="1:30" x14ac:dyDescent="0.35">
      <c r="A99">
        <v>98</v>
      </c>
      <c r="B99" t="s">
        <v>3128</v>
      </c>
      <c r="C99" t="s">
        <v>4809</v>
      </c>
      <c r="D99" t="s">
        <v>3128</v>
      </c>
      <c r="E99" t="s">
        <v>2867</v>
      </c>
      <c r="F99" t="s">
        <v>3810</v>
      </c>
      <c r="G99" t="s">
        <v>4810</v>
      </c>
      <c r="H99" t="s">
        <v>4811</v>
      </c>
      <c r="I99" t="s">
        <v>4812</v>
      </c>
      <c r="J99" t="s">
        <v>4813</v>
      </c>
      <c r="K99" t="s">
        <v>4814</v>
      </c>
      <c r="L99">
        <v>23</v>
      </c>
      <c r="M99" t="s">
        <v>3866</v>
      </c>
      <c r="N99" t="s">
        <v>3817</v>
      </c>
      <c r="O99" t="s">
        <v>4290</v>
      </c>
      <c r="P99" t="s">
        <v>3868</v>
      </c>
      <c r="Q99" t="s">
        <v>3869</v>
      </c>
      <c r="R99" t="s">
        <v>3870</v>
      </c>
      <c r="S99" t="s">
        <v>3871</v>
      </c>
      <c r="T99" t="s">
        <v>4137</v>
      </c>
      <c r="U99">
        <v>2014</v>
      </c>
      <c r="V99">
        <v>43</v>
      </c>
      <c r="W99" t="s">
        <v>4268</v>
      </c>
      <c r="X99" t="s">
        <v>4815</v>
      </c>
      <c r="Y99" t="str">
        <f>HYPERLINK("http://dx.doi.org/10.1007/s00382-013-1976-5","http://dx.doi.org/10.1007/s00382-013-1976-5")</f>
        <v>http://dx.doi.org/10.1007/s00382-013-1976-5</v>
      </c>
      <c r="Z99" t="s">
        <v>3825</v>
      </c>
      <c r="AA99" t="s">
        <v>3826</v>
      </c>
      <c r="AB99" s="3">
        <v>45672</v>
      </c>
      <c r="AC99" t="s">
        <v>4816</v>
      </c>
      <c r="AD99" t="str">
        <f>HYPERLINK("https%3A%2F%2Fwww.webofscience.com%2Fwos%2Fwoscc%2Ffull-record%2FWOS:000339899500017","View Full Record in Web of Science")</f>
        <v>View Full Record in Web of Science</v>
      </c>
    </row>
    <row r="100" spans="1:30" x14ac:dyDescent="0.35">
      <c r="A100">
        <v>99</v>
      </c>
      <c r="B100" t="s">
        <v>3129</v>
      </c>
      <c r="C100" t="s">
        <v>4817</v>
      </c>
      <c r="D100" t="s">
        <v>3129</v>
      </c>
      <c r="E100" t="s">
        <v>2919</v>
      </c>
      <c r="F100" t="s">
        <v>3810</v>
      </c>
      <c r="G100" t="s">
        <v>4818</v>
      </c>
      <c r="H100" t="s">
        <v>4819</v>
      </c>
      <c r="I100" t="s">
        <v>4820</v>
      </c>
      <c r="J100" t="s">
        <v>4821</v>
      </c>
      <c r="K100" t="s">
        <v>4822</v>
      </c>
      <c r="L100">
        <v>14</v>
      </c>
      <c r="M100" t="s">
        <v>4033</v>
      </c>
      <c r="N100" t="s">
        <v>4034</v>
      </c>
      <c r="O100" t="s">
        <v>4035</v>
      </c>
      <c r="P100" t="s">
        <v>4823</v>
      </c>
      <c r="Q100" t="s">
        <v>4824</v>
      </c>
      <c r="R100" t="s">
        <v>4825</v>
      </c>
      <c r="S100" t="s">
        <v>4826</v>
      </c>
      <c r="T100" t="s">
        <v>3974</v>
      </c>
      <c r="U100">
        <v>2018</v>
      </c>
      <c r="V100">
        <v>33</v>
      </c>
      <c r="W100">
        <v>3</v>
      </c>
      <c r="X100" t="s">
        <v>4827</v>
      </c>
      <c r="Y100" t="str">
        <f>HYPERLINK("http://dx.doi.org/10.1175/WAF-D-17-0098.1","http://dx.doi.org/10.1175/WAF-D-17-0098.1")</f>
        <v>http://dx.doi.org/10.1175/WAF-D-17-0098.1</v>
      </c>
      <c r="Z100" t="s">
        <v>3825</v>
      </c>
      <c r="AA100" t="s">
        <v>3826</v>
      </c>
      <c r="AB100" s="3">
        <v>45672</v>
      </c>
      <c r="AC100" t="s">
        <v>4828</v>
      </c>
      <c r="AD100" t="str">
        <f>HYPERLINK("https%3A%2F%2Fwww.webofscience.com%2Fwos%2Fwoscc%2Ffull-record%2FWOS:000430805800002","View Full Record in Web of Science")</f>
        <v>View Full Record in Web of Science</v>
      </c>
    </row>
    <row r="101" spans="1:30" x14ac:dyDescent="0.35">
      <c r="A101">
        <v>100</v>
      </c>
      <c r="B101" t="s">
        <v>3130</v>
      </c>
      <c r="C101" t="s">
        <v>4829</v>
      </c>
      <c r="D101" t="s">
        <v>3130</v>
      </c>
      <c r="E101" t="s">
        <v>2920</v>
      </c>
      <c r="F101" t="s">
        <v>3810</v>
      </c>
      <c r="G101" t="s">
        <v>4830</v>
      </c>
      <c r="H101" t="s">
        <v>4831</v>
      </c>
      <c r="I101" t="s">
        <v>4832</v>
      </c>
      <c r="J101" t="s">
        <v>4833</v>
      </c>
      <c r="K101" t="s">
        <v>4834</v>
      </c>
      <c r="L101">
        <v>37</v>
      </c>
      <c r="M101" t="s">
        <v>4046</v>
      </c>
      <c r="N101" t="s">
        <v>4047</v>
      </c>
      <c r="O101" t="s">
        <v>4048</v>
      </c>
      <c r="P101" t="s">
        <v>4835</v>
      </c>
      <c r="Q101" t="s">
        <v>4836</v>
      </c>
      <c r="R101" t="s">
        <v>4837</v>
      </c>
      <c r="S101" t="s">
        <v>4838</v>
      </c>
      <c r="T101" t="s">
        <v>4839</v>
      </c>
      <c r="U101">
        <v>2014</v>
      </c>
      <c r="V101">
        <v>349</v>
      </c>
      <c r="W101" t="s">
        <v>3808</v>
      </c>
      <c r="X101" t="s">
        <v>4840</v>
      </c>
      <c r="Y101" t="str">
        <f>HYPERLINK("http://dx.doi.org/10.1016/j.quaint.2014.08.037","http://dx.doi.org/10.1016/j.quaint.2014.08.037")</f>
        <v>http://dx.doi.org/10.1016/j.quaint.2014.08.037</v>
      </c>
      <c r="Z101" t="s">
        <v>4203</v>
      </c>
      <c r="AA101" t="s">
        <v>3826</v>
      </c>
      <c r="AB101" s="3">
        <v>45672</v>
      </c>
      <c r="AC101" t="s">
        <v>4841</v>
      </c>
      <c r="AD101" t="str">
        <f>HYPERLINK("https%3A%2F%2Fwww.webofscience.com%2Fwos%2Fwoscc%2Ffull-record%2FWOS:000344950900011","View Full Record in Web of Science")</f>
        <v>View Full Record in Web of Science</v>
      </c>
    </row>
    <row r="102" spans="1:30" x14ac:dyDescent="0.35">
      <c r="A102">
        <v>101</v>
      </c>
      <c r="B102" t="s">
        <v>3131</v>
      </c>
      <c r="C102" t="s">
        <v>4842</v>
      </c>
      <c r="D102" t="s">
        <v>3131</v>
      </c>
      <c r="E102" t="s">
        <v>2866</v>
      </c>
      <c r="F102" t="s">
        <v>3810</v>
      </c>
      <c r="G102" t="s">
        <v>4843</v>
      </c>
      <c r="H102" t="s">
        <v>4844</v>
      </c>
      <c r="I102" t="s">
        <v>4845</v>
      </c>
      <c r="J102" t="s">
        <v>4846</v>
      </c>
      <c r="K102" t="s">
        <v>4847</v>
      </c>
      <c r="L102">
        <v>109</v>
      </c>
      <c r="M102" t="s">
        <v>3850</v>
      </c>
      <c r="N102" t="s">
        <v>3851</v>
      </c>
      <c r="O102" t="s">
        <v>3852</v>
      </c>
      <c r="P102" t="s">
        <v>3853</v>
      </c>
      <c r="Q102" t="s">
        <v>3854</v>
      </c>
      <c r="R102" t="s">
        <v>3855</v>
      </c>
      <c r="S102" t="s">
        <v>3856</v>
      </c>
      <c r="T102" t="s">
        <v>4001</v>
      </c>
      <c r="U102">
        <v>2014</v>
      </c>
      <c r="V102">
        <v>34</v>
      </c>
      <c r="W102">
        <v>1</v>
      </c>
      <c r="X102" t="s">
        <v>4848</v>
      </c>
      <c r="Y102" t="str">
        <f>HYPERLINK("http://dx.doi.org/10.1002/joc.3684","http://dx.doi.org/10.1002/joc.3684")</f>
        <v>http://dx.doi.org/10.1002/joc.3684</v>
      </c>
      <c r="Z102" t="s">
        <v>3825</v>
      </c>
      <c r="AA102" t="s">
        <v>3826</v>
      </c>
      <c r="AB102" s="3">
        <v>45672</v>
      </c>
      <c r="AC102" t="s">
        <v>4849</v>
      </c>
      <c r="AD102" t="str">
        <f>HYPERLINK("https%3A%2F%2Fwww.webofscience.com%2Fwos%2Fwoscc%2Ffull-record%2FWOS:000329287800020","View Full Record in Web of Science")</f>
        <v>View Full Record in Web of Science</v>
      </c>
    </row>
    <row r="103" spans="1:30" x14ac:dyDescent="0.35">
      <c r="A103">
        <v>102</v>
      </c>
      <c r="B103" t="s">
        <v>3132</v>
      </c>
      <c r="C103" t="s">
        <v>4850</v>
      </c>
      <c r="D103" t="s">
        <v>3132</v>
      </c>
      <c r="E103" t="s">
        <v>2866</v>
      </c>
      <c r="F103" t="s">
        <v>3810</v>
      </c>
      <c r="G103" t="s">
        <v>4851</v>
      </c>
      <c r="H103" t="s">
        <v>4852</v>
      </c>
      <c r="I103" t="s">
        <v>4853</v>
      </c>
      <c r="J103" t="s">
        <v>4854</v>
      </c>
      <c r="K103" t="s">
        <v>4854</v>
      </c>
      <c r="L103">
        <v>13</v>
      </c>
      <c r="M103" t="s">
        <v>3850</v>
      </c>
      <c r="N103" t="s">
        <v>3851</v>
      </c>
      <c r="O103" t="s">
        <v>3852</v>
      </c>
      <c r="P103" t="s">
        <v>3853</v>
      </c>
      <c r="Q103" t="s">
        <v>3854</v>
      </c>
      <c r="R103" t="s">
        <v>3855</v>
      </c>
      <c r="S103" t="s">
        <v>3856</v>
      </c>
      <c r="T103" t="s">
        <v>3857</v>
      </c>
      <c r="U103">
        <v>2019</v>
      </c>
      <c r="V103">
        <v>39</v>
      </c>
      <c r="W103">
        <v>3</v>
      </c>
      <c r="X103" t="s">
        <v>4855</v>
      </c>
      <c r="Y103" t="str">
        <f>HYPERLINK("http://dx.doi.org/10.1002/joc.5870","http://dx.doi.org/10.1002/joc.5870")</f>
        <v>http://dx.doi.org/10.1002/joc.5870</v>
      </c>
      <c r="Z103" t="s">
        <v>3825</v>
      </c>
      <c r="AA103" t="s">
        <v>3826</v>
      </c>
      <c r="AB103" s="3">
        <v>45672</v>
      </c>
      <c r="AC103" t="s">
        <v>4856</v>
      </c>
      <c r="AD103" t="str">
        <f>HYPERLINK("https%3A%2F%2Fwww.webofscience.com%2Fwos%2Fwoscc%2Ffull-record%2FWOS:000461606600003","View Full Record in Web of Science")</f>
        <v>View Full Record in Web of Science</v>
      </c>
    </row>
    <row r="104" spans="1:30" x14ac:dyDescent="0.35">
      <c r="A104">
        <v>103</v>
      </c>
      <c r="B104" t="s">
        <v>3133</v>
      </c>
      <c r="C104" t="s">
        <v>4857</v>
      </c>
      <c r="D104" t="s">
        <v>3133</v>
      </c>
      <c r="E104" t="s">
        <v>2915</v>
      </c>
      <c r="F104" t="s">
        <v>3810</v>
      </c>
      <c r="G104" t="s">
        <v>4858</v>
      </c>
      <c r="H104" t="s">
        <v>4859</v>
      </c>
      <c r="I104" t="s">
        <v>4860</v>
      </c>
      <c r="J104" t="s">
        <v>4144</v>
      </c>
      <c r="K104" t="s">
        <v>4861</v>
      </c>
      <c r="L104">
        <v>17</v>
      </c>
      <c r="M104" t="s">
        <v>4862</v>
      </c>
      <c r="N104" t="s">
        <v>4731</v>
      </c>
      <c r="O104" t="s">
        <v>4732</v>
      </c>
      <c r="P104" t="s">
        <v>4733</v>
      </c>
      <c r="Q104" t="s">
        <v>4734</v>
      </c>
      <c r="R104" t="s">
        <v>4735</v>
      </c>
      <c r="S104" t="s">
        <v>4736</v>
      </c>
      <c r="T104" t="s">
        <v>3808</v>
      </c>
      <c r="U104">
        <v>2019</v>
      </c>
      <c r="V104">
        <v>41</v>
      </c>
      <c r="W104">
        <v>4</v>
      </c>
      <c r="X104" t="s">
        <v>4863</v>
      </c>
      <c r="Y104" t="str">
        <f>HYPERLINK("http://dx.doi.org/10.15625/0866-7187/41/4/14259","http://dx.doi.org/10.15625/0866-7187/41/4/14259")</f>
        <v>http://dx.doi.org/10.15625/0866-7187/41/4/14259</v>
      </c>
      <c r="Z104" t="s">
        <v>4116</v>
      </c>
      <c r="AA104" t="s">
        <v>4117</v>
      </c>
      <c r="AB104" s="3">
        <v>45672</v>
      </c>
      <c r="AC104" t="s">
        <v>4864</v>
      </c>
      <c r="AD104" t="str">
        <f>HYPERLINK("https%3A%2F%2Fwww.webofscience.com%2Fwos%2Fwoscc%2Ffull-record%2FWOS:000530922800006","View Full Record in Web of Science")</f>
        <v>View Full Record in Web of Science</v>
      </c>
    </row>
    <row r="105" spans="1:30" x14ac:dyDescent="0.35">
      <c r="A105">
        <v>104</v>
      </c>
      <c r="B105" t="s">
        <v>3134</v>
      </c>
      <c r="C105" t="s">
        <v>4865</v>
      </c>
      <c r="D105" t="s">
        <v>3134</v>
      </c>
      <c r="E105" t="s">
        <v>2862</v>
      </c>
      <c r="F105" t="s">
        <v>3810</v>
      </c>
      <c r="G105" t="s">
        <v>4866</v>
      </c>
      <c r="H105" t="s">
        <v>4867</v>
      </c>
      <c r="I105" t="s">
        <v>4868</v>
      </c>
      <c r="J105" t="s">
        <v>4869</v>
      </c>
      <c r="K105" t="s">
        <v>4870</v>
      </c>
      <c r="L105">
        <v>73</v>
      </c>
      <c r="M105" t="s">
        <v>3816</v>
      </c>
      <c r="N105" t="s">
        <v>3817</v>
      </c>
      <c r="O105" t="s">
        <v>3818</v>
      </c>
      <c r="P105" t="s">
        <v>3819</v>
      </c>
      <c r="Q105" t="s">
        <v>3820</v>
      </c>
      <c r="R105" t="s">
        <v>3821</v>
      </c>
      <c r="S105" t="s">
        <v>3822</v>
      </c>
      <c r="T105" t="s">
        <v>4871</v>
      </c>
      <c r="U105">
        <v>2014</v>
      </c>
      <c r="V105">
        <v>145</v>
      </c>
      <c r="W105" t="s">
        <v>3808</v>
      </c>
      <c r="X105" t="s">
        <v>4872</v>
      </c>
      <c r="Y105" t="str">
        <f>HYPERLINK("http://dx.doi.org/10.1016/j.atmosres.2014.03.025","http://dx.doi.org/10.1016/j.atmosres.2014.03.025")</f>
        <v>http://dx.doi.org/10.1016/j.atmosres.2014.03.025</v>
      </c>
      <c r="Z105" t="s">
        <v>3825</v>
      </c>
      <c r="AA105" t="s">
        <v>3826</v>
      </c>
      <c r="AB105" s="3">
        <v>45672</v>
      </c>
      <c r="AC105" t="s">
        <v>4873</v>
      </c>
      <c r="AD105" t="str">
        <f>HYPERLINK("https%3A%2F%2Fwww.webofscience.com%2Fwos%2Fwoscc%2Ffull-record%2FWOS:000337983100002","View Full Record in Web of Science")</f>
        <v>View Full Record in Web of Science</v>
      </c>
    </row>
    <row r="106" spans="1:30" x14ac:dyDescent="0.35">
      <c r="A106">
        <v>105</v>
      </c>
      <c r="B106" t="s">
        <v>3135</v>
      </c>
      <c r="C106" t="s">
        <v>4874</v>
      </c>
      <c r="D106" t="s">
        <v>3135</v>
      </c>
      <c r="E106" t="s">
        <v>2866</v>
      </c>
      <c r="F106" t="s">
        <v>3810</v>
      </c>
      <c r="G106" t="s">
        <v>4875</v>
      </c>
      <c r="H106" t="s">
        <v>4876</v>
      </c>
      <c r="I106" t="s">
        <v>4877</v>
      </c>
      <c r="J106" t="s">
        <v>4878</v>
      </c>
      <c r="K106" t="s">
        <v>4879</v>
      </c>
      <c r="L106">
        <v>44</v>
      </c>
      <c r="M106" t="s">
        <v>3850</v>
      </c>
      <c r="N106" t="s">
        <v>3851</v>
      </c>
      <c r="O106" t="s">
        <v>3852</v>
      </c>
      <c r="P106" t="s">
        <v>3853</v>
      </c>
      <c r="Q106" t="s">
        <v>3854</v>
      </c>
      <c r="R106" t="s">
        <v>3855</v>
      </c>
      <c r="S106" t="s">
        <v>3856</v>
      </c>
      <c r="T106" t="s">
        <v>4001</v>
      </c>
      <c r="U106">
        <v>2021</v>
      </c>
      <c r="V106">
        <v>41</v>
      </c>
      <c r="W106" t="s">
        <v>3808</v>
      </c>
      <c r="X106" t="s">
        <v>4880</v>
      </c>
      <c r="Y106" t="str">
        <f>HYPERLINK("http://dx.doi.org/10.1002/joc.6864","http://dx.doi.org/10.1002/joc.6864")</f>
        <v>http://dx.doi.org/10.1002/joc.6864</v>
      </c>
      <c r="Z106" t="s">
        <v>3825</v>
      </c>
      <c r="AA106" t="s">
        <v>3826</v>
      </c>
      <c r="AB106" s="3">
        <v>45672</v>
      </c>
      <c r="AC106" t="s">
        <v>4881</v>
      </c>
      <c r="AD106" t="str">
        <f>HYPERLINK("https%3A%2F%2Fwww.webofscience.com%2Fwos%2Fwoscc%2Ffull-record%2FWOS:000579031900001","View Full Record in Web of Science")</f>
        <v>View Full Record in Web of Science</v>
      </c>
    </row>
    <row r="107" spans="1:30" x14ac:dyDescent="0.35">
      <c r="A107">
        <v>106</v>
      </c>
      <c r="B107" t="s">
        <v>3136</v>
      </c>
      <c r="C107" t="s">
        <v>4882</v>
      </c>
      <c r="D107" t="s">
        <v>3136</v>
      </c>
      <c r="E107" t="s">
        <v>2921</v>
      </c>
      <c r="F107" t="s">
        <v>3810</v>
      </c>
      <c r="G107" t="s">
        <v>4883</v>
      </c>
      <c r="H107" t="s">
        <v>4884</v>
      </c>
      <c r="I107" t="s">
        <v>4885</v>
      </c>
      <c r="J107" t="s">
        <v>4886</v>
      </c>
      <c r="K107" t="s">
        <v>4887</v>
      </c>
      <c r="L107">
        <v>7</v>
      </c>
      <c r="M107" t="s">
        <v>4888</v>
      </c>
      <c r="N107" t="s">
        <v>3835</v>
      </c>
      <c r="O107" t="s">
        <v>4407</v>
      </c>
      <c r="P107" t="s">
        <v>4889</v>
      </c>
      <c r="Q107" t="s">
        <v>4890</v>
      </c>
      <c r="R107" t="s">
        <v>4891</v>
      </c>
      <c r="S107" t="s">
        <v>4892</v>
      </c>
      <c r="T107" t="s">
        <v>3974</v>
      </c>
      <c r="U107">
        <v>2017</v>
      </c>
      <c r="V107">
        <v>28</v>
      </c>
      <c r="W107">
        <v>3</v>
      </c>
      <c r="X107" t="s">
        <v>4893</v>
      </c>
      <c r="Y107" t="str">
        <f>HYPERLINK("http://dx.doi.org/10.3319/TAO.2016.02.15.01(Hy)","http://dx.doi.org/10.3319/TAO.2016.02.15.01(Hy)")</f>
        <v>http://dx.doi.org/10.3319/TAO.2016.02.15.01(Hy)</v>
      </c>
      <c r="Z107" t="s">
        <v>4894</v>
      </c>
      <c r="AA107" t="s">
        <v>3826</v>
      </c>
      <c r="AB107" s="3">
        <v>45672</v>
      </c>
      <c r="AC107" t="s">
        <v>4895</v>
      </c>
      <c r="AD107" t="str">
        <f>HYPERLINK("https%3A%2F%2Fwww.webofscience.com%2Fwos%2Fwoscc%2Ffull-record%2FWOS:000407102500021","View Full Record in Web of Science")</f>
        <v>View Full Record in Web of Science</v>
      </c>
    </row>
    <row r="108" spans="1:30" x14ac:dyDescent="0.35">
      <c r="A108">
        <v>107</v>
      </c>
      <c r="B108" t="s">
        <v>3137</v>
      </c>
      <c r="C108" t="s">
        <v>4896</v>
      </c>
      <c r="D108" t="s">
        <v>3137</v>
      </c>
      <c r="E108" t="s">
        <v>2866</v>
      </c>
      <c r="F108" t="s">
        <v>3810</v>
      </c>
      <c r="G108" t="s">
        <v>4897</v>
      </c>
      <c r="H108" t="s">
        <v>4898</v>
      </c>
      <c r="I108" t="s">
        <v>4899</v>
      </c>
      <c r="J108" t="s">
        <v>4900</v>
      </c>
      <c r="K108" t="s">
        <v>4901</v>
      </c>
      <c r="L108">
        <v>6</v>
      </c>
      <c r="M108" t="s">
        <v>3850</v>
      </c>
      <c r="N108" t="s">
        <v>3851</v>
      </c>
      <c r="O108" t="s">
        <v>3852</v>
      </c>
      <c r="P108" t="s">
        <v>3853</v>
      </c>
      <c r="Q108" t="s">
        <v>3854</v>
      </c>
      <c r="R108" t="s">
        <v>3855</v>
      </c>
      <c r="S108" t="s">
        <v>3856</v>
      </c>
      <c r="T108" t="s">
        <v>4154</v>
      </c>
      <c r="U108">
        <v>2022</v>
      </c>
      <c r="V108">
        <v>42</v>
      </c>
      <c r="W108">
        <v>4</v>
      </c>
      <c r="X108" t="s">
        <v>4902</v>
      </c>
      <c r="Y108" t="str">
        <f>HYPERLINK("http://dx.doi.org/10.1002/joc.7382","http://dx.doi.org/10.1002/joc.7382")</f>
        <v>http://dx.doi.org/10.1002/joc.7382</v>
      </c>
      <c r="Z108" t="s">
        <v>3825</v>
      </c>
      <c r="AA108" t="s">
        <v>3826</v>
      </c>
      <c r="AB108" s="3">
        <v>45672</v>
      </c>
      <c r="AC108" t="s">
        <v>4903</v>
      </c>
      <c r="AD108" t="str">
        <f>HYPERLINK("https%3A%2F%2Fwww.webofscience.com%2Fwos%2Fwoscc%2Ffull-record%2FWOS:000697226300001","View Full Record in Web of Science")</f>
        <v>View Full Record in Web of Science</v>
      </c>
    </row>
    <row r="109" spans="1:30" x14ac:dyDescent="0.35">
      <c r="A109">
        <v>108</v>
      </c>
      <c r="B109" t="s">
        <v>3138</v>
      </c>
      <c r="C109" t="s">
        <v>4904</v>
      </c>
      <c r="D109" t="s">
        <v>3138</v>
      </c>
      <c r="E109" t="s">
        <v>2922</v>
      </c>
      <c r="F109" t="s">
        <v>3810</v>
      </c>
      <c r="G109" t="s">
        <v>4905</v>
      </c>
      <c r="H109" t="s">
        <v>4906</v>
      </c>
      <c r="I109" t="s">
        <v>4907</v>
      </c>
      <c r="J109" t="s">
        <v>4908</v>
      </c>
      <c r="K109" t="s">
        <v>4909</v>
      </c>
      <c r="L109">
        <v>63</v>
      </c>
      <c r="M109" t="s">
        <v>3951</v>
      </c>
      <c r="N109" t="s">
        <v>3952</v>
      </c>
      <c r="O109" t="s">
        <v>3953</v>
      </c>
      <c r="P109" t="s">
        <v>4910</v>
      </c>
      <c r="Q109" t="s">
        <v>4911</v>
      </c>
      <c r="R109" t="s">
        <v>4912</v>
      </c>
      <c r="S109" t="s">
        <v>4913</v>
      </c>
      <c r="T109" t="s">
        <v>4016</v>
      </c>
      <c r="U109">
        <v>2021</v>
      </c>
      <c r="V109">
        <v>102</v>
      </c>
      <c r="W109" t="s">
        <v>3808</v>
      </c>
      <c r="X109" t="s">
        <v>4914</v>
      </c>
      <c r="Y109" t="str">
        <f>HYPERLINK("http://dx.doi.org/10.1016/j.jag.2021.102378","http://dx.doi.org/10.1016/j.jag.2021.102378")</f>
        <v>http://dx.doi.org/10.1016/j.jag.2021.102378</v>
      </c>
      <c r="Z109" t="s">
        <v>4475</v>
      </c>
      <c r="AA109" t="s">
        <v>3826</v>
      </c>
      <c r="AB109" s="3">
        <v>45672</v>
      </c>
      <c r="AC109" t="s">
        <v>4915</v>
      </c>
      <c r="AD109" t="str">
        <f>HYPERLINK("https%3A%2F%2Fwww.webofscience.com%2Fwos%2Fwoscc%2Ffull-record%2FWOS:000685552600001","View Full Record in Web of Science")</f>
        <v>View Full Record in Web of Science</v>
      </c>
    </row>
    <row r="110" spans="1:30" x14ac:dyDescent="0.35">
      <c r="A110">
        <v>109</v>
      </c>
      <c r="B110" t="s">
        <v>3139</v>
      </c>
      <c r="C110" t="s">
        <v>4916</v>
      </c>
      <c r="D110" t="s">
        <v>3139</v>
      </c>
      <c r="E110" t="s">
        <v>2923</v>
      </c>
      <c r="F110" t="s">
        <v>3810</v>
      </c>
      <c r="G110" t="s">
        <v>4917</v>
      </c>
      <c r="H110" t="s">
        <v>4918</v>
      </c>
      <c r="I110" t="s">
        <v>4919</v>
      </c>
      <c r="J110" t="s">
        <v>4920</v>
      </c>
      <c r="K110" t="s">
        <v>4921</v>
      </c>
      <c r="L110">
        <v>11</v>
      </c>
      <c r="M110" t="s">
        <v>4922</v>
      </c>
      <c r="N110" t="s">
        <v>4109</v>
      </c>
      <c r="O110" t="s">
        <v>4923</v>
      </c>
      <c r="P110" t="s">
        <v>4924</v>
      </c>
      <c r="Q110" t="s">
        <v>4925</v>
      </c>
      <c r="R110" t="s">
        <v>4926</v>
      </c>
      <c r="S110" t="s">
        <v>4927</v>
      </c>
      <c r="T110" t="s">
        <v>4001</v>
      </c>
      <c r="U110">
        <v>2015</v>
      </c>
      <c r="V110">
        <v>58</v>
      </c>
      <c r="W110">
        <v>1</v>
      </c>
      <c r="X110" t="s">
        <v>4928</v>
      </c>
      <c r="Y110" t="str">
        <f>HYPERLINK("http://dx.doi.org/10.1007/s11430-014-5004-3","http://dx.doi.org/10.1007/s11430-014-5004-3")</f>
        <v>http://dx.doi.org/10.1007/s11430-014-5004-3</v>
      </c>
      <c r="Z110" t="s">
        <v>4116</v>
      </c>
      <c r="AA110" t="s">
        <v>3826</v>
      </c>
      <c r="AB110" s="3">
        <v>45672</v>
      </c>
      <c r="AC110" t="s">
        <v>4929</v>
      </c>
      <c r="AD110" t="str">
        <f>HYPERLINK("https%3A%2F%2Fwww.webofscience.com%2Fwos%2Fwoscc%2Ffull-record%2FWOS:000347720400008","View Full Record in Web of Science")</f>
        <v>View Full Record in Web of Science</v>
      </c>
    </row>
    <row r="111" spans="1:30" x14ac:dyDescent="0.35">
      <c r="A111">
        <v>110</v>
      </c>
      <c r="B111" t="s">
        <v>3140</v>
      </c>
      <c r="C111" t="s">
        <v>4930</v>
      </c>
      <c r="D111" t="s">
        <v>3140</v>
      </c>
      <c r="E111" t="s">
        <v>2901</v>
      </c>
      <c r="F111" t="s">
        <v>3810</v>
      </c>
      <c r="G111" t="s">
        <v>4931</v>
      </c>
      <c r="H111" t="s">
        <v>4932</v>
      </c>
      <c r="I111" t="s">
        <v>4933</v>
      </c>
      <c r="J111" t="s">
        <v>4934</v>
      </c>
      <c r="K111" t="s">
        <v>4935</v>
      </c>
      <c r="L111">
        <v>8</v>
      </c>
      <c r="M111" t="s">
        <v>4377</v>
      </c>
      <c r="N111" t="s">
        <v>4378</v>
      </c>
      <c r="O111" t="s">
        <v>4379</v>
      </c>
      <c r="P111" t="s">
        <v>4380</v>
      </c>
      <c r="Q111" t="s">
        <v>4381</v>
      </c>
      <c r="R111" t="s">
        <v>4382</v>
      </c>
      <c r="S111" t="s">
        <v>4383</v>
      </c>
      <c r="T111" t="s">
        <v>3808</v>
      </c>
      <c r="U111">
        <v>2018</v>
      </c>
      <c r="V111">
        <v>96</v>
      </c>
      <c r="W111">
        <v>3</v>
      </c>
      <c r="X111" t="s">
        <v>4936</v>
      </c>
      <c r="Y111" t="str">
        <f>HYPERLINK("http://dx.doi.org/10.2151/jmsj.2018-031","http://dx.doi.org/10.2151/jmsj.2018-031")</f>
        <v>http://dx.doi.org/10.2151/jmsj.2018-031</v>
      </c>
      <c r="Z111" t="s">
        <v>3825</v>
      </c>
      <c r="AA111" t="s">
        <v>3826</v>
      </c>
      <c r="AB111" s="3">
        <v>45672</v>
      </c>
      <c r="AC111" t="s">
        <v>4937</v>
      </c>
      <c r="AD111" t="str">
        <f>HYPERLINK("https%3A%2F%2Fwww.webofscience.com%2Fwos%2Fwoscc%2Ffull-record%2FWOS:000436626600003","View Full Record in Web of Science")</f>
        <v>View Full Record in Web of Science</v>
      </c>
    </row>
    <row r="112" spans="1:30" x14ac:dyDescent="0.35">
      <c r="A112">
        <v>111</v>
      </c>
      <c r="B112" t="s">
        <v>3141</v>
      </c>
      <c r="C112" t="s">
        <v>4938</v>
      </c>
      <c r="D112" t="s">
        <v>3141</v>
      </c>
      <c r="E112" t="s">
        <v>2879</v>
      </c>
      <c r="F112" t="s">
        <v>3810</v>
      </c>
      <c r="G112" t="s">
        <v>4939</v>
      </c>
      <c r="H112" t="s">
        <v>4940</v>
      </c>
      <c r="I112" t="s">
        <v>4941</v>
      </c>
      <c r="K112" t="s">
        <v>3808</v>
      </c>
      <c r="L112">
        <v>43</v>
      </c>
      <c r="M112" t="s">
        <v>3866</v>
      </c>
      <c r="N112" t="s">
        <v>3817</v>
      </c>
      <c r="O112" t="s">
        <v>3867</v>
      </c>
      <c r="P112" t="s">
        <v>4064</v>
      </c>
      <c r="Q112" t="s">
        <v>4065</v>
      </c>
      <c r="R112" t="s">
        <v>4066</v>
      </c>
      <c r="S112" t="s">
        <v>4067</v>
      </c>
      <c r="T112" t="s">
        <v>4163</v>
      </c>
      <c r="U112">
        <v>2019</v>
      </c>
      <c r="V112">
        <v>10</v>
      </c>
      <c r="W112">
        <v>4</v>
      </c>
      <c r="X112" t="s">
        <v>4942</v>
      </c>
      <c r="Y112" t="str">
        <f>HYPERLINK("http://dx.doi.org/10.1007/s13753-019-00230-4","http://dx.doi.org/10.1007/s13753-019-00230-4")</f>
        <v>http://dx.doi.org/10.1007/s13753-019-00230-4</v>
      </c>
      <c r="Z112" t="s">
        <v>3934</v>
      </c>
      <c r="AA112" t="s">
        <v>3826</v>
      </c>
      <c r="AB112" s="3">
        <v>45672</v>
      </c>
      <c r="AC112" t="s">
        <v>4943</v>
      </c>
      <c r="AD112" t="str">
        <f>HYPERLINK("https%3A%2F%2Fwww.webofscience.com%2Fwos%2Fwoscc%2Ffull-record%2FWOS:000511709200012","View Full Record in Web of Science")</f>
        <v>View Full Record in Web of Science</v>
      </c>
    </row>
    <row r="113" spans="1:30" x14ac:dyDescent="0.35">
      <c r="A113">
        <v>112</v>
      </c>
      <c r="B113" t="s">
        <v>3142</v>
      </c>
      <c r="C113" t="s">
        <v>4944</v>
      </c>
      <c r="D113" t="s">
        <v>3142</v>
      </c>
      <c r="E113" t="s">
        <v>2866</v>
      </c>
      <c r="F113" t="s">
        <v>3810</v>
      </c>
      <c r="G113" t="s">
        <v>4945</v>
      </c>
      <c r="H113" t="s">
        <v>4946</v>
      </c>
      <c r="I113" t="s">
        <v>4947</v>
      </c>
      <c r="J113" t="s">
        <v>4948</v>
      </c>
      <c r="K113" t="s">
        <v>4949</v>
      </c>
      <c r="L113">
        <v>2</v>
      </c>
      <c r="M113" t="s">
        <v>3850</v>
      </c>
      <c r="N113" t="s">
        <v>3851</v>
      </c>
      <c r="O113" t="s">
        <v>3852</v>
      </c>
      <c r="P113" t="s">
        <v>3853</v>
      </c>
      <c r="Q113" t="s">
        <v>3854</v>
      </c>
      <c r="R113" t="s">
        <v>3855</v>
      </c>
      <c r="S113" t="s">
        <v>3856</v>
      </c>
      <c r="T113" t="s">
        <v>3918</v>
      </c>
      <c r="U113">
        <v>2023</v>
      </c>
      <c r="V113">
        <v>43</v>
      </c>
      <c r="W113">
        <v>9</v>
      </c>
      <c r="X113" t="s">
        <v>4950</v>
      </c>
      <c r="Y113" t="str">
        <f>HYPERLINK("http://dx.doi.org/10.1002/joc.8078","http://dx.doi.org/10.1002/joc.8078")</f>
        <v>http://dx.doi.org/10.1002/joc.8078</v>
      </c>
      <c r="Z113" t="s">
        <v>3825</v>
      </c>
      <c r="AA113" t="s">
        <v>3826</v>
      </c>
      <c r="AB113" s="3">
        <v>45672</v>
      </c>
      <c r="AC113" t="s">
        <v>4951</v>
      </c>
      <c r="AD113" t="str">
        <f>HYPERLINK("https%3A%2F%2Fwww.webofscience.com%2Fwos%2Fwoscc%2Ffull-record%2FWOS:000974305700001","View Full Record in Web of Science")</f>
        <v>View Full Record in Web of Science</v>
      </c>
    </row>
    <row r="114" spans="1:30" x14ac:dyDescent="0.35">
      <c r="A114">
        <v>113</v>
      </c>
      <c r="B114" t="s">
        <v>3143</v>
      </c>
      <c r="C114" t="s">
        <v>4952</v>
      </c>
      <c r="D114" t="s">
        <v>3143</v>
      </c>
      <c r="E114" t="s">
        <v>2866</v>
      </c>
      <c r="F114" t="s">
        <v>3810</v>
      </c>
      <c r="G114" t="s">
        <v>4953</v>
      </c>
      <c r="H114" t="s">
        <v>4954</v>
      </c>
      <c r="I114" t="s">
        <v>4522</v>
      </c>
      <c r="J114" t="s">
        <v>4955</v>
      </c>
      <c r="K114" t="s">
        <v>4956</v>
      </c>
      <c r="L114">
        <v>4</v>
      </c>
      <c r="M114" t="s">
        <v>3850</v>
      </c>
      <c r="N114" t="s">
        <v>3851</v>
      </c>
      <c r="O114" t="s">
        <v>3852</v>
      </c>
      <c r="P114" t="s">
        <v>3853</v>
      </c>
      <c r="Q114" t="s">
        <v>3854</v>
      </c>
      <c r="R114" t="s">
        <v>3855</v>
      </c>
      <c r="S114" t="s">
        <v>3856</v>
      </c>
      <c r="T114" t="s">
        <v>4001</v>
      </c>
      <c r="U114">
        <v>2023</v>
      </c>
      <c r="V114">
        <v>43</v>
      </c>
      <c r="W114">
        <v>1</v>
      </c>
      <c r="X114" t="s">
        <v>4957</v>
      </c>
      <c r="Y114" t="str">
        <f>HYPERLINK("http://dx.doi.org/10.1002/joc.7696","http://dx.doi.org/10.1002/joc.7696")</f>
        <v>http://dx.doi.org/10.1002/joc.7696</v>
      </c>
      <c r="Z114" t="s">
        <v>3825</v>
      </c>
      <c r="AA114" t="s">
        <v>3826</v>
      </c>
      <c r="AB114" s="3">
        <v>45672</v>
      </c>
      <c r="AC114" t="s">
        <v>4958</v>
      </c>
      <c r="AD114" t="str">
        <f>HYPERLINK("https%3A%2F%2Fwww.webofscience.com%2Fwos%2Fwoscc%2Ffull-record%2FWOS:000800682100001","View Full Record in Web of Science")</f>
        <v>View Full Record in Web of Science</v>
      </c>
    </row>
    <row r="115" spans="1:30" x14ac:dyDescent="0.35">
      <c r="A115">
        <v>114</v>
      </c>
      <c r="B115" t="s">
        <v>3144</v>
      </c>
      <c r="C115" t="s">
        <v>4959</v>
      </c>
      <c r="D115" t="s">
        <v>3144</v>
      </c>
      <c r="E115" t="s">
        <v>2924</v>
      </c>
      <c r="F115" t="s">
        <v>3810</v>
      </c>
      <c r="G115" t="s">
        <v>4960</v>
      </c>
      <c r="H115" t="s">
        <v>4961</v>
      </c>
      <c r="I115" t="s">
        <v>4962</v>
      </c>
      <c r="J115" t="s">
        <v>4963</v>
      </c>
      <c r="K115" t="s">
        <v>4964</v>
      </c>
      <c r="L115">
        <v>20</v>
      </c>
      <c r="M115" t="s">
        <v>3911</v>
      </c>
      <c r="N115" t="s">
        <v>3912</v>
      </c>
      <c r="O115" t="s">
        <v>3913</v>
      </c>
      <c r="P115" t="s">
        <v>4965</v>
      </c>
      <c r="Q115" t="s">
        <v>4966</v>
      </c>
      <c r="R115" t="s">
        <v>4967</v>
      </c>
      <c r="S115" t="s">
        <v>4968</v>
      </c>
      <c r="T115" t="s">
        <v>3841</v>
      </c>
      <c r="U115">
        <v>2017</v>
      </c>
      <c r="V115">
        <v>44</v>
      </c>
      <c r="W115">
        <v>19</v>
      </c>
      <c r="X115" t="s">
        <v>4969</v>
      </c>
      <c r="Y115" t="str">
        <f>HYPERLINK("http://dx.doi.org/10.1002/2017GL073660","http://dx.doi.org/10.1002/2017GL073660")</f>
        <v>http://dx.doi.org/10.1002/2017GL073660</v>
      </c>
      <c r="Z115" t="s">
        <v>4116</v>
      </c>
      <c r="AA115" t="s">
        <v>3826</v>
      </c>
      <c r="AB115" s="3">
        <v>45672</v>
      </c>
      <c r="AC115" t="s">
        <v>4970</v>
      </c>
      <c r="AD115" t="str">
        <f>HYPERLINK("https%3A%2F%2Fwww.webofscience.com%2Fwos%2Fwoscc%2Ffull-record%2FWOS:000413921300053","View Full Record in Web of Science")</f>
        <v>View Full Record in Web of Science</v>
      </c>
    </row>
    <row r="116" spans="1:30" x14ac:dyDescent="0.35">
      <c r="A116">
        <v>115</v>
      </c>
      <c r="B116" t="s">
        <v>3145</v>
      </c>
      <c r="C116" t="s">
        <v>4971</v>
      </c>
      <c r="D116" t="s">
        <v>3145</v>
      </c>
      <c r="E116" t="s">
        <v>2896</v>
      </c>
      <c r="F116" t="s">
        <v>3810</v>
      </c>
      <c r="G116" t="s">
        <v>4972</v>
      </c>
      <c r="H116" t="s">
        <v>4973</v>
      </c>
      <c r="I116" t="s">
        <v>4974</v>
      </c>
      <c r="J116" t="s">
        <v>4975</v>
      </c>
      <c r="K116" t="s">
        <v>4976</v>
      </c>
      <c r="L116">
        <v>15</v>
      </c>
      <c r="M116" t="s">
        <v>4277</v>
      </c>
      <c r="N116" t="s">
        <v>4278</v>
      </c>
      <c r="O116" t="s">
        <v>4279</v>
      </c>
      <c r="P116" t="s">
        <v>3808</v>
      </c>
      <c r="Q116" t="s">
        <v>4280</v>
      </c>
      <c r="R116" t="s">
        <v>2896</v>
      </c>
      <c r="S116" t="s">
        <v>4281</v>
      </c>
      <c r="T116" t="s">
        <v>3974</v>
      </c>
      <c r="U116">
        <v>2020</v>
      </c>
      <c r="V116">
        <v>8</v>
      </c>
      <c r="W116">
        <v>6</v>
      </c>
      <c r="X116" t="s">
        <v>4977</v>
      </c>
      <c r="Y116" t="str">
        <f>HYPERLINK("http://dx.doi.org/10.3390/cli8060074","http://dx.doi.org/10.3390/cli8060074")</f>
        <v>http://dx.doi.org/10.3390/cli8060074</v>
      </c>
      <c r="Z116" t="s">
        <v>3825</v>
      </c>
      <c r="AA116" t="s">
        <v>4117</v>
      </c>
      <c r="AB116" s="3">
        <v>45672</v>
      </c>
      <c r="AC116" t="s">
        <v>4978</v>
      </c>
      <c r="AD116" t="str">
        <f>HYPERLINK("https%3A%2F%2Fwww.webofscience.com%2Fwos%2Fwoscc%2Ffull-record%2FWOS:000551179500005","View Full Record in Web of Science")</f>
        <v>View Full Record in Web of Science</v>
      </c>
    </row>
    <row r="117" spans="1:30" x14ac:dyDescent="0.35">
      <c r="A117">
        <v>116</v>
      </c>
      <c r="B117" t="s">
        <v>3146</v>
      </c>
      <c r="C117" t="s">
        <v>4979</v>
      </c>
      <c r="D117" t="s">
        <v>3146</v>
      </c>
      <c r="E117" t="s">
        <v>2866</v>
      </c>
      <c r="F117" t="s">
        <v>3810</v>
      </c>
      <c r="G117" t="s">
        <v>4980</v>
      </c>
      <c r="H117" t="s">
        <v>4981</v>
      </c>
      <c r="I117" t="s">
        <v>4982</v>
      </c>
      <c r="J117" t="s">
        <v>4983</v>
      </c>
      <c r="K117" t="s">
        <v>4984</v>
      </c>
      <c r="L117">
        <v>8</v>
      </c>
      <c r="M117" t="s">
        <v>3850</v>
      </c>
      <c r="N117" t="s">
        <v>3851</v>
      </c>
      <c r="O117" t="s">
        <v>3852</v>
      </c>
      <c r="P117" t="s">
        <v>3853</v>
      </c>
      <c r="Q117" t="s">
        <v>3854</v>
      </c>
      <c r="R117" t="s">
        <v>3855</v>
      </c>
      <c r="S117" t="s">
        <v>3856</v>
      </c>
      <c r="T117" t="s">
        <v>3932</v>
      </c>
      <c r="U117">
        <v>2022</v>
      </c>
      <c r="V117">
        <v>42</v>
      </c>
      <c r="W117">
        <v>6</v>
      </c>
      <c r="X117" t="s">
        <v>4985</v>
      </c>
      <c r="Y117" t="str">
        <f>HYPERLINK("http://dx.doi.org/10.1002/joc.7416","http://dx.doi.org/10.1002/joc.7416")</f>
        <v>http://dx.doi.org/10.1002/joc.7416</v>
      </c>
      <c r="Z117" t="s">
        <v>3825</v>
      </c>
      <c r="AA117" t="s">
        <v>3826</v>
      </c>
      <c r="AB117" s="3">
        <v>45672</v>
      </c>
      <c r="AC117" t="s">
        <v>4986</v>
      </c>
      <c r="AD117" t="str">
        <f>HYPERLINK("https%3A%2F%2Fwww.webofscience.com%2Fwos%2Fwoscc%2Ffull-record%2FWOS:000711230600001","View Full Record in Web of Science")</f>
        <v>View Full Record in Web of Science</v>
      </c>
    </row>
    <row r="118" spans="1:30" x14ac:dyDescent="0.35">
      <c r="A118">
        <v>117</v>
      </c>
      <c r="B118" t="s">
        <v>3147</v>
      </c>
      <c r="C118" t="s">
        <v>4987</v>
      </c>
      <c r="D118" t="s">
        <v>3147</v>
      </c>
      <c r="E118" t="s">
        <v>2925</v>
      </c>
      <c r="F118" t="s">
        <v>3810</v>
      </c>
      <c r="G118" t="s">
        <v>4988</v>
      </c>
      <c r="H118" t="s">
        <v>4989</v>
      </c>
      <c r="I118" t="s">
        <v>4990</v>
      </c>
      <c r="J118" t="s">
        <v>4991</v>
      </c>
      <c r="K118" t="s">
        <v>4992</v>
      </c>
      <c r="L118">
        <v>5</v>
      </c>
      <c r="M118" t="s">
        <v>3911</v>
      </c>
      <c r="N118" t="s">
        <v>3912</v>
      </c>
      <c r="O118" t="s">
        <v>3913</v>
      </c>
      <c r="P118" t="s">
        <v>3808</v>
      </c>
      <c r="Q118" t="s">
        <v>4993</v>
      </c>
      <c r="R118" t="s">
        <v>4994</v>
      </c>
      <c r="S118" t="s">
        <v>4995</v>
      </c>
      <c r="T118" t="s">
        <v>3918</v>
      </c>
      <c r="U118">
        <v>2022</v>
      </c>
      <c r="V118">
        <v>23</v>
      </c>
      <c r="W118">
        <v>7</v>
      </c>
      <c r="X118" t="s">
        <v>4996</v>
      </c>
      <c r="Y118" t="str">
        <f>HYPERLINK("http://dx.doi.org/10.1029/2021GC009929","http://dx.doi.org/10.1029/2021GC009929")</f>
        <v>http://dx.doi.org/10.1029/2021GC009929</v>
      </c>
      <c r="Z118" t="s">
        <v>3920</v>
      </c>
      <c r="AA118" t="s">
        <v>3826</v>
      </c>
      <c r="AB118" s="3">
        <v>45672</v>
      </c>
      <c r="AC118" t="s">
        <v>4997</v>
      </c>
      <c r="AD118" t="str">
        <f>HYPERLINK("https%3A%2F%2Fwww.webofscience.com%2Fwos%2Fwoscc%2Ffull-record%2FWOS:000823306600001","View Full Record in Web of Science")</f>
        <v>View Full Record in Web of Science</v>
      </c>
    </row>
    <row r="119" spans="1:30" x14ac:dyDescent="0.35">
      <c r="A119">
        <v>118</v>
      </c>
      <c r="B119" t="s">
        <v>3148</v>
      </c>
      <c r="C119" t="s">
        <v>4998</v>
      </c>
      <c r="D119" t="s">
        <v>3148</v>
      </c>
      <c r="E119" t="s">
        <v>2899</v>
      </c>
      <c r="F119" t="s">
        <v>3810</v>
      </c>
      <c r="G119" t="s">
        <v>4999</v>
      </c>
      <c r="H119" t="s">
        <v>5000</v>
      </c>
      <c r="I119" t="s">
        <v>5001</v>
      </c>
      <c r="J119" t="s">
        <v>5002</v>
      </c>
      <c r="K119" t="s">
        <v>5003</v>
      </c>
      <c r="L119">
        <v>9</v>
      </c>
      <c r="M119" t="s">
        <v>4252</v>
      </c>
      <c r="N119" t="s">
        <v>4253</v>
      </c>
      <c r="O119" t="s">
        <v>4254</v>
      </c>
      <c r="P119" t="s">
        <v>4319</v>
      </c>
      <c r="Q119" t="s">
        <v>4320</v>
      </c>
      <c r="R119" t="s">
        <v>4321</v>
      </c>
      <c r="S119" t="s">
        <v>4322</v>
      </c>
      <c r="T119" t="s">
        <v>4137</v>
      </c>
      <c r="U119">
        <v>2022</v>
      </c>
      <c r="V119">
        <v>134</v>
      </c>
      <c r="W119">
        <v>4</v>
      </c>
      <c r="X119" t="s">
        <v>5004</v>
      </c>
      <c r="Y119" t="str">
        <f>HYPERLINK("http://dx.doi.org/10.1007/s00703-022-00913-6","http://dx.doi.org/10.1007/s00703-022-00913-6")</f>
        <v>http://dx.doi.org/10.1007/s00703-022-00913-6</v>
      </c>
      <c r="Z119" t="s">
        <v>3825</v>
      </c>
      <c r="AA119" t="s">
        <v>3826</v>
      </c>
      <c r="AB119" s="3">
        <v>45672</v>
      </c>
      <c r="AC119" t="s">
        <v>5005</v>
      </c>
      <c r="AD119" t="str">
        <f>HYPERLINK("https%3A%2F%2Fwww.webofscience.com%2Fwos%2Fwoscc%2Ffull-record%2FWOS:000832685400001","View Full Record in Web of Science")</f>
        <v>View Full Record in Web of Science</v>
      </c>
    </row>
    <row r="120" spans="1:30" x14ac:dyDescent="0.35">
      <c r="A120">
        <v>119</v>
      </c>
      <c r="B120" t="s">
        <v>3149</v>
      </c>
      <c r="C120" t="s">
        <v>5006</v>
      </c>
      <c r="D120" t="s">
        <v>3149</v>
      </c>
      <c r="E120" t="s">
        <v>2900</v>
      </c>
      <c r="F120" t="s">
        <v>3810</v>
      </c>
      <c r="G120" t="s">
        <v>5007</v>
      </c>
      <c r="H120" t="s">
        <v>5008</v>
      </c>
      <c r="I120" t="s">
        <v>5009</v>
      </c>
      <c r="J120" t="s">
        <v>5010</v>
      </c>
      <c r="K120" t="s">
        <v>5011</v>
      </c>
      <c r="L120">
        <v>10</v>
      </c>
      <c r="M120" t="s">
        <v>4339</v>
      </c>
      <c r="N120" t="s">
        <v>4340</v>
      </c>
      <c r="O120" t="s">
        <v>4341</v>
      </c>
      <c r="P120" t="s">
        <v>4342</v>
      </c>
      <c r="Q120" t="s">
        <v>4343</v>
      </c>
      <c r="R120" t="s">
        <v>4344</v>
      </c>
      <c r="S120" t="s">
        <v>4345</v>
      </c>
      <c r="T120" t="s">
        <v>5012</v>
      </c>
      <c r="U120">
        <v>2022</v>
      </c>
      <c r="V120">
        <v>22</v>
      </c>
      <c r="W120">
        <v>2</v>
      </c>
      <c r="X120" t="s">
        <v>5013</v>
      </c>
      <c r="Y120" t="str">
        <f>HYPERLINK("http://dx.doi.org/10.5194/nhess-22-303-2022","http://dx.doi.org/10.5194/nhess-22-303-2022")</f>
        <v>http://dx.doi.org/10.5194/nhess-22-303-2022</v>
      </c>
      <c r="Z120" t="s">
        <v>3934</v>
      </c>
      <c r="AA120" t="s">
        <v>3826</v>
      </c>
      <c r="AB120" s="3">
        <v>45672</v>
      </c>
      <c r="AC120" t="s">
        <v>5014</v>
      </c>
      <c r="AD120" t="str">
        <f>HYPERLINK("https%3A%2F%2Fwww.webofscience.com%2Fwos%2Fwoscc%2Ffull-record%2FWOS:000758077000001","View Full Record in Web of Science")</f>
        <v>View Full Record in Web of Science</v>
      </c>
    </row>
    <row r="121" spans="1:30" x14ac:dyDescent="0.35">
      <c r="A121">
        <v>120</v>
      </c>
      <c r="B121" t="s">
        <v>3150</v>
      </c>
      <c r="C121" t="s">
        <v>5015</v>
      </c>
      <c r="D121" t="s">
        <v>3150</v>
      </c>
      <c r="E121" t="s">
        <v>2866</v>
      </c>
      <c r="F121" t="s">
        <v>3810</v>
      </c>
      <c r="G121" t="s">
        <v>5016</v>
      </c>
      <c r="H121" t="s">
        <v>5017</v>
      </c>
      <c r="I121" t="s">
        <v>5018</v>
      </c>
      <c r="J121" t="s">
        <v>5019</v>
      </c>
      <c r="K121" t="s">
        <v>5020</v>
      </c>
      <c r="L121">
        <v>8</v>
      </c>
      <c r="M121" t="s">
        <v>3850</v>
      </c>
      <c r="N121" t="s">
        <v>3851</v>
      </c>
      <c r="O121" t="s">
        <v>3852</v>
      </c>
      <c r="P121" t="s">
        <v>3853</v>
      </c>
      <c r="Q121" t="s">
        <v>3854</v>
      </c>
      <c r="R121" t="s">
        <v>3855</v>
      </c>
      <c r="S121" t="s">
        <v>3856</v>
      </c>
      <c r="T121" t="s">
        <v>3857</v>
      </c>
      <c r="U121">
        <v>2021</v>
      </c>
      <c r="V121">
        <v>41</v>
      </c>
      <c r="W121">
        <v>3</v>
      </c>
      <c r="X121" t="s">
        <v>5021</v>
      </c>
      <c r="Y121" t="str">
        <f>HYPERLINK("http://dx.doi.org/10.1002/joc.6897","http://dx.doi.org/10.1002/joc.6897")</f>
        <v>http://dx.doi.org/10.1002/joc.6897</v>
      </c>
      <c r="Z121" t="s">
        <v>3825</v>
      </c>
      <c r="AA121" t="s">
        <v>3826</v>
      </c>
      <c r="AB121" s="3">
        <v>45672</v>
      </c>
      <c r="AC121" t="s">
        <v>5022</v>
      </c>
      <c r="AD121" t="str">
        <f>HYPERLINK("https%3A%2F%2Fwww.webofscience.com%2Fwos%2Fwoscc%2Ffull-record%2FWOS:000590127100001","View Full Record in Web of Science")</f>
        <v>View Full Record in Web of Science</v>
      </c>
    </row>
    <row r="122" spans="1:30" x14ac:dyDescent="0.35">
      <c r="A122">
        <v>121</v>
      </c>
      <c r="B122" t="s">
        <v>3151</v>
      </c>
      <c r="C122" t="s">
        <v>5023</v>
      </c>
      <c r="D122" t="s">
        <v>3151</v>
      </c>
      <c r="E122" t="s">
        <v>2926</v>
      </c>
      <c r="F122" t="s">
        <v>3810</v>
      </c>
      <c r="G122" t="s">
        <v>5024</v>
      </c>
      <c r="H122" t="s">
        <v>5025</v>
      </c>
      <c r="I122" t="s">
        <v>5026</v>
      </c>
      <c r="J122" t="s">
        <v>5027</v>
      </c>
      <c r="K122" t="s">
        <v>5028</v>
      </c>
      <c r="L122">
        <v>44</v>
      </c>
      <c r="M122" t="s">
        <v>3951</v>
      </c>
      <c r="N122" t="s">
        <v>3952</v>
      </c>
      <c r="O122" t="s">
        <v>3953</v>
      </c>
      <c r="P122" t="s">
        <v>5029</v>
      </c>
      <c r="Q122" t="s">
        <v>3808</v>
      </c>
      <c r="R122" t="s">
        <v>5030</v>
      </c>
      <c r="S122" t="s">
        <v>5031</v>
      </c>
      <c r="T122" t="s">
        <v>3958</v>
      </c>
      <c r="U122">
        <v>2020</v>
      </c>
      <c r="V122">
        <v>50</v>
      </c>
      <c r="W122" t="s">
        <v>3808</v>
      </c>
      <c r="X122" t="s">
        <v>5032</v>
      </c>
      <c r="Y122" t="str">
        <f>HYPERLINK("http://dx.doi.org/10.1016/j.ijdrr.2020.101707","http://dx.doi.org/10.1016/j.ijdrr.2020.101707")</f>
        <v>http://dx.doi.org/10.1016/j.ijdrr.2020.101707</v>
      </c>
      <c r="Z122" t="s">
        <v>3934</v>
      </c>
      <c r="AA122" t="s">
        <v>3826</v>
      </c>
      <c r="AB122" s="3">
        <v>45672</v>
      </c>
      <c r="AC122" t="s">
        <v>5033</v>
      </c>
      <c r="AD122" t="str">
        <f>HYPERLINK("https%3A%2F%2Fwww.webofscience.com%2Fwos%2Fwoscc%2Ffull-record%2FWOS:000599710300002","View Full Record in Web of Science")</f>
        <v>View Full Record in Web of Science</v>
      </c>
    </row>
    <row r="123" spans="1:30" x14ac:dyDescent="0.35">
      <c r="A123">
        <v>122</v>
      </c>
      <c r="B123" t="s">
        <v>3152</v>
      </c>
      <c r="C123" t="s">
        <v>536</v>
      </c>
      <c r="D123" t="s">
        <v>3152</v>
      </c>
      <c r="E123" t="s">
        <v>2894</v>
      </c>
      <c r="F123" t="s">
        <v>3810</v>
      </c>
      <c r="G123" t="s">
        <v>5034</v>
      </c>
      <c r="H123" t="s">
        <v>5035</v>
      </c>
      <c r="I123" t="s">
        <v>5036</v>
      </c>
      <c r="K123" t="s">
        <v>3808</v>
      </c>
      <c r="L123">
        <v>10</v>
      </c>
      <c r="M123" t="s">
        <v>4252</v>
      </c>
      <c r="N123" t="s">
        <v>4355</v>
      </c>
      <c r="O123" t="s">
        <v>4356</v>
      </c>
      <c r="P123" t="s">
        <v>4255</v>
      </c>
      <c r="Q123" t="s">
        <v>4256</v>
      </c>
      <c r="R123" t="s">
        <v>4257</v>
      </c>
      <c r="S123" t="s">
        <v>4258</v>
      </c>
      <c r="T123" t="s">
        <v>3932</v>
      </c>
      <c r="U123">
        <v>2021</v>
      </c>
      <c r="V123">
        <v>144</v>
      </c>
      <c r="W123" t="s">
        <v>4268</v>
      </c>
      <c r="X123" t="s">
        <v>5037</v>
      </c>
      <c r="Y123" t="str">
        <f>HYPERLINK("http://dx.doi.org/10.1007/s00704-021-03591-3","http://dx.doi.org/10.1007/s00704-021-03591-3")</f>
        <v>http://dx.doi.org/10.1007/s00704-021-03591-3</v>
      </c>
      <c r="Z123" t="s">
        <v>3825</v>
      </c>
      <c r="AA123" t="s">
        <v>3826</v>
      </c>
      <c r="AB123" s="3">
        <v>45672</v>
      </c>
      <c r="AC123" t="s">
        <v>5038</v>
      </c>
      <c r="AD123" t="str">
        <f>HYPERLINK("https%3A%2F%2Fwww.webofscience.com%2Fwos%2Fwoscc%2Ffull-record%2FWOS:000630856000001","View Full Record in Web of Science")</f>
        <v>View Full Record in Web of Science</v>
      </c>
    </row>
    <row r="124" spans="1:30" x14ac:dyDescent="0.35">
      <c r="A124">
        <v>123</v>
      </c>
      <c r="B124" t="s">
        <v>3153</v>
      </c>
      <c r="C124" t="s">
        <v>5039</v>
      </c>
      <c r="D124" t="s">
        <v>3153</v>
      </c>
      <c r="E124" t="s">
        <v>2866</v>
      </c>
      <c r="F124" t="s">
        <v>3810</v>
      </c>
      <c r="G124" t="s">
        <v>5040</v>
      </c>
      <c r="H124" t="s">
        <v>5041</v>
      </c>
      <c r="I124" t="s">
        <v>5042</v>
      </c>
      <c r="J124" t="s">
        <v>5043</v>
      </c>
      <c r="K124" t="s">
        <v>5044</v>
      </c>
      <c r="L124">
        <v>9</v>
      </c>
      <c r="M124" t="s">
        <v>3850</v>
      </c>
      <c r="N124" t="s">
        <v>3851</v>
      </c>
      <c r="O124" t="s">
        <v>3852</v>
      </c>
      <c r="P124" t="s">
        <v>3853</v>
      </c>
      <c r="Q124" t="s">
        <v>3854</v>
      </c>
      <c r="R124" t="s">
        <v>3855</v>
      </c>
      <c r="S124" t="s">
        <v>3856</v>
      </c>
      <c r="T124" t="s">
        <v>5045</v>
      </c>
      <c r="U124">
        <v>2020</v>
      </c>
      <c r="V124">
        <v>40</v>
      </c>
      <c r="W124">
        <v>5</v>
      </c>
      <c r="X124" t="s">
        <v>5046</v>
      </c>
      <c r="Y124" t="str">
        <f>HYPERLINK("http://dx.doi.org/10.1002/joc.6348","http://dx.doi.org/10.1002/joc.6348")</f>
        <v>http://dx.doi.org/10.1002/joc.6348</v>
      </c>
      <c r="Z124" t="s">
        <v>3825</v>
      </c>
      <c r="AA124" t="s">
        <v>3826</v>
      </c>
      <c r="AB124" s="3">
        <v>45672</v>
      </c>
      <c r="AC124" t="s">
        <v>5047</v>
      </c>
      <c r="AD124" t="str">
        <f>HYPERLINK("https%3A%2F%2Fwww.webofscience.com%2Fwos%2Fwoscc%2Ffull-record%2FWOS:000492754200001","View Full Record in Web of Science")</f>
        <v>View Full Record in Web of Science</v>
      </c>
    </row>
    <row r="125" spans="1:30" x14ac:dyDescent="0.35">
      <c r="A125">
        <v>124</v>
      </c>
      <c r="B125" t="s">
        <v>3154</v>
      </c>
      <c r="C125" t="s">
        <v>5048</v>
      </c>
      <c r="D125" t="s">
        <v>3154</v>
      </c>
      <c r="E125" t="s">
        <v>2903</v>
      </c>
      <c r="F125" t="s">
        <v>3810</v>
      </c>
      <c r="G125" t="s">
        <v>5049</v>
      </c>
      <c r="H125" t="s">
        <v>5050</v>
      </c>
      <c r="I125" t="s">
        <v>5051</v>
      </c>
      <c r="J125" t="s">
        <v>5052</v>
      </c>
      <c r="K125" t="s">
        <v>5053</v>
      </c>
      <c r="L125">
        <v>29</v>
      </c>
      <c r="M125" t="s">
        <v>3866</v>
      </c>
      <c r="N125" t="s">
        <v>3817</v>
      </c>
      <c r="O125" t="s">
        <v>4290</v>
      </c>
      <c r="P125" t="s">
        <v>4408</v>
      </c>
      <c r="Q125" t="s">
        <v>3808</v>
      </c>
      <c r="R125" t="s">
        <v>4409</v>
      </c>
      <c r="S125" t="s">
        <v>4410</v>
      </c>
      <c r="T125" t="s">
        <v>5054</v>
      </c>
      <c r="U125">
        <v>2017</v>
      </c>
      <c r="V125">
        <v>4</v>
      </c>
      <c r="W125" t="s">
        <v>3808</v>
      </c>
      <c r="X125" t="s">
        <v>5055</v>
      </c>
      <c r="Y125" t="str">
        <f>HYPERLINK("http://dx.doi.org/10.1186/s40645-017-0138-5","http://dx.doi.org/10.1186/s40645-017-0138-5")</f>
        <v>http://dx.doi.org/10.1186/s40645-017-0138-5</v>
      </c>
      <c r="Z125" t="s">
        <v>4116</v>
      </c>
      <c r="AA125" t="s">
        <v>3826</v>
      </c>
      <c r="AB125" s="3">
        <v>45672</v>
      </c>
      <c r="AC125" t="s">
        <v>5056</v>
      </c>
      <c r="AD125" t="str">
        <f>HYPERLINK("https%3A%2F%2Fwww.webofscience.com%2Fwos%2Fwoscc%2Ffull-record%2FWOS:000412211800001","View Full Record in Web of Science")</f>
        <v>View Full Record in Web of Science</v>
      </c>
    </row>
    <row r="126" spans="1:30" x14ac:dyDescent="0.35">
      <c r="A126">
        <v>125</v>
      </c>
      <c r="B126" t="s">
        <v>3155</v>
      </c>
      <c r="C126" t="s">
        <v>5057</v>
      </c>
      <c r="D126" t="s">
        <v>3155</v>
      </c>
      <c r="E126" t="s">
        <v>2877</v>
      </c>
      <c r="F126" t="s">
        <v>3810</v>
      </c>
      <c r="G126" t="s">
        <v>5058</v>
      </c>
      <c r="H126" t="s">
        <v>5059</v>
      </c>
      <c r="I126" t="s">
        <v>5060</v>
      </c>
      <c r="J126" t="s">
        <v>5061</v>
      </c>
      <c r="K126" t="s">
        <v>5062</v>
      </c>
      <c r="L126">
        <v>16</v>
      </c>
      <c r="M126" t="s">
        <v>4033</v>
      </c>
      <c r="N126" t="s">
        <v>4034</v>
      </c>
      <c r="O126" t="s">
        <v>5063</v>
      </c>
      <c r="P126" t="s">
        <v>4036</v>
      </c>
      <c r="Q126" t="s">
        <v>4037</v>
      </c>
      <c r="R126" t="s">
        <v>4038</v>
      </c>
      <c r="S126" t="s">
        <v>4039</v>
      </c>
      <c r="T126" t="s">
        <v>3974</v>
      </c>
      <c r="U126">
        <v>2020</v>
      </c>
      <c r="V126">
        <v>33</v>
      </c>
      <c r="W126">
        <v>12</v>
      </c>
      <c r="X126" t="s">
        <v>5064</v>
      </c>
      <c r="Y126" t="str">
        <f>HYPERLINK("http://dx.doi.org/10.1175/JCLI-D-19-0811.1","http://dx.doi.org/10.1175/JCLI-D-19-0811.1")</f>
        <v>http://dx.doi.org/10.1175/JCLI-D-19-0811.1</v>
      </c>
      <c r="Z126" t="s">
        <v>3825</v>
      </c>
      <c r="AA126" t="s">
        <v>3826</v>
      </c>
      <c r="AB126" s="3">
        <v>45672</v>
      </c>
      <c r="AC126" t="s">
        <v>5065</v>
      </c>
      <c r="AD126" t="str">
        <f>HYPERLINK("https%3A%2F%2Fwww.webofscience.com%2Fwos%2Fwoscc%2Ffull-record%2FWOS:000537891600018","View Full Record in Web of Science")</f>
        <v>View Full Record in Web of Science</v>
      </c>
    </row>
    <row r="127" spans="1:30" x14ac:dyDescent="0.35">
      <c r="A127">
        <v>126</v>
      </c>
      <c r="B127" t="s">
        <v>3156</v>
      </c>
      <c r="C127" t="s">
        <v>5066</v>
      </c>
      <c r="D127" t="s">
        <v>3156</v>
      </c>
      <c r="E127" t="s">
        <v>2866</v>
      </c>
      <c r="F127" t="s">
        <v>3810</v>
      </c>
      <c r="G127" t="s">
        <v>5067</v>
      </c>
      <c r="H127" t="s">
        <v>5068</v>
      </c>
      <c r="I127" t="s">
        <v>5069</v>
      </c>
      <c r="J127" t="s">
        <v>5070</v>
      </c>
      <c r="K127" t="s">
        <v>5071</v>
      </c>
      <c r="L127">
        <v>70</v>
      </c>
      <c r="M127" t="s">
        <v>3850</v>
      </c>
      <c r="N127" t="s">
        <v>3851</v>
      </c>
      <c r="O127" t="s">
        <v>3852</v>
      </c>
      <c r="P127" t="s">
        <v>3853</v>
      </c>
      <c r="Q127" t="s">
        <v>3854</v>
      </c>
      <c r="R127" t="s">
        <v>3855</v>
      </c>
      <c r="S127" t="s">
        <v>3856</v>
      </c>
      <c r="T127" t="s">
        <v>4137</v>
      </c>
      <c r="U127">
        <v>2017</v>
      </c>
      <c r="V127">
        <v>37</v>
      </c>
      <c r="W127" t="s">
        <v>3808</v>
      </c>
      <c r="X127" t="s">
        <v>5072</v>
      </c>
      <c r="Y127" t="str">
        <f>HYPERLINK("http://dx.doi.org/10.1002/joc.5032","http://dx.doi.org/10.1002/joc.5032")</f>
        <v>http://dx.doi.org/10.1002/joc.5032</v>
      </c>
      <c r="Z127" t="s">
        <v>3825</v>
      </c>
      <c r="AA127" t="s">
        <v>3826</v>
      </c>
      <c r="AB127" s="3">
        <v>45672</v>
      </c>
      <c r="AC127" t="s">
        <v>5073</v>
      </c>
      <c r="AD127" t="str">
        <f>HYPERLINK("https%3A%2F%2Fwww.webofscience.com%2Fwos%2Fwoscc%2Ffull-record%2FWOS:000417298600048","View Full Record in Web of Science")</f>
        <v>View Full Record in Web of Science</v>
      </c>
    </row>
    <row r="128" spans="1:30" x14ac:dyDescent="0.35">
      <c r="A128">
        <v>127</v>
      </c>
      <c r="B128" t="s">
        <v>3157</v>
      </c>
      <c r="C128" t="s">
        <v>327</v>
      </c>
      <c r="D128" t="s">
        <v>3157</v>
      </c>
      <c r="E128" t="s">
        <v>2866</v>
      </c>
      <c r="F128" t="s">
        <v>3810</v>
      </c>
      <c r="G128" t="s">
        <v>5074</v>
      </c>
      <c r="H128" t="s">
        <v>4521</v>
      </c>
      <c r="I128" t="s">
        <v>4522</v>
      </c>
      <c r="J128" t="s">
        <v>5075</v>
      </c>
      <c r="K128" t="s">
        <v>5076</v>
      </c>
      <c r="L128">
        <v>25</v>
      </c>
      <c r="M128" t="s">
        <v>3850</v>
      </c>
      <c r="N128" t="s">
        <v>3851</v>
      </c>
      <c r="O128" t="s">
        <v>3852</v>
      </c>
      <c r="P128" t="s">
        <v>3853</v>
      </c>
      <c r="Q128" t="s">
        <v>3854</v>
      </c>
      <c r="R128" t="s">
        <v>3855</v>
      </c>
      <c r="S128" t="s">
        <v>3856</v>
      </c>
      <c r="T128" t="s">
        <v>3823</v>
      </c>
      <c r="U128">
        <v>2020</v>
      </c>
      <c r="V128">
        <v>40</v>
      </c>
      <c r="W128">
        <v>2</v>
      </c>
      <c r="X128" t="s">
        <v>5077</v>
      </c>
      <c r="Y128" t="str">
        <f>HYPERLINK("http://dx.doi.org/10.1002/joc.6267","http://dx.doi.org/10.1002/joc.6267")</f>
        <v>http://dx.doi.org/10.1002/joc.6267</v>
      </c>
      <c r="Z128" t="s">
        <v>3825</v>
      </c>
      <c r="AA128" t="s">
        <v>3826</v>
      </c>
      <c r="AB128" s="3">
        <v>45672</v>
      </c>
      <c r="AC128" t="s">
        <v>5078</v>
      </c>
      <c r="AD128" t="str">
        <f>HYPERLINK("https%3A%2F%2Fwww.webofscience.com%2Fwos%2Fwoscc%2Ffull-record%2FWOS:000483180900001","View Full Record in Web of Science")</f>
        <v>View Full Record in Web of Science</v>
      </c>
    </row>
    <row r="129" spans="1:30" x14ac:dyDescent="0.35">
      <c r="A129">
        <v>128</v>
      </c>
      <c r="B129" t="s">
        <v>3158</v>
      </c>
      <c r="C129" t="s">
        <v>5079</v>
      </c>
      <c r="D129" t="s">
        <v>3158</v>
      </c>
      <c r="E129" t="s">
        <v>2869</v>
      </c>
      <c r="F129" t="s">
        <v>3810</v>
      </c>
      <c r="G129" t="s">
        <v>5080</v>
      </c>
      <c r="H129" t="s">
        <v>5081</v>
      </c>
      <c r="I129" t="s">
        <v>5082</v>
      </c>
      <c r="J129" t="s">
        <v>5083</v>
      </c>
      <c r="K129" t="s">
        <v>5084</v>
      </c>
      <c r="L129">
        <v>6</v>
      </c>
      <c r="M129" t="s">
        <v>3880</v>
      </c>
      <c r="N129" t="s">
        <v>3881</v>
      </c>
      <c r="O129" t="s">
        <v>3882</v>
      </c>
      <c r="P129" t="s">
        <v>3897</v>
      </c>
      <c r="Q129" t="s">
        <v>3898</v>
      </c>
      <c r="R129" t="s">
        <v>3899</v>
      </c>
      <c r="S129" t="s">
        <v>3900</v>
      </c>
      <c r="T129" t="s">
        <v>3901</v>
      </c>
      <c r="U129">
        <v>2014</v>
      </c>
      <c r="V129">
        <v>35</v>
      </c>
      <c r="W129">
        <v>8</v>
      </c>
      <c r="X129" t="s">
        <v>5085</v>
      </c>
      <c r="Y129" t="str">
        <f>HYPERLINK("http://dx.doi.org/10.1080/01431161.2014.890301","http://dx.doi.org/10.1080/01431161.2014.890301")</f>
        <v>http://dx.doi.org/10.1080/01431161.2014.890301</v>
      </c>
      <c r="Z129" t="s">
        <v>3903</v>
      </c>
      <c r="AA129" t="s">
        <v>3826</v>
      </c>
      <c r="AB129" s="3">
        <v>45672</v>
      </c>
      <c r="AC129" t="s">
        <v>5086</v>
      </c>
      <c r="AD129" t="str">
        <f>HYPERLINK("https%3A%2F%2Fwww.webofscience.com%2Fwos%2Fwoscc%2Ffull-record%2FWOS:000333875100008","View Full Record in Web of Science")</f>
        <v>View Full Record in Web of Science</v>
      </c>
    </row>
    <row r="130" spans="1:30" x14ac:dyDescent="0.35">
      <c r="A130">
        <v>129</v>
      </c>
      <c r="B130" t="s">
        <v>3159</v>
      </c>
      <c r="C130" t="s">
        <v>5087</v>
      </c>
      <c r="D130" t="s">
        <v>3159</v>
      </c>
      <c r="E130" t="s">
        <v>2862</v>
      </c>
      <c r="F130" t="s">
        <v>3810</v>
      </c>
      <c r="G130" t="s">
        <v>5088</v>
      </c>
      <c r="H130" t="s">
        <v>5089</v>
      </c>
      <c r="I130" t="s">
        <v>4403</v>
      </c>
      <c r="J130" t="s">
        <v>5090</v>
      </c>
      <c r="K130" t="s">
        <v>5091</v>
      </c>
      <c r="L130">
        <v>76</v>
      </c>
      <c r="M130" t="s">
        <v>3816</v>
      </c>
      <c r="N130" t="s">
        <v>3817</v>
      </c>
      <c r="O130" t="s">
        <v>3818</v>
      </c>
      <c r="P130" t="s">
        <v>3819</v>
      </c>
      <c r="Q130" t="s">
        <v>3820</v>
      </c>
      <c r="R130" t="s">
        <v>3821</v>
      </c>
      <c r="S130" t="s">
        <v>3822</v>
      </c>
      <c r="T130" t="s">
        <v>3823</v>
      </c>
      <c r="U130">
        <v>2014</v>
      </c>
      <c r="V130">
        <v>137</v>
      </c>
      <c r="W130" t="s">
        <v>3808</v>
      </c>
      <c r="X130" t="s">
        <v>5092</v>
      </c>
      <c r="Y130" t="str">
        <f>HYPERLINK("http://dx.doi.org/10.1016/j.atmosres.2013.09.021","http://dx.doi.org/10.1016/j.atmosres.2013.09.021")</f>
        <v>http://dx.doi.org/10.1016/j.atmosres.2013.09.021</v>
      </c>
      <c r="Z130" t="s">
        <v>3825</v>
      </c>
      <c r="AA130" t="s">
        <v>3826</v>
      </c>
      <c r="AB130" s="3">
        <v>45672</v>
      </c>
      <c r="AC130" t="s">
        <v>5093</v>
      </c>
      <c r="AD130" t="str">
        <f>HYPERLINK("https%3A%2F%2Fwww.webofscience.com%2Fwos%2Fwoscc%2Ffull-record%2FWOS:000329554100001","View Full Record in Web of Science")</f>
        <v>View Full Record in Web of Science</v>
      </c>
    </row>
    <row r="131" spans="1:30" x14ac:dyDescent="0.35">
      <c r="A131">
        <v>130</v>
      </c>
      <c r="B131" t="s">
        <v>3160</v>
      </c>
      <c r="C131" t="s">
        <v>5094</v>
      </c>
      <c r="D131" t="s">
        <v>3160</v>
      </c>
      <c r="E131" t="s">
        <v>2869</v>
      </c>
      <c r="F131" t="s">
        <v>3810</v>
      </c>
      <c r="G131" t="s">
        <v>5095</v>
      </c>
      <c r="H131" t="s">
        <v>5096</v>
      </c>
      <c r="I131" t="s">
        <v>5097</v>
      </c>
      <c r="J131" t="s">
        <v>5098</v>
      </c>
      <c r="K131" t="s">
        <v>5099</v>
      </c>
      <c r="L131">
        <v>53</v>
      </c>
      <c r="M131" t="s">
        <v>3880</v>
      </c>
      <c r="N131" t="s">
        <v>3881</v>
      </c>
      <c r="O131" t="s">
        <v>3882</v>
      </c>
      <c r="P131" t="s">
        <v>3897</v>
      </c>
      <c r="Q131" t="s">
        <v>3898</v>
      </c>
      <c r="R131" t="s">
        <v>3899</v>
      </c>
      <c r="S131" t="s">
        <v>3900</v>
      </c>
      <c r="T131" t="s">
        <v>3901</v>
      </c>
      <c r="U131">
        <v>2014</v>
      </c>
      <c r="V131">
        <v>35</v>
      </c>
      <c r="W131">
        <v>8</v>
      </c>
      <c r="X131" t="s">
        <v>5100</v>
      </c>
      <c r="Y131" t="str">
        <f>HYPERLINK("http://dx.doi.org/10.1080/01431161.2014.890298","http://dx.doi.org/10.1080/01431161.2014.890298")</f>
        <v>http://dx.doi.org/10.1080/01431161.2014.890298</v>
      </c>
      <c r="Z131" t="s">
        <v>3903</v>
      </c>
      <c r="AA131" t="s">
        <v>3826</v>
      </c>
      <c r="AB131" s="3">
        <v>45672</v>
      </c>
      <c r="AC131" t="s">
        <v>5101</v>
      </c>
      <c r="AD131" t="str">
        <f>HYPERLINK("https%3A%2F%2Fwww.webofscience.com%2Fwos%2Fwoscc%2Ffull-record%2FWOS:000333875100006","View Full Record in Web of Science")</f>
        <v>View Full Record in Web of Science</v>
      </c>
    </row>
    <row r="132" spans="1:30" x14ac:dyDescent="0.35">
      <c r="A132">
        <v>131</v>
      </c>
      <c r="B132" t="s">
        <v>3161</v>
      </c>
      <c r="C132" t="s">
        <v>5102</v>
      </c>
      <c r="D132" t="s">
        <v>3161</v>
      </c>
      <c r="E132" t="s">
        <v>2927</v>
      </c>
      <c r="F132" t="s">
        <v>3810</v>
      </c>
      <c r="G132" t="s">
        <v>5103</v>
      </c>
      <c r="H132" t="s">
        <v>5104</v>
      </c>
      <c r="I132" t="s">
        <v>5105</v>
      </c>
      <c r="J132" t="s">
        <v>5106</v>
      </c>
      <c r="K132" t="s">
        <v>5107</v>
      </c>
      <c r="L132">
        <v>5</v>
      </c>
      <c r="M132" t="s">
        <v>4339</v>
      </c>
      <c r="N132" t="s">
        <v>4340</v>
      </c>
      <c r="O132" t="s">
        <v>4341</v>
      </c>
      <c r="P132" t="s">
        <v>5108</v>
      </c>
      <c r="Q132" t="s">
        <v>5109</v>
      </c>
      <c r="R132" t="s">
        <v>5110</v>
      </c>
      <c r="S132" t="s">
        <v>5111</v>
      </c>
      <c r="T132" t="s">
        <v>5112</v>
      </c>
      <c r="U132">
        <v>2021</v>
      </c>
      <c r="V132">
        <v>25</v>
      </c>
      <c r="W132">
        <v>5</v>
      </c>
      <c r="X132" t="s">
        <v>5113</v>
      </c>
      <c r="Y132" t="str">
        <f>HYPERLINK("http://dx.doi.org/10.5194/hess-25-2805-2021","http://dx.doi.org/10.5194/hess-25-2805-2021")</f>
        <v>http://dx.doi.org/10.5194/hess-25-2805-2021</v>
      </c>
      <c r="Z132" t="s">
        <v>4231</v>
      </c>
      <c r="AA132" t="s">
        <v>3826</v>
      </c>
      <c r="AB132" s="3">
        <v>45672</v>
      </c>
      <c r="AC132" t="s">
        <v>5114</v>
      </c>
      <c r="AD132" t="str">
        <f>HYPERLINK("https%3A%2F%2Fwww.webofscience.com%2Fwos%2Fwoscc%2Ffull-record%2FWOS:000656492800002","View Full Record in Web of Science")</f>
        <v>View Full Record in Web of Science</v>
      </c>
    </row>
    <row r="133" spans="1:30" x14ac:dyDescent="0.35">
      <c r="A133">
        <v>132</v>
      </c>
      <c r="B133" t="s">
        <v>3162</v>
      </c>
      <c r="C133" t="s">
        <v>5115</v>
      </c>
      <c r="D133" t="s">
        <v>3162</v>
      </c>
      <c r="E133" t="s">
        <v>2896</v>
      </c>
      <c r="F133" t="s">
        <v>3810</v>
      </c>
      <c r="G133" t="s">
        <v>5116</v>
      </c>
      <c r="H133" t="s">
        <v>5117</v>
      </c>
      <c r="I133" t="s">
        <v>5118</v>
      </c>
      <c r="J133" t="s">
        <v>5119</v>
      </c>
      <c r="K133" t="s">
        <v>5120</v>
      </c>
      <c r="L133">
        <v>0</v>
      </c>
      <c r="M133" t="s">
        <v>4277</v>
      </c>
      <c r="N133" t="s">
        <v>4278</v>
      </c>
      <c r="O133" t="s">
        <v>4279</v>
      </c>
      <c r="P133" t="s">
        <v>3808</v>
      </c>
      <c r="Q133" t="s">
        <v>4280</v>
      </c>
      <c r="R133" t="s">
        <v>2896</v>
      </c>
      <c r="S133" t="s">
        <v>4281</v>
      </c>
      <c r="T133" t="s">
        <v>3974</v>
      </c>
      <c r="U133">
        <v>2020</v>
      </c>
      <c r="V133">
        <v>8</v>
      </c>
      <c r="W133">
        <v>6</v>
      </c>
      <c r="X133" t="s">
        <v>5121</v>
      </c>
      <c r="Y133" t="str">
        <f>HYPERLINK("http://dx.doi.org/10.3390/cli8060077","http://dx.doi.org/10.3390/cli8060077")</f>
        <v>http://dx.doi.org/10.3390/cli8060077</v>
      </c>
      <c r="Z133" t="s">
        <v>3825</v>
      </c>
      <c r="AA133" t="s">
        <v>4117</v>
      </c>
      <c r="AB133" s="3">
        <v>45672</v>
      </c>
      <c r="AC133" t="s">
        <v>5122</v>
      </c>
      <c r="AD133" t="str">
        <f>HYPERLINK("https%3A%2F%2Fwww.webofscience.com%2Fwos%2Fwoscc%2Ffull-record%2FWOS:000551179500002","View Full Record in Web of Science")</f>
        <v>View Full Record in Web of Science</v>
      </c>
    </row>
    <row r="134" spans="1:30" x14ac:dyDescent="0.35">
      <c r="A134">
        <v>133</v>
      </c>
      <c r="B134" t="s">
        <v>3163</v>
      </c>
      <c r="C134" t="s">
        <v>5123</v>
      </c>
      <c r="D134" t="s">
        <v>3163</v>
      </c>
      <c r="E134" t="s">
        <v>2928</v>
      </c>
      <c r="F134" t="s">
        <v>3810</v>
      </c>
      <c r="G134" t="s">
        <v>5124</v>
      </c>
      <c r="H134" t="s">
        <v>5125</v>
      </c>
      <c r="I134" t="s">
        <v>5126</v>
      </c>
      <c r="J134" t="s">
        <v>5127</v>
      </c>
      <c r="K134" t="s">
        <v>5128</v>
      </c>
      <c r="L134">
        <v>91</v>
      </c>
      <c r="M134" t="s">
        <v>3911</v>
      </c>
      <c r="N134" t="s">
        <v>3912</v>
      </c>
      <c r="O134" t="s">
        <v>3913</v>
      </c>
      <c r="P134" t="s">
        <v>5129</v>
      </c>
      <c r="Q134" t="s">
        <v>5130</v>
      </c>
      <c r="R134" t="s">
        <v>5131</v>
      </c>
      <c r="S134" t="s">
        <v>5132</v>
      </c>
      <c r="T134" t="s">
        <v>5133</v>
      </c>
      <c r="U134">
        <v>2016</v>
      </c>
      <c r="V134">
        <v>121</v>
      </c>
      <c r="W134">
        <v>9</v>
      </c>
      <c r="X134" t="s">
        <v>5134</v>
      </c>
      <c r="Y134" t="str">
        <f>HYPERLINK("http://dx.doi.org/10.1002/2015JD024452","http://dx.doi.org/10.1002/2015JD024452")</f>
        <v>http://dx.doi.org/10.1002/2015JD024452</v>
      </c>
      <c r="Z134" t="s">
        <v>3825</v>
      </c>
      <c r="AA134" t="s">
        <v>3826</v>
      </c>
      <c r="AB134" s="3">
        <v>45672</v>
      </c>
      <c r="AC134" t="s">
        <v>5135</v>
      </c>
      <c r="AD134" t="str">
        <f>HYPERLINK("https%3A%2F%2Fwww.webofscience.com%2Fwos%2Fwoscc%2Ffull-record%2FWOS:000379715800001","View Full Record in Web of Science")</f>
        <v>View Full Record in Web of Science</v>
      </c>
    </row>
    <row r="135" spans="1:30" x14ac:dyDescent="0.35">
      <c r="A135">
        <v>134</v>
      </c>
      <c r="B135" t="s">
        <v>3164</v>
      </c>
      <c r="C135" t="s">
        <v>5136</v>
      </c>
      <c r="D135" t="s">
        <v>3164</v>
      </c>
      <c r="E135" t="s">
        <v>2929</v>
      </c>
      <c r="F135" t="s">
        <v>3810</v>
      </c>
      <c r="G135" t="s">
        <v>5137</v>
      </c>
      <c r="H135" t="s">
        <v>5138</v>
      </c>
      <c r="I135" t="s">
        <v>5139</v>
      </c>
      <c r="J135" t="s">
        <v>5140</v>
      </c>
      <c r="K135" t="s">
        <v>5141</v>
      </c>
      <c r="L135">
        <v>7</v>
      </c>
      <c r="M135" t="s">
        <v>5142</v>
      </c>
      <c r="N135" t="s">
        <v>5143</v>
      </c>
      <c r="O135" t="s">
        <v>5144</v>
      </c>
      <c r="P135" t="s">
        <v>5145</v>
      </c>
      <c r="Q135" t="s">
        <v>5146</v>
      </c>
      <c r="R135" t="s">
        <v>5147</v>
      </c>
      <c r="S135" t="s">
        <v>5148</v>
      </c>
      <c r="T135" t="s">
        <v>3823</v>
      </c>
      <c r="U135">
        <v>2017</v>
      </c>
      <c r="V135">
        <v>53</v>
      </c>
      <c r="W135">
        <v>1</v>
      </c>
      <c r="X135" t="s">
        <v>5149</v>
      </c>
      <c r="Y135" t="str">
        <f>HYPERLINK("http://dx.doi.org/10.1007/s13143-017-0001-z","http://dx.doi.org/10.1007/s13143-017-0001-z")</f>
        <v>http://dx.doi.org/10.1007/s13143-017-0001-z</v>
      </c>
      <c r="Z135" t="s">
        <v>3825</v>
      </c>
      <c r="AA135" t="s">
        <v>3826</v>
      </c>
      <c r="AB135" s="3">
        <v>45672</v>
      </c>
      <c r="AC135" t="s">
        <v>5150</v>
      </c>
      <c r="AD135" t="str">
        <f>HYPERLINK("https%3A%2F%2Fwww.webofscience.com%2Fwos%2Fwoscc%2Ffull-record%2FWOS:000397134000003","View Full Record in Web of Science")</f>
        <v>View Full Record in Web of Science</v>
      </c>
    </row>
    <row r="136" spans="1:30" x14ac:dyDescent="0.35">
      <c r="A136">
        <v>135</v>
      </c>
      <c r="B136" t="s">
        <v>3165</v>
      </c>
      <c r="C136" t="s">
        <v>5151</v>
      </c>
      <c r="D136" t="s">
        <v>3165</v>
      </c>
      <c r="E136" t="s">
        <v>2903</v>
      </c>
      <c r="F136" t="s">
        <v>3810</v>
      </c>
      <c r="G136" t="s">
        <v>5152</v>
      </c>
      <c r="H136" t="s">
        <v>5153</v>
      </c>
      <c r="I136" t="s">
        <v>5154</v>
      </c>
      <c r="J136" t="s">
        <v>5155</v>
      </c>
      <c r="K136" t="s">
        <v>5156</v>
      </c>
      <c r="L136">
        <v>0</v>
      </c>
      <c r="M136" t="s">
        <v>3866</v>
      </c>
      <c r="N136" t="s">
        <v>3817</v>
      </c>
      <c r="O136" t="s">
        <v>3867</v>
      </c>
      <c r="P136" t="s">
        <v>4408</v>
      </c>
      <c r="Q136" t="s">
        <v>3808</v>
      </c>
      <c r="R136" t="s">
        <v>4409</v>
      </c>
      <c r="S136" t="s">
        <v>4410</v>
      </c>
      <c r="T136" t="s">
        <v>5157</v>
      </c>
      <c r="U136">
        <v>2023</v>
      </c>
      <c r="V136">
        <v>10</v>
      </c>
      <c r="W136">
        <v>1</v>
      </c>
      <c r="X136" t="s">
        <v>5158</v>
      </c>
      <c r="Y136" t="str">
        <f>HYPERLINK("http://dx.doi.org/10.1186/s40645-023-00569-9","http://dx.doi.org/10.1186/s40645-023-00569-9")</f>
        <v>http://dx.doi.org/10.1186/s40645-023-00569-9</v>
      </c>
      <c r="Z136" t="s">
        <v>4116</v>
      </c>
      <c r="AA136" t="s">
        <v>3826</v>
      </c>
      <c r="AB136" s="3">
        <v>45672</v>
      </c>
      <c r="AC136" t="s">
        <v>5159</v>
      </c>
      <c r="AD136" t="str">
        <f>HYPERLINK("https%3A%2F%2Fwww.webofscience.com%2Fwos%2Fwoscc%2Ffull-record%2FWOS:001029955700001","View Full Record in Web of Science")</f>
        <v>View Full Record in Web of Science</v>
      </c>
    </row>
    <row r="137" spans="1:30" x14ac:dyDescent="0.35">
      <c r="A137">
        <v>136</v>
      </c>
      <c r="B137" t="s">
        <v>3166</v>
      </c>
      <c r="C137" t="s">
        <v>5160</v>
      </c>
      <c r="D137" t="s">
        <v>3166</v>
      </c>
      <c r="E137" t="s">
        <v>2862</v>
      </c>
      <c r="F137" t="s">
        <v>3810</v>
      </c>
      <c r="G137" t="s">
        <v>5161</v>
      </c>
      <c r="H137" t="s">
        <v>5162</v>
      </c>
      <c r="I137" t="s">
        <v>5163</v>
      </c>
      <c r="J137" t="s">
        <v>5164</v>
      </c>
      <c r="K137" t="s">
        <v>5165</v>
      </c>
      <c r="L137">
        <v>76</v>
      </c>
      <c r="M137" t="s">
        <v>3816</v>
      </c>
      <c r="N137" t="s">
        <v>3817</v>
      </c>
      <c r="O137" t="s">
        <v>3818</v>
      </c>
      <c r="P137" t="s">
        <v>3819</v>
      </c>
      <c r="Q137" t="s">
        <v>3820</v>
      </c>
      <c r="R137" t="s">
        <v>3821</v>
      </c>
      <c r="S137" t="s">
        <v>3822</v>
      </c>
      <c r="T137" t="s">
        <v>4773</v>
      </c>
      <c r="U137">
        <v>2020</v>
      </c>
      <c r="V137">
        <v>246</v>
      </c>
      <c r="W137" t="s">
        <v>3808</v>
      </c>
      <c r="X137" t="s">
        <v>5166</v>
      </c>
      <c r="Y137" t="str">
        <f>HYPERLINK("http://dx.doi.org/10.1016/j.atmosres.2020.105096","http://dx.doi.org/10.1016/j.atmosres.2020.105096")</f>
        <v>http://dx.doi.org/10.1016/j.atmosres.2020.105096</v>
      </c>
      <c r="Z137" t="s">
        <v>3825</v>
      </c>
      <c r="AA137" t="s">
        <v>3826</v>
      </c>
      <c r="AB137" s="3">
        <v>45672</v>
      </c>
      <c r="AC137" t="s">
        <v>5167</v>
      </c>
      <c r="AD137" t="str">
        <f>HYPERLINK("https%3A%2F%2Fwww.webofscience.com%2Fwos%2Fwoscc%2Ffull-record%2FWOS:000581845700016","View Full Record in Web of Science")</f>
        <v>View Full Record in Web of Science</v>
      </c>
    </row>
    <row r="138" spans="1:30" x14ac:dyDescent="0.35">
      <c r="A138">
        <v>137</v>
      </c>
      <c r="B138" t="s">
        <v>3167</v>
      </c>
      <c r="C138" t="s">
        <v>5168</v>
      </c>
      <c r="D138" t="s">
        <v>3167</v>
      </c>
      <c r="E138" t="s">
        <v>2866</v>
      </c>
      <c r="F138" t="s">
        <v>3810</v>
      </c>
      <c r="G138" t="s">
        <v>5169</v>
      </c>
      <c r="H138" t="s">
        <v>5170</v>
      </c>
      <c r="I138" t="s">
        <v>5171</v>
      </c>
      <c r="K138" t="s">
        <v>3808</v>
      </c>
      <c r="L138">
        <v>97</v>
      </c>
      <c r="M138" t="s">
        <v>3850</v>
      </c>
      <c r="N138" t="s">
        <v>3851</v>
      </c>
      <c r="O138" t="s">
        <v>3852</v>
      </c>
      <c r="P138" t="s">
        <v>3853</v>
      </c>
      <c r="Q138" t="s">
        <v>3854</v>
      </c>
      <c r="R138" t="s">
        <v>3855</v>
      </c>
      <c r="S138" t="s">
        <v>3856</v>
      </c>
      <c r="T138" t="s">
        <v>4001</v>
      </c>
      <c r="U138">
        <v>2018</v>
      </c>
      <c r="V138">
        <v>38</v>
      </c>
      <c r="W138">
        <v>1</v>
      </c>
      <c r="X138" t="s">
        <v>5172</v>
      </c>
      <c r="Y138" t="str">
        <f>HYPERLINK("http://dx.doi.org/10.1002/joc.5165","http://dx.doi.org/10.1002/joc.5165")</f>
        <v>http://dx.doi.org/10.1002/joc.5165</v>
      </c>
      <c r="Z138" t="s">
        <v>3825</v>
      </c>
      <c r="AA138" t="s">
        <v>3826</v>
      </c>
      <c r="AB138" s="3">
        <v>45672</v>
      </c>
      <c r="AC138" t="s">
        <v>5173</v>
      </c>
      <c r="AD138" t="str">
        <f>HYPERLINK("https%3A%2F%2Fwww.webofscience.com%2Fwos%2Fwoscc%2Ffull-record%2FWOS:000419093600010","View Full Record in Web of Science")</f>
        <v>View Full Record in Web of Science</v>
      </c>
    </row>
    <row r="139" spans="1:30" x14ac:dyDescent="0.35">
      <c r="A139">
        <v>138</v>
      </c>
      <c r="B139" t="s">
        <v>3168</v>
      </c>
      <c r="C139" t="s">
        <v>5174</v>
      </c>
      <c r="D139" t="s">
        <v>3168</v>
      </c>
      <c r="E139" t="s">
        <v>2871</v>
      </c>
      <c r="F139" t="s">
        <v>3810</v>
      </c>
      <c r="G139" t="s">
        <v>5175</v>
      </c>
      <c r="H139" t="s">
        <v>5176</v>
      </c>
      <c r="I139" t="s">
        <v>5177</v>
      </c>
      <c r="J139" t="s">
        <v>5178</v>
      </c>
      <c r="K139" t="s">
        <v>5179</v>
      </c>
      <c r="L139">
        <v>6</v>
      </c>
      <c r="M139" t="s">
        <v>3866</v>
      </c>
      <c r="N139" t="s">
        <v>3817</v>
      </c>
      <c r="O139" t="s">
        <v>3867</v>
      </c>
      <c r="P139" t="s">
        <v>3928</v>
      </c>
      <c r="Q139" t="s">
        <v>3929</v>
      </c>
      <c r="R139" t="s">
        <v>3930</v>
      </c>
      <c r="S139" t="s">
        <v>3931</v>
      </c>
      <c r="T139" t="s">
        <v>3974</v>
      </c>
      <c r="U139">
        <v>2022</v>
      </c>
      <c r="V139">
        <v>112</v>
      </c>
      <c r="W139">
        <v>2</v>
      </c>
      <c r="X139" t="s">
        <v>5180</v>
      </c>
      <c r="Y139" t="str">
        <f>HYPERLINK("http://dx.doi.org/10.1007/s11069-022-05234-w","http://dx.doi.org/10.1007/s11069-022-05234-w")</f>
        <v>http://dx.doi.org/10.1007/s11069-022-05234-w</v>
      </c>
      <c r="Z139" t="s">
        <v>3934</v>
      </c>
      <c r="AA139" t="s">
        <v>3826</v>
      </c>
      <c r="AB139" s="3">
        <v>45672</v>
      </c>
      <c r="AC139" t="s">
        <v>5181</v>
      </c>
      <c r="AD139" t="str">
        <f>HYPERLINK("https%3A%2F%2Fwww.webofscience.com%2Fwos%2Fwoscc%2Ffull-record%2FWOS:000754348500002","View Full Record in Web of Science")</f>
        <v>View Full Record in Web of Science</v>
      </c>
    </row>
    <row r="140" spans="1:30" x14ac:dyDescent="0.35">
      <c r="A140">
        <v>139</v>
      </c>
      <c r="B140" t="s">
        <v>3169</v>
      </c>
      <c r="C140" t="s">
        <v>5182</v>
      </c>
      <c r="D140" t="s">
        <v>3169</v>
      </c>
      <c r="E140" t="s">
        <v>2862</v>
      </c>
      <c r="F140" t="s">
        <v>3810</v>
      </c>
      <c r="G140" t="s">
        <v>5183</v>
      </c>
      <c r="H140" t="s">
        <v>5184</v>
      </c>
      <c r="I140" t="s">
        <v>5185</v>
      </c>
      <c r="J140" t="s">
        <v>5186</v>
      </c>
      <c r="K140" t="s">
        <v>5187</v>
      </c>
      <c r="L140">
        <v>6</v>
      </c>
      <c r="M140" t="s">
        <v>3816</v>
      </c>
      <c r="N140" t="s">
        <v>3817</v>
      </c>
      <c r="O140" t="s">
        <v>3818</v>
      </c>
      <c r="P140" t="s">
        <v>3819</v>
      </c>
      <c r="Q140" t="s">
        <v>3820</v>
      </c>
      <c r="R140" t="s">
        <v>3821</v>
      </c>
      <c r="S140" t="s">
        <v>3822</v>
      </c>
      <c r="T140" t="s">
        <v>3958</v>
      </c>
      <c r="U140">
        <v>2023</v>
      </c>
      <c r="V140">
        <v>295</v>
      </c>
      <c r="W140" t="s">
        <v>3808</v>
      </c>
      <c r="X140" t="s">
        <v>5188</v>
      </c>
      <c r="Y140" t="str">
        <f>HYPERLINK("http://dx.doi.org/10.1016/j.atmosres.2023.107029","http://dx.doi.org/10.1016/j.atmosres.2023.107029")</f>
        <v>http://dx.doi.org/10.1016/j.atmosres.2023.107029</v>
      </c>
      <c r="Z140" t="s">
        <v>3825</v>
      </c>
      <c r="AA140" t="s">
        <v>3826</v>
      </c>
      <c r="AB140" s="3">
        <v>45672</v>
      </c>
      <c r="AC140" t="s">
        <v>5189</v>
      </c>
      <c r="AD140" t="str">
        <f>HYPERLINK("https%3A%2F%2Fwww.webofscience.com%2Fwos%2Fwoscc%2Ffull-record%2FWOS:001149316600001","View Full Record in Web of Science")</f>
        <v>View Full Record in Web of Science</v>
      </c>
    </row>
    <row r="141" spans="1:30" x14ac:dyDescent="0.35">
      <c r="A141">
        <v>140</v>
      </c>
      <c r="B141" t="s">
        <v>3170</v>
      </c>
      <c r="C141" t="s">
        <v>5190</v>
      </c>
      <c r="D141" t="s">
        <v>3170</v>
      </c>
      <c r="E141" t="s">
        <v>2866</v>
      </c>
      <c r="F141" t="s">
        <v>3810</v>
      </c>
      <c r="G141" t="s">
        <v>5191</v>
      </c>
      <c r="H141" t="s">
        <v>5192</v>
      </c>
      <c r="I141" t="s">
        <v>5193</v>
      </c>
      <c r="J141" t="s">
        <v>5194</v>
      </c>
      <c r="K141" t="s">
        <v>5195</v>
      </c>
      <c r="L141">
        <v>58</v>
      </c>
      <c r="M141" t="s">
        <v>3850</v>
      </c>
      <c r="N141" t="s">
        <v>3851</v>
      </c>
      <c r="O141" t="s">
        <v>3852</v>
      </c>
      <c r="P141" t="s">
        <v>3853</v>
      </c>
      <c r="Q141" t="s">
        <v>3854</v>
      </c>
      <c r="R141" t="s">
        <v>3855</v>
      </c>
      <c r="S141" t="s">
        <v>3856</v>
      </c>
      <c r="T141" t="s">
        <v>3932</v>
      </c>
      <c r="U141">
        <v>2021</v>
      </c>
      <c r="V141">
        <v>41</v>
      </c>
      <c r="W141">
        <v>6</v>
      </c>
      <c r="X141" t="s">
        <v>5196</v>
      </c>
      <c r="Y141" t="str">
        <f>HYPERLINK("http://dx.doi.org/10.1002/joc.7040","http://dx.doi.org/10.1002/joc.7040")</f>
        <v>http://dx.doi.org/10.1002/joc.7040</v>
      </c>
      <c r="Z141" t="s">
        <v>3825</v>
      </c>
      <c r="AA141" t="s">
        <v>3826</v>
      </c>
      <c r="AB141" s="3">
        <v>45672</v>
      </c>
      <c r="AC141" t="s">
        <v>5197</v>
      </c>
      <c r="AD141" t="str">
        <f>HYPERLINK("https%3A%2F%2Fwww.webofscience.com%2Fwos%2Fwoscc%2Ffull-record%2FWOS:000618564400001","View Full Record in Web of Science")</f>
        <v>View Full Record in Web of Science</v>
      </c>
    </row>
    <row r="142" spans="1:30" x14ac:dyDescent="0.35">
      <c r="A142">
        <v>141</v>
      </c>
      <c r="B142" t="s">
        <v>3171</v>
      </c>
      <c r="C142" t="s">
        <v>5198</v>
      </c>
      <c r="D142" t="s">
        <v>3171</v>
      </c>
      <c r="E142" t="s">
        <v>2915</v>
      </c>
      <c r="F142" t="s">
        <v>3810</v>
      </c>
      <c r="G142" t="s">
        <v>5199</v>
      </c>
      <c r="H142" t="s">
        <v>5200</v>
      </c>
      <c r="I142" t="s">
        <v>5201</v>
      </c>
      <c r="J142" t="s">
        <v>5202</v>
      </c>
      <c r="K142" t="s">
        <v>5203</v>
      </c>
      <c r="L142">
        <v>9</v>
      </c>
      <c r="M142" t="s">
        <v>4730</v>
      </c>
      <c r="N142" t="s">
        <v>4731</v>
      </c>
      <c r="O142" t="s">
        <v>4732</v>
      </c>
      <c r="P142" t="s">
        <v>4733</v>
      </c>
      <c r="Q142" t="s">
        <v>4734</v>
      </c>
      <c r="R142" t="s">
        <v>4735</v>
      </c>
      <c r="S142" t="s">
        <v>4736</v>
      </c>
      <c r="T142" t="s">
        <v>3808</v>
      </c>
      <c r="U142">
        <v>2022</v>
      </c>
      <c r="V142">
        <v>44</v>
      </c>
      <c r="W142">
        <v>1</v>
      </c>
      <c r="X142" t="s">
        <v>5204</v>
      </c>
      <c r="Y142" t="str">
        <f>HYPERLINK("http://dx.doi.org/10.15625/2615-9783/16980","http://dx.doi.org/10.15625/2615-9783/16980")</f>
        <v>http://dx.doi.org/10.15625/2615-9783/16980</v>
      </c>
      <c r="Z142" t="s">
        <v>4116</v>
      </c>
      <c r="AA142" t="s">
        <v>4117</v>
      </c>
      <c r="AB142" s="3">
        <v>45672</v>
      </c>
      <c r="AC142" t="s">
        <v>5205</v>
      </c>
      <c r="AD142" t="str">
        <f>HYPERLINK("https%3A%2F%2Fwww.webofscience.com%2Fwos%2Fwoscc%2Ffull-record%2FWOS:000810866600001","View Full Record in Web of Science")</f>
        <v>View Full Record in Web of Science</v>
      </c>
    </row>
    <row r="143" spans="1:30" x14ac:dyDescent="0.35">
      <c r="A143">
        <v>142</v>
      </c>
      <c r="B143" t="s">
        <v>3172</v>
      </c>
      <c r="C143" t="s">
        <v>5206</v>
      </c>
      <c r="D143" t="s">
        <v>3172</v>
      </c>
      <c r="E143" t="s">
        <v>2931</v>
      </c>
      <c r="F143" t="s">
        <v>3810</v>
      </c>
      <c r="G143" t="s">
        <v>5207</v>
      </c>
      <c r="H143" t="s">
        <v>5208</v>
      </c>
      <c r="I143" t="s">
        <v>5209</v>
      </c>
      <c r="J143" t="s">
        <v>5210</v>
      </c>
      <c r="K143" t="s">
        <v>5211</v>
      </c>
      <c r="L143">
        <v>13</v>
      </c>
      <c r="M143" t="s">
        <v>4277</v>
      </c>
      <c r="N143" t="s">
        <v>4278</v>
      </c>
      <c r="O143" t="s">
        <v>4279</v>
      </c>
      <c r="P143" t="s">
        <v>3808</v>
      </c>
      <c r="Q143" t="s">
        <v>5212</v>
      </c>
      <c r="R143" t="s">
        <v>5213</v>
      </c>
      <c r="S143" t="s">
        <v>5214</v>
      </c>
      <c r="T143" t="s">
        <v>4114</v>
      </c>
      <c r="U143">
        <v>2018</v>
      </c>
      <c r="V143">
        <v>7</v>
      </c>
      <c r="W143">
        <v>3</v>
      </c>
      <c r="X143" t="s">
        <v>5215</v>
      </c>
      <c r="Y143" t="str">
        <f>HYPERLINK("http://dx.doi.org/10.3390/ijgi7030103","http://dx.doi.org/10.3390/ijgi7030103")</f>
        <v>http://dx.doi.org/10.3390/ijgi7030103</v>
      </c>
      <c r="Z143" t="s">
        <v>5216</v>
      </c>
      <c r="AA143" t="s">
        <v>3826</v>
      </c>
      <c r="AB143" s="3">
        <v>45672</v>
      </c>
      <c r="AC143" t="s">
        <v>5217</v>
      </c>
      <c r="AD143" t="str">
        <f>HYPERLINK("https%3A%2F%2Fwww.webofscience.com%2Fwos%2Fwoscc%2Ffull-record%2FWOS:000428557700024","View Full Record in Web of Science")</f>
        <v>View Full Record in Web of Science</v>
      </c>
    </row>
    <row r="144" spans="1:30" x14ac:dyDescent="0.35">
      <c r="A144">
        <v>143</v>
      </c>
      <c r="B144" t="s">
        <v>3173</v>
      </c>
      <c r="C144" t="s">
        <v>5218</v>
      </c>
      <c r="D144" t="s">
        <v>3173</v>
      </c>
      <c r="E144" t="s">
        <v>2931</v>
      </c>
      <c r="F144" t="s">
        <v>3810</v>
      </c>
      <c r="G144" t="s">
        <v>5219</v>
      </c>
      <c r="H144" t="s">
        <v>5220</v>
      </c>
      <c r="I144" t="s">
        <v>5221</v>
      </c>
      <c r="J144" t="s">
        <v>5222</v>
      </c>
      <c r="K144" t="s">
        <v>5223</v>
      </c>
      <c r="L144">
        <v>13</v>
      </c>
      <c r="M144" t="s">
        <v>4277</v>
      </c>
      <c r="N144" t="s">
        <v>4278</v>
      </c>
      <c r="O144" t="s">
        <v>4279</v>
      </c>
      <c r="P144" t="s">
        <v>3808</v>
      </c>
      <c r="Q144" t="s">
        <v>5212</v>
      </c>
      <c r="R144" t="s">
        <v>5213</v>
      </c>
      <c r="S144" t="s">
        <v>5214</v>
      </c>
      <c r="T144" t="s">
        <v>3918</v>
      </c>
      <c r="U144">
        <v>2022</v>
      </c>
      <c r="V144">
        <v>11</v>
      </c>
      <c r="W144">
        <v>7</v>
      </c>
      <c r="X144" t="s">
        <v>5224</v>
      </c>
      <c r="Y144" t="str">
        <f>HYPERLINK("http://dx.doi.org/10.3390/ijgi11070378","http://dx.doi.org/10.3390/ijgi11070378")</f>
        <v>http://dx.doi.org/10.3390/ijgi11070378</v>
      </c>
      <c r="Z144" t="s">
        <v>5216</v>
      </c>
      <c r="AA144" t="s">
        <v>3826</v>
      </c>
      <c r="AB144" s="3">
        <v>45672</v>
      </c>
      <c r="AC144" t="s">
        <v>5225</v>
      </c>
      <c r="AD144" t="str">
        <f>HYPERLINK("https%3A%2F%2Fwww.webofscience.com%2Fwos%2Fwoscc%2Ffull-record%2FWOS:000832421900001","View Full Record in Web of Science")</f>
        <v>View Full Record in Web of Science</v>
      </c>
    </row>
    <row r="145" spans="1:30" x14ac:dyDescent="0.35">
      <c r="A145">
        <v>144</v>
      </c>
      <c r="B145" t="s">
        <v>3174</v>
      </c>
      <c r="C145" t="s">
        <v>5226</v>
      </c>
      <c r="D145" t="s">
        <v>3174</v>
      </c>
      <c r="E145" t="s">
        <v>2867</v>
      </c>
      <c r="F145" t="s">
        <v>3810</v>
      </c>
      <c r="G145" t="s">
        <v>5227</v>
      </c>
      <c r="H145" t="s">
        <v>5228</v>
      </c>
      <c r="I145" t="s">
        <v>5229</v>
      </c>
      <c r="J145" t="s">
        <v>5230</v>
      </c>
      <c r="K145" t="s">
        <v>5231</v>
      </c>
      <c r="L145">
        <v>24</v>
      </c>
      <c r="M145" t="s">
        <v>3866</v>
      </c>
      <c r="N145" t="s">
        <v>3817</v>
      </c>
      <c r="O145" t="s">
        <v>3867</v>
      </c>
      <c r="P145" t="s">
        <v>3868</v>
      </c>
      <c r="Q145" t="s">
        <v>3869</v>
      </c>
      <c r="R145" t="s">
        <v>3870</v>
      </c>
      <c r="S145" t="s">
        <v>3871</v>
      </c>
      <c r="T145" t="s">
        <v>3932</v>
      </c>
      <c r="U145">
        <v>2022</v>
      </c>
      <c r="V145">
        <v>58</v>
      </c>
      <c r="W145" t="s">
        <v>5232</v>
      </c>
      <c r="X145" t="s">
        <v>5233</v>
      </c>
      <c r="Y145" t="str">
        <f>HYPERLINK("http://dx.doi.org/10.1007/s00382-021-06033-y","http://dx.doi.org/10.1007/s00382-021-06033-y")</f>
        <v>http://dx.doi.org/10.1007/s00382-021-06033-y</v>
      </c>
      <c r="Z145" t="s">
        <v>3825</v>
      </c>
      <c r="AA145" t="s">
        <v>3826</v>
      </c>
      <c r="AB145" s="3">
        <v>45672</v>
      </c>
      <c r="AC145" t="s">
        <v>5234</v>
      </c>
      <c r="AD145" t="str">
        <f>HYPERLINK("https%3A%2F%2Fwww.webofscience.com%2Fwos%2Fwoscc%2Ffull-record%2FWOS:000717903300001","View Full Record in Web of Science")</f>
        <v>View Full Record in Web of Science</v>
      </c>
    </row>
    <row r="146" spans="1:30" x14ac:dyDescent="0.35">
      <c r="A146">
        <v>145</v>
      </c>
      <c r="B146" t="s">
        <v>3175</v>
      </c>
      <c r="C146" t="s">
        <v>5235</v>
      </c>
      <c r="D146" t="s">
        <v>3175</v>
      </c>
      <c r="E146" t="s">
        <v>2932</v>
      </c>
      <c r="F146" t="s">
        <v>3810</v>
      </c>
      <c r="G146" t="s">
        <v>5236</v>
      </c>
      <c r="H146" t="s">
        <v>5237</v>
      </c>
      <c r="I146" t="s">
        <v>5238</v>
      </c>
      <c r="J146" t="s">
        <v>5239</v>
      </c>
      <c r="K146" t="s">
        <v>5240</v>
      </c>
      <c r="L146">
        <v>22</v>
      </c>
      <c r="M146" t="s">
        <v>4922</v>
      </c>
      <c r="N146" t="s">
        <v>4109</v>
      </c>
      <c r="O146" t="s">
        <v>4923</v>
      </c>
      <c r="P146" t="s">
        <v>5241</v>
      </c>
      <c r="Q146" t="s">
        <v>5242</v>
      </c>
      <c r="R146" t="s">
        <v>5243</v>
      </c>
      <c r="S146" t="s">
        <v>5244</v>
      </c>
      <c r="T146" t="s">
        <v>3823</v>
      </c>
      <c r="U146">
        <v>2022</v>
      </c>
      <c r="V146">
        <v>39</v>
      </c>
      <c r="W146">
        <v>2</v>
      </c>
      <c r="X146" t="s">
        <v>5245</v>
      </c>
      <c r="Y146" t="str">
        <f>HYPERLINK("http://dx.doi.org/10.1007/s00376-021-1126-7","http://dx.doi.org/10.1007/s00376-021-1126-7")</f>
        <v>http://dx.doi.org/10.1007/s00376-021-1126-7</v>
      </c>
      <c r="Z146" t="s">
        <v>3825</v>
      </c>
      <c r="AA146" t="s">
        <v>3826</v>
      </c>
      <c r="AB146" s="3">
        <v>45672</v>
      </c>
      <c r="AC146" t="s">
        <v>5246</v>
      </c>
      <c r="AD146" t="str">
        <f>HYPERLINK("https%3A%2F%2Fwww.webofscience.com%2Fwos%2Fwoscc%2Ffull-record%2FWOS:000745498900003","View Full Record in Web of Science")</f>
        <v>View Full Record in Web of Science</v>
      </c>
    </row>
    <row r="147" spans="1:30" x14ac:dyDescent="0.35">
      <c r="A147">
        <v>146</v>
      </c>
      <c r="B147" t="s">
        <v>3176</v>
      </c>
      <c r="C147" t="s">
        <v>5247</v>
      </c>
      <c r="D147" t="s">
        <v>3176</v>
      </c>
      <c r="E147" t="s">
        <v>2933</v>
      </c>
      <c r="F147" t="s">
        <v>3810</v>
      </c>
      <c r="G147" t="s">
        <v>5248</v>
      </c>
      <c r="H147" t="s">
        <v>5249</v>
      </c>
      <c r="I147" t="s">
        <v>5250</v>
      </c>
      <c r="J147" t="s">
        <v>5186</v>
      </c>
      <c r="K147" t="s">
        <v>5251</v>
      </c>
      <c r="L147">
        <v>3</v>
      </c>
      <c r="M147" t="s">
        <v>3850</v>
      </c>
      <c r="N147" t="s">
        <v>3851</v>
      </c>
      <c r="O147" t="s">
        <v>3852</v>
      </c>
      <c r="P147" t="s">
        <v>5252</v>
      </c>
      <c r="Q147" t="s">
        <v>3808</v>
      </c>
      <c r="R147" t="s">
        <v>5253</v>
      </c>
      <c r="S147" t="s">
        <v>5254</v>
      </c>
      <c r="T147" t="s">
        <v>5045</v>
      </c>
      <c r="U147">
        <v>2023</v>
      </c>
      <c r="V147">
        <v>24</v>
      </c>
      <c r="W147">
        <v>4</v>
      </c>
      <c r="X147" t="s">
        <v>5255</v>
      </c>
      <c r="Y147" t="str">
        <f>HYPERLINK("http://dx.doi.org/10.1002/asl.1145","http://dx.doi.org/10.1002/asl.1145")</f>
        <v>http://dx.doi.org/10.1002/asl.1145</v>
      </c>
      <c r="Z147" t="s">
        <v>5256</v>
      </c>
      <c r="AA147" t="s">
        <v>3826</v>
      </c>
      <c r="AB147" s="3">
        <v>45672</v>
      </c>
      <c r="AC147" t="s">
        <v>5257</v>
      </c>
      <c r="AD147" t="str">
        <f>HYPERLINK("https%3A%2F%2Fwww.webofscience.com%2Fwos%2Fwoscc%2Ffull-record%2FWOS:000898679300001","View Full Record in Web of Science")</f>
        <v>View Full Record in Web of Science</v>
      </c>
    </row>
    <row r="148" spans="1:30" x14ac:dyDescent="0.35">
      <c r="A148">
        <v>147</v>
      </c>
      <c r="B148" t="s">
        <v>3177</v>
      </c>
      <c r="C148" t="s">
        <v>5258</v>
      </c>
      <c r="D148" t="s">
        <v>3177</v>
      </c>
      <c r="E148" t="s">
        <v>2929</v>
      </c>
      <c r="F148" t="s">
        <v>3810</v>
      </c>
      <c r="G148" t="s">
        <v>5259</v>
      </c>
      <c r="H148" t="s">
        <v>5260</v>
      </c>
      <c r="I148" t="s">
        <v>5261</v>
      </c>
      <c r="J148" t="s">
        <v>5262</v>
      </c>
      <c r="K148" t="s">
        <v>5263</v>
      </c>
      <c r="L148">
        <v>2</v>
      </c>
      <c r="M148" t="s">
        <v>5142</v>
      </c>
      <c r="N148" t="s">
        <v>5143</v>
      </c>
      <c r="O148" t="s">
        <v>5144</v>
      </c>
      <c r="P148" t="s">
        <v>5145</v>
      </c>
      <c r="Q148" t="s">
        <v>5146</v>
      </c>
      <c r="R148" t="s">
        <v>5147</v>
      </c>
      <c r="S148" t="s">
        <v>5148</v>
      </c>
      <c r="T148" t="s">
        <v>3932</v>
      </c>
      <c r="U148">
        <v>2023</v>
      </c>
      <c r="V148">
        <v>59</v>
      </c>
      <c r="W148">
        <v>2</v>
      </c>
      <c r="X148" t="s">
        <v>5264</v>
      </c>
      <c r="Y148" t="str">
        <f>HYPERLINK("http://dx.doi.org/10.1007/s13143-022-00298-x","http://dx.doi.org/10.1007/s13143-022-00298-x")</f>
        <v>http://dx.doi.org/10.1007/s13143-022-00298-x</v>
      </c>
      <c r="Z148" t="s">
        <v>3825</v>
      </c>
      <c r="AA148" t="s">
        <v>3826</v>
      </c>
      <c r="AB148" s="3">
        <v>45672</v>
      </c>
      <c r="AC148" t="s">
        <v>5265</v>
      </c>
      <c r="AD148" t="str">
        <f>HYPERLINK("https%3A%2F%2Fwww.webofscience.com%2Fwos%2Fwoscc%2Ffull-record%2FWOS:000869342700003","View Full Record in Web of Science")</f>
        <v>View Full Record in Web of Science</v>
      </c>
    </row>
    <row r="149" spans="1:30" x14ac:dyDescent="0.35">
      <c r="A149">
        <v>148</v>
      </c>
      <c r="B149" t="s">
        <v>3178</v>
      </c>
      <c r="C149" t="s">
        <v>5266</v>
      </c>
      <c r="D149" t="s">
        <v>3178</v>
      </c>
      <c r="E149" t="s">
        <v>2934</v>
      </c>
      <c r="F149" t="s">
        <v>3810</v>
      </c>
      <c r="G149" t="s">
        <v>5267</v>
      </c>
      <c r="H149" t="s">
        <v>5268</v>
      </c>
      <c r="I149" t="s">
        <v>5269</v>
      </c>
      <c r="J149" t="s">
        <v>5270</v>
      </c>
      <c r="K149" t="s">
        <v>5271</v>
      </c>
      <c r="L149">
        <v>10</v>
      </c>
      <c r="M149" t="s">
        <v>5272</v>
      </c>
      <c r="N149" t="s">
        <v>5273</v>
      </c>
      <c r="O149" t="s">
        <v>5274</v>
      </c>
      <c r="P149" t="s">
        <v>5275</v>
      </c>
      <c r="Q149" t="s">
        <v>3808</v>
      </c>
      <c r="R149" t="s">
        <v>5276</v>
      </c>
      <c r="S149" t="s">
        <v>5277</v>
      </c>
      <c r="T149" t="s">
        <v>5278</v>
      </c>
      <c r="U149">
        <v>2022</v>
      </c>
      <c r="V149">
        <v>5</v>
      </c>
      <c r="W149">
        <v>1</v>
      </c>
      <c r="X149" t="s">
        <v>5279</v>
      </c>
      <c r="Y149" t="str">
        <f>HYPERLINK("http://dx.doi.org/10.1038/s41612-022-00291-1","http://dx.doi.org/10.1038/s41612-022-00291-1")</f>
        <v>http://dx.doi.org/10.1038/s41612-022-00291-1</v>
      </c>
      <c r="Z149" t="s">
        <v>3825</v>
      </c>
      <c r="AA149" t="s">
        <v>3826</v>
      </c>
      <c r="AB149" s="3">
        <v>45672</v>
      </c>
      <c r="AC149" t="s">
        <v>5280</v>
      </c>
      <c r="AD149" t="str">
        <f>HYPERLINK("https%3A%2F%2Fwww.webofscience.com%2Fwos%2Fwoscc%2Ffull-record%2FWOS:000841755500001","View Full Record in Web of Science")</f>
        <v>View Full Record in Web of Science</v>
      </c>
    </row>
    <row r="150" spans="1:30" x14ac:dyDescent="0.35">
      <c r="A150">
        <v>149</v>
      </c>
      <c r="B150" t="s">
        <v>3179</v>
      </c>
      <c r="C150" t="s">
        <v>5281</v>
      </c>
      <c r="D150" t="s">
        <v>3179</v>
      </c>
      <c r="E150" t="s">
        <v>2935</v>
      </c>
      <c r="F150" t="s">
        <v>3810</v>
      </c>
      <c r="G150" t="s">
        <v>5282</v>
      </c>
      <c r="H150" t="s">
        <v>5283</v>
      </c>
      <c r="I150" t="s">
        <v>5284</v>
      </c>
      <c r="J150" t="s">
        <v>5285</v>
      </c>
      <c r="K150" t="s">
        <v>5286</v>
      </c>
      <c r="L150">
        <v>9</v>
      </c>
      <c r="M150" t="s">
        <v>3880</v>
      </c>
      <c r="N150" t="s">
        <v>3881</v>
      </c>
      <c r="O150" t="s">
        <v>3882</v>
      </c>
      <c r="P150" t="s">
        <v>5287</v>
      </c>
      <c r="Q150" t="s">
        <v>5288</v>
      </c>
      <c r="R150" t="s">
        <v>5289</v>
      </c>
      <c r="S150" t="s">
        <v>5290</v>
      </c>
      <c r="T150" t="s">
        <v>5291</v>
      </c>
      <c r="U150">
        <v>2016</v>
      </c>
      <c r="V150">
        <v>61</v>
      </c>
      <c r="W150">
        <v>1</v>
      </c>
      <c r="X150" t="s">
        <v>5292</v>
      </c>
      <c r="Y150" t="str">
        <f>HYPERLINK("http://dx.doi.org/10.1080/14498596.2015.1084247","http://dx.doi.org/10.1080/14498596.2015.1084247")</f>
        <v>http://dx.doi.org/10.1080/14498596.2015.1084247</v>
      </c>
      <c r="Z150" t="s">
        <v>3889</v>
      </c>
      <c r="AA150" t="s">
        <v>3826</v>
      </c>
      <c r="AB150" s="3">
        <v>45672</v>
      </c>
      <c r="AC150" t="s">
        <v>5293</v>
      </c>
      <c r="AD150" t="str">
        <f>HYPERLINK("https%3A%2F%2Fwww.webofscience.com%2Fwos%2Fwoscc%2Ffull-record%2FWOS:000373836100001","View Full Record in Web of Science")</f>
        <v>View Full Record in Web of Science</v>
      </c>
    </row>
    <row r="151" spans="1:30" x14ac:dyDescent="0.35">
      <c r="A151">
        <v>150</v>
      </c>
      <c r="B151" t="s">
        <v>3180</v>
      </c>
      <c r="C151" t="s">
        <v>5294</v>
      </c>
      <c r="D151" t="s">
        <v>3180</v>
      </c>
      <c r="E151" t="s">
        <v>2866</v>
      </c>
      <c r="F151" t="s">
        <v>3810</v>
      </c>
      <c r="G151" t="s">
        <v>5295</v>
      </c>
      <c r="H151" t="s">
        <v>5296</v>
      </c>
      <c r="I151" t="s">
        <v>5297</v>
      </c>
      <c r="L151">
        <v>47</v>
      </c>
      <c r="M151" t="s">
        <v>5298</v>
      </c>
      <c r="N151" t="s">
        <v>3851</v>
      </c>
      <c r="O151" t="s">
        <v>3852</v>
      </c>
      <c r="P151" t="s">
        <v>3853</v>
      </c>
      <c r="Q151" t="s">
        <v>3854</v>
      </c>
      <c r="R151" t="s">
        <v>3855</v>
      </c>
      <c r="S151" t="s">
        <v>3856</v>
      </c>
      <c r="T151" t="s">
        <v>4163</v>
      </c>
      <c r="U151">
        <v>2014</v>
      </c>
      <c r="V151">
        <v>34</v>
      </c>
      <c r="W151">
        <v>15</v>
      </c>
      <c r="X151" t="s">
        <v>5299</v>
      </c>
      <c r="Y151" t="str">
        <f>HYPERLINK("http://dx.doi.org/10.1002/joc.3939","http://dx.doi.org/10.1002/joc.3939")</f>
        <v>http://dx.doi.org/10.1002/joc.3939</v>
      </c>
      <c r="Z151" t="s">
        <v>3825</v>
      </c>
      <c r="AA151" t="s">
        <v>3826</v>
      </c>
      <c r="AB151" s="3">
        <v>45672</v>
      </c>
      <c r="AC151" t="s">
        <v>5300</v>
      </c>
      <c r="AD151" t="str">
        <f>HYPERLINK("https%3A%2F%2Fwww.webofscience.com%2Fwos%2Fwoscc%2Ffull-record%2FWOS:000345996500001","View Full Record in Web of Science")</f>
        <v>View Full Record in Web of Science</v>
      </c>
    </row>
    <row r="152" spans="1:30" x14ac:dyDescent="0.35">
      <c r="A152">
        <v>151</v>
      </c>
      <c r="B152" t="s">
        <v>3181</v>
      </c>
      <c r="C152" t="s">
        <v>5301</v>
      </c>
      <c r="D152" t="s">
        <v>3181</v>
      </c>
      <c r="E152" t="s">
        <v>2899</v>
      </c>
      <c r="F152" t="s">
        <v>3810</v>
      </c>
      <c r="G152" t="s">
        <v>5302</v>
      </c>
      <c r="H152" t="s">
        <v>5303</v>
      </c>
      <c r="I152" t="s">
        <v>5304</v>
      </c>
      <c r="J152" t="s">
        <v>4438</v>
      </c>
      <c r="K152" t="s">
        <v>5305</v>
      </c>
      <c r="L152">
        <v>15</v>
      </c>
      <c r="M152" t="s">
        <v>4252</v>
      </c>
      <c r="N152" t="s">
        <v>4253</v>
      </c>
      <c r="O152" t="s">
        <v>4254</v>
      </c>
      <c r="P152" t="s">
        <v>4319</v>
      </c>
      <c r="Q152" t="s">
        <v>4320</v>
      </c>
      <c r="R152" t="s">
        <v>4321</v>
      </c>
      <c r="S152" t="s">
        <v>4322</v>
      </c>
      <c r="T152" t="s">
        <v>4163</v>
      </c>
      <c r="U152">
        <v>2018</v>
      </c>
      <c r="V152">
        <v>130</v>
      </c>
      <c r="W152">
        <v>6</v>
      </c>
      <c r="X152" t="s">
        <v>5306</v>
      </c>
      <c r="Y152" t="str">
        <f>HYPERLINK("http://dx.doi.org/10.1007/s00703-017-0541-x","http://dx.doi.org/10.1007/s00703-017-0541-x")</f>
        <v>http://dx.doi.org/10.1007/s00703-017-0541-x</v>
      </c>
      <c r="Z152" t="s">
        <v>3825</v>
      </c>
      <c r="AA152" t="s">
        <v>3826</v>
      </c>
      <c r="AB152" s="3">
        <v>45672</v>
      </c>
      <c r="AC152" t="s">
        <v>5307</v>
      </c>
      <c r="AD152" t="str">
        <f>HYPERLINK("https%3A%2F%2Fwww.webofscience.com%2Fwos%2Fwoscc%2Ffull-record%2FWOS:000450151500001","View Full Record in Web of Science")</f>
        <v>View Full Record in Web of Science</v>
      </c>
    </row>
    <row r="153" spans="1:30" x14ac:dyDescent="0.35">
      <c r="A153">
        <v>152</v>
      </c>
      <c r="B153" t="s">
        <v>3182</v>
      </c>
      <c r="C153" t="s">
        <v>5308</v>
      </c>
      <c r="D153" t="s">
        <v>3182</v>
      </c>
      <c r="E153" t="s">
        <v>2936</v>
      </c>
      <c r="F153" t="s">
        <v>3810</v>
      </c>
      <c r="G153" t="s">
        <v>5309</v>
      </c>
      <c r="H153" t="s">
        <v>5310</v>
      </c>
      <c r="I153" t="s">
        <v>5311</v>
      </c>
      <c r="J153" t="s">
        <v>5312</v>
      </c>
      <c r="K153" t="s">
        <v>5313</v>
      </c>
      <c r="L153">
        <v>48</v>
      </c>
      <c r="M153" t="s">
        <v>5272</v>
      </c>
      <c r="N153" t="s">
        <v>5273</v>
      </c>
      <c r="O153" t="s">
        <v>5274</v>
      </c>
      <c r="P153" t="s">
        <v>5314</v>
      </c>
      <c r="Q153" t="s">
        <v>5315</v>
      </c>
      <c r="R153" t="s">
        <v>5316</v>
      </c>
      <c r="S153" t="s">
        <v>5317</v>
      </c>
      <c r="T153" t="s">
        <v>3918</v>
      </c>
      <c r="U153">
        <v>2021</v>
      </c>
      <c r="V153">
        <v>14</v>
      </c>
      <c r="W153">
        <v>7</v>
      </c>
      <c r="X153" t="s">
        <v>5318</v>
      </c>
      <c r="Y153" t="str">
        <f>HYPERLINK("http://dx.doi.org/10.1038/s41561-021-00785-2","http://dx.doi.org/10.1038/s41561-021-00785-2")</f>
        <v>http://dx.doi.org/10.1038/s41561-021-00785-2</v>
      </c>
      <c r="Z153" t="s">
        <v>4116</v>
      </c>
      <c r="AA153" t="s">
        <v>3826</v>
      </c>
      <c r="AB153" s="3">
        <v>45672</v>
      </c>
      <c r="AC153" t="s">
        <v>5319</v>
      </c>
      <c r="AD153" t="str">
        <f>HYPERLINK("https%3A%2F%2Fwww.webofscience.com%2Fwos%2Fwoscc%2Ffull-record%2FWOS:000669835000002","View Full Record in Web of Science")</f>
        <v>View Full Record in Web of Science</v>
      </c>
    </row>
    <row r="154" spans="1:30" x14ac:dyDescent="0.35">
      <c r="A154">
        <v>153</v>
      </c>
      <c r="B154" t="s">
        <v>3183</v>
      </c>
      <c r="C154" t="s">
        <v>5320</v>
      </c>
      <c r="D154" t="s">
        <v>3183</v>
      </c>
      <c r="E154" t="s">
        <v>2937</v>
      </c>
      <c r="F154" t="s">
        <v>3810</v>
      </c>
      <c r="G154" t="s">
        <v>5321</v>
      </c>
      <c r="H154" t="s">
        <v>5322</v>
      </c>
      <c r="I154" t="s">
        <v>5323</v>
      </c>
      <c r="J154" t="s">
        <v>5324</v>
      </c>
      <c r="K154" t="s">
        <v>5325</v>
      </c>
      <c r="L154">
        <v>1</v>
      </c>
      <c r="M154" t="s">
        <v>5326</v>
      </c>
      <c r="N154" t="s">
        <v>4047</v>
      </c>
      <c r="O154" t="s">
        <v>5327</v>
      </c>
      <c r="P154" t="s">
        <v>5328</v>
      </c>
      <c r="Q154" t="s">
        <v>5329</v>
      </c>
      <c r="R154" t="s">
        <v>5330</v>
      </c>
      <c r="S154" t="s">
        <v>5331</v>
      </c>
      <c r="T154" t="s">
        <v>3974</v>
      </c>
      <c r="U154">
        <v>2023</v>
      </c>
      <c r="V154">
        <v>76</v>
      </c>
      <c r="W154" t="s">
        <v>3808</v>
      </c>
      <c r="X154" t="s">
        <v>5332</v>
      </c>
      <c r="Y154" t="str">
        <f>HYPERLINK("http://dx.doi.org/10.1016/j.quageo.2023.101443","http://dx.doi.org/10.1016/j.quageo.2023.101443")</f>
        <v>http://dx.doi.org/10.1016/j.quageo.2023.101443</v>
      </c>
      <c r="Z154" t="s">
        <v>4203</v>
      </c>
      <c r="AA154" t="s">
        <v>3826</v>
      </c>
      <c r="AB154" s="3">
        <v>45672</v>
      </c>
      <c r="AC154" t="s">
        <v>5333</v>
      </c>
      <c r="AD154" t="str">
        <f>HYPERLINK("https%3A%2F%2Fwww.webofscience.com%2Fwos%2Fwoscc%2Ffull-record%2FWOS:001021134700001","View Full Record in Web of Science")</f>
        <v>View Full Record in Web of Science</v>
      </c>
    </row>
    <row r="155" spans="1:30" x14ac:dyDescent="0.35">
      <c r="A155">
        <v>154</v>
      </c>
      <c r="B155" t="s">
        <v>3184</v>
      </c>
      <c r="C155" t="s">
        <v>5334</v>
      </c>
      <c r="D155" t="s">
        <v>3184</v>
      </c>
      <c r="E155" t="s">
        <v>2938</v>
      </c>
      <c r="F155" t="s">
        <v>3810</v>
      </c>
      <c r="G155" t="s">
        <v>5335</v>
      </c>
      <c r="H155" t="s">
        <v>5336</v>
      </c>
      <c r="I155" t="s">
        <v>5337</v>
      </c>
      <c r="J155" t="s">
        <v>5338</v>
      </c>
      <c r="K155" t="s">
        <v>5339</v>
      </c>
      <c r="L155">
        <v>0</v>
      </c>
      <c r="M155" t="s">
        <v>5340</v>
      </c>
      <c r="N155" t="s">
        <v>5341</v>
      </c>
      <c r="O155" t="s">
        <v>5342</v>
      </c>
      <c r="P155" t="s">
        <v>5343</v>
      </c>
      <c r="Q155" t="s">
        <v>3808</v>
      </c>
      <c r="R155" t="s">
        <v>5344</v>
      </c>
      <c r="S155" t="s">
        <v>5345</v>
      </c>
      <c r="T155" t="s">
        <v>5346</v>
      </c>
      <c r="U155">
        <v>2023</v>
      </c>
      <c r="V155">
        <v>15</v>
      </c>
      <c r="W155">
        <v>1</v>
      </c>
      <c r="X155" t="s">
        <v>5347</v>
      </c>
      <c r="Y155" t="str">
        <f>HYPERLINK("http://dx.doi.org/10.1515/geo-2022-0499","http://dx.doi.org/10.1515/geo-2022-0499")</f>
        <v>http://dx.doi.org/10.1515/geo-2022-0499</v>
      </c>
      <c r="Z155" t="s">
        <v>4116</v>
      </c>
      <c r="AA155" t="s">
        <v>3826</v>
      </c>
      <c r="AB155" s="3">
        <v>45672</v>
      </c>
      <c r="AC155" t="s">
        <v>5348</v>
      </c>
      <c r="AD155" t="str">
        <f>HYPERLINK("https%3A%2F%2Fwww.webofscience.com%2Fwos%2Fwoscc%2Ffull-record%2FWOS:001005452500001","View Full Record in Web of Science")</f>
        <v>View Full Record in Web of Science</v>
      </c>
    </row>
    <row r="156" spans="1:30" x14ac:dyDescent="0.35">
      <c r="A156">
        <v>155</v>
      </c>
      <c r="B156" t="s">
        <v>3185</v>
      </c>
      <c r="C156" t="s">
        <v>5349</v>
      </c>
      <c r="D156" t="s">
        <v>3185</v>
      </c>
      <c r="E156" t="s">
        <v>2901</v>
      </c>
      <c r="F156" t="s">
        <v>3810</v>
      </c>
      <c r="G156" t="s">
        <v>5350</v>
      </c>
      <c r="H156" t="s">
        <v>5351</v>
      </c>
      <c r="I156" t="s">
        <v>5352</v>
      </c>
      <c r="J156" t="s">
        <v>5353</v>
      </c>
      <c r="K156" t="s">
        <v>5354</v>
      </c>
      <c r="L156">
        <v>20</v>
      </c>
      <c r="M156" t="s">
        <v>4377</v>
      </c>
      <c r="N156" t="s">
        <v>4378</v>
      </c>
      <c r="O156" t="s">
        <v>4379</v>
      </c>
      <c r="P156" t="s">
        <v>4380</v>
      </c>
      <c r="Q156" t="s">
        <v>4381</v>
      </c>
      <c r="R156" t="s">
        <v>4382</v>
      </c>
      <c r="S156" t="s">
        <v>4383</v>
      </c>
      <c r="T156" t="s">
        <v>3808</v>
      </c>
      <c r="U156">
        <v>2016</v>
      </c>
      <c r="V156" t="s">
        <v>4384</v>
      </c>
      <c r="W156" t="s">
        <v>3808</v>
      </c>
      <c r="X156" t="s">
        <v>5355</v>
      </c>
      <c r="Y156" t="str">
        <f>HYPERLINK("http://dx.doi.org/10.2151/jmsj.2015-059","http://dx.doi.org/10.2151/jmsj.2015-059")</f>
        <v>http://dx.doi.org/10.2151/jmsj.2015-059</v>
      </c>
      <c r="Z156" t="s">
        <v>3825</v>
      </c>
      <c r="AA156" t="s">
        <v>3826</v>
      </c>
      <c r="AB156" s="3">
        <v>45672</v>
      </c>
      <c r="AC156" t="s">
        <v>5356</v>
      </c>
      <c r="AD156" t="str">
        <f>HYPERLINK("https%3A%2F%2Fwww.webofscience.com%2Fwos%2Fwoscc%2Ffull-record%2FWOS:000370028800012","View Full Record in Web of Science")</f>
        <v>View Full Record in Web of Science</v>
      </c>
    </row>
    <row r="157" spans="1:30" x14ac:dyDescent="0.35">
      <c r="A157">
        <v>156</v>
      </c>
      <c r="B157" t="s">
        <v>3186</v>
      </c>
      <c r="C157" t="s">
        <v>5357</v>
      </c>
      <c r="D157" t="s">
        <v>3186</v>
      </c>
      <c r="E157" t="s">
        <v>2866</v>
      </c>
      <c r="F157" t="s">
        <v>3810</v>
      </c>
      <c r="G157" t="s">
        <v>5358</v>
      </c>
      <c r="H157" t="s">
        <v>5359</v>
      </c>
      <c r="I157" t="s">
        <v>5360</v>
      </c>
      <c r="J157" t="s">
        <v>5361</v>
      </c>
      <c r="K157" t="s">
        <v>5362</v>
      </c>
      <c r="L157">
        <v>18</v>
      </c>
      <c r="M157" t="s">
        <v>3850</v>
      </c>
      <c r="N157" t="s">
        <v>3851</v>
      </c>
      <c r="O157" t="s">
        <v>3852</v>
      </c>
      <c r="P157" t="s">
        <v>3853</v>
      </c>
      <c r="Q157" t="s">
        <v>3854</v>
      </c>
      <c r="R157" t="s">
        <v>3855</v>
      </c>
      <c r="S157" t="s">
        <v>3856</v>
      </c>
      <c r="T157" t="s">
        <v>3857</v>
      </c>
      <c r="U157">
        <v>2020</v>
      </c>
      <c r="V157">
        <v>40</v>
      </c>
      <c r="W157">
        <v>3</v>
      </c>
      <c r="X157" t="s">
        <v>5363</v>
      </c>
      <c r="Y157" t="str">
        <f>HYPERLINK("http://dx.doi.org/10.1002/joc.6301","http://dx.doi.org/10.1002/joc.6301")</f>
        <v>http://dx.doi.org/10.1002/joc.6301</v>
      </c>
      <c r="Z157" t="s">
        <v>3825</v>
      </c>
      <c r="AA157" t="s">
        <v>3826</v>
      </c>
      <c r="AB157" s="3">
        <v>45672</v>
      </c>
      <c r="AC157" t="s">
        <v>5364</v>
      </c>
      <c r="AD157" t="str">
        <f>HYPERLINK("https%3A%2F%2Fwww.webofscience.com%2Fwos%2Fwoscc%2Ffull-record%2FWOS:000488364400001","View Full Record in Web of Science")</f>
        <v>View Full Record in Web of Science</v>
      </c>
    </row>
    <row r="158" spans="1:30" x14ac:dyDescent="0.35">
      <c r="A158">
        <v>157</v>
      </c>
      <c r="B158" t="s">
        <v>3187</v>
      </c>
      <c r="C158" t="s">
        <v>5365</v>
      </c>
      <c r="D158" t="s">
        <v>3187</v>
      </c>
      <c r="E158" t="s">
        <v>2894</v>
      </c>
      <c r="F158" t="s">
        <v>3810</v>
      </c>
      <c r="G158" t="s">
        <v>5366</v>
      </c>
      <c r="H158" t="s">
        <v>5367</v>
      </c>
      <c r="I158" t="s">
        <v>5368</v>
      </c>
      <c r="J158" t="s">
        <v>5369</v>
      </c>
      <c r="K158" t="s">
        <v>5370</v>
      </c>
      <c r="L158">
        <v>6</v>
      </c>
      <c r="M158" t="s">
        <v>4252</v>
      </c>
      <c r="N158" t="s">
        <v>4355</v>
      </c>
      <c r="O158" t="s">
        <v>4356</v>
      </c>
      <c r="P158" t="s">
        <v>4255</v>
      </c>
      <c r="Q158" t="s">
        <v>4256</v>
      </c>
      <c r="R158" t="s">
        <v>4257</v>
      </c>
      <c r="S158" t="s">
        <v>4258</v>
      </c>
      <c r="T158" t="s">
        <v>4001</v>
      </c>
      <c r="U158">
        <v>2022</v>
      </c>
      <c r="V158">
        <v>147</v>
      </c>
      <c r="W158" t="s">
        <v>4259</v>
      </c>
      <c r="X158" t="s">
        <v>5371</v>
      </c>
      <c r="Y158" t="str">
        <f>HYPERLINK("http://dx.doi.org/10.1007/s00704-021-03804-9","http://dx.doi.org/10.1007/s00704-021-03804-9")</f>
        <v>http://dx.doi.org/10.1007/s00704-021-03804-9</v>
      </c>
      <c r="Z158" t="s">
        <v>3825</v>
      </c>
      <c r="AA158" t="s">
        <v>3826</v>
      </c>
      <c r="AB158" s="3">
        <v>45672</v>
      </c>
      <c r="AC158" t="s">
        <v>5372</v>
      </c>
      <c r="AD158" t="str">
        <f>HYPERLINK("https%3A%2F%2Fwww.webofscience.com%2Fwos%2Fwoscc%2Ffull-record%2FWOS:000706929400002","View Full Record in Web of Science")</f>
        <v>View Full Record in Web of Science</v>
      </c>
    </row>
    <row r="159" spans="1:30" x14ac:dyDescent="0.35">
      <c r="A159">
        <v>158</v>
      </c>
      <c r="B159" t="s">
        <v>3188</v>
      </c>
      <c r="C159" t="s">
        <v>5373</v>
      </c>
      <c r="D159" t="s">
        <v>3188</v>
      </c>
      <c r="E159" t="s">
        <v>2866</v>
      </c>
      <c r="F159" t="s">
        <v>3810</v>
      </c>
      <c r="G159" t="s">
        <v>5374</v>
      </c>
      <c r="H159" t="s">
        <v>5375</v>
      </c>
      <c r="I159" t="s">
        <v>5376</v>
      </c>
      <c r="J159" t="s">
        <v>5377</v>
      </c>
      <c r="K159" t="s">
        <v>5378</v>
      </c>
      <c r="L159">
        <v>8</v>
      </c>
      <c r="M159" t="s">
        <v>3850</v>
      </c>
      <c r="N159" t="s">
        <v>3851</v>
      </c>
      <c r="O159" t="s">
        <v>3852</v>
      </c>
      <c r="P159" t="s">
        <v>3853</v>
      </c>
      <c r="Q159" t="s">
        <v>3854</v>
      </c>
      <c r="R159" t="s">
        <v>3855</v>
      </c>
      <c r="S159" t="s">
        <v>3856</v>
      </c>
      <c r="T159" t="s">
        <v>5379</v>
      </c>
      <c r="U159">
        <v>2022</v>
      </c>
      <c r="V159">
        <v>42</v>
      </c>
      <c r="W159">
        <v>15</v>
      </c>
      <c r="X159" t="s">
        <v>5380</v>
      </c>
      <c r="Y159" t="str">
        <f>HYPERLINK("http://dx.doi.org/10.1002/joc.7684","http://dx.doi.org/10.1002/joc.7684")</f>
        <v>http://dx.doi.org/10.1002/joc.7684</v>
      </c>
      <c r="Z159" t="s">
        <v>3825</v>
      </c>
      <c r="AA159" t="s">
        <v>3826</v>
      </c>
      <c r="AB159" s="3">
        <v>45672</v>
      </c>
      <c r="AC159" t="s">
        <v>5381</v>
      </c>
      <c r="AD159" t="str">
        <f>HYPERLINK("https%3A%2F%2Fwww.webofscience.com%2Fwos%2Fwoscc%2Ffull-record%2FWOS:000795654100001","View Full Record in Web of Science")</f>
        <v>View Full Record in Web of Science</v>
      </c>
    </row>
    <row r="160" spans="1:30" x14ac:dyDescent="0.35">
      <c r="A160">
        <v>159</v>
      </c>
      <c r="B160" t="s">
        <v>3189</v>
      </c>
      <c r="C160" t="s">
        <v>688</v>
      </c>
      <c r="D160" t="s">
        <v>3189</v>
      </c>
      <c r="E160" t="s">
        <v>2915</v>
      </c>
      <c r="F160" t="s">
        <v>3810</v>
      </c>
      <c r="G160" t="s">
        <v>5382</v>
      </c>
      <c r="H160" t="s">
        <v>5383</v>
      </c>
      <c r="I160" t="s">
        <v>5384</v>
      </c>
      <c r="J160" t="s">
        <v>3808</v>
      </c>
      <c r="K160" t="s">
        <v>3808</v>
      </c>
      <c r="L160">
        <v>2</v>
      </c>
      <c r="M160" t="s">
        <v>4862</v>
      </c>
      <c r="N160" t="s">
        <v>4731</v>
      </c>
      <c r="O160" t="s">
        <v>4732</v>
      </c>
      <c r="P160" t="s">
        <v>4733</v>
      </c>
      <c r="Q160" t="s">
        <v>4734</v>
      </c>
      <c r="R160" t="s">
        <v>4735</v>
      </c>
      <c r="S160" t="s">
        <v>4736</v>
      </c>
      <c r="T160" t="s">
        <v>3808</v>
      </c>
      <c r="U160">
        <v>2020</v>
      </c>
      <c r="V160">
        <v>42</v>
      </c>
      <c r="W160">
        <v>1</v>
      </c>
      <c r="X160" t="s">
        <v>5385</v>
      </c>
      <c r="Y160" t="str">
        <f>HYPERLINK("http://dx.doi.org/10.15625/0866-7187/42/1/14759","http://dx.doi.org/10.15625/0866-7187/42/1/14759")</f>
        <v>http://dx.doi.org/10.15625/0866-7187/42/1/14759</v>
      </c>
      <c r="Z160" t="s">
        <v>4116</v>
      </c>
      <c r="AA160" t="s">
        <v>4117</v>
      </c>
      <c r="AB160" s="3">
        <v>45672</v>
      </c>
      <c r="AC160" t="s">
        <v>5386</v>
      </c>
      <c r="AD160" t="str">
        <f>HYPERLINK("https%3A%2F%2Fwww.webofscience.com%2Fwos%2Fwoscc%2Ffull-record%2FWOS:000530923100005","View Full Record in Web of Science")</f>
        <v>View Full Record in Web of Science</v>
      </c>
    </row>
    <row r="161" spans="1:30" x14ac:dyDescent="0.35">
      <c r="A161">
        <v>160</v>
      </c>
      <c r="B161" t="s">
        <v>3190</v>
      </c>
      <c r="C161" t="s">
        <v>5387</v>
      </c>
      <c r="D161" t="s">
        <v>3190</v>
      </c>
      <c r="E161" t="s">
        <v>2866</v>
      </c>
      <c r="F161" t="s">
        <v>3810</v>
      </c>
      <c r="G161" t="s">
        <v>5388</v>
      </c>
      <c r="H161" t="s">
        <v>5389</v>
      </c>
      <c r="I161" t="s">
        <v>5390</v>
      </c>
      <c r="K161" t="s">
        <v>3808</v>
      </c>
      <c r="L161">
        <v>39</v>
      </c>
      <c r="M161" t="s">
        <v>3850</v>
      </c>
      <c r="N161" t="s">
        <v>3851</v>
      </c>
      <c r="O161" t="s">
        <v>3852</v>
      </c>
      <c r="P161" t="s">
        <v>3853</v>
      </c>
      <c r="Q161" t="s">
        <v>3854</v>
      </c>
      <c r="R161" t="s">
        <v>3855</v>
      </c>
      <c r="S161" t="s">
        <v>3856</v>
      </c>
      <c r="T161" t="s">
        <v>4424</v>
      </c>
      <c r="U161">
        <v>2019</v>
      </c>
      <c r="V161">
        <v>39</v>
      </c>
      <c r="W161">
        <v>14</v>
      </c>
      <c r="X161" t="s">
        <v>5391</v>
      </c>
      <c r="Y161" t="str">
        <f>HYPERLINK("http://dx.doi.org/10.1002/joc.6163","http://dx.doi.org/10.1002/joc.6163")</f>
        <v>http://dx.doi.org/10.1002/joc.6163</v>
      </c>
      <c r="Z161" t="s">
        <v>3825</v>
      </c>
      <c r="AA161" t="s">
        <v>3826</v>
      </c>
      <c r="AB161" s="3">
        <v>45672</v>
      </c>
      <c r="AC161" t="s">
        <v>5392</v>
      </c>
      <c r="AD161" t="str">
        <f>HYPERLINK("https%3A%2F%2Fwww.webofscience.com%2Fwos%2Fwoscc%2Ffull-record%2FWOS:000492898900014","View Full Record in Web of Science")</f>
        <v>View Full Record in Web of Science</v>
      </c>
    </row>
    <row r="162" spans="1:30" x14ac:dyDescent="0.35">
      <c r="A162">
        <v>161</v>
      </c>
      <c r="B162" t="s">
        <v>3191</v>
      </c>
      <c r="C162" t="s">
        <v>5393</v>
      </c>
      <c r="D162" t="s">
        <v>3191</v>
      </c>
      <c r="E162" t="s">
        <v>2866</v>
      </c>
      <c r="F162" t="s">
        <v>3810</v>
      </c>
      <c r="G162" t="s">
        <v>5394</v>
      </c>
      <c r="H162" t="s">
        <v>5395</v>
      </c>
      <c r="I162" t="s">
        <v>5396</v>
      </c>
      <c r="J162" t="s">
        <v>5397</v>
      </c>
      <c r="K162" t="s">
        <v>5398</v>
      </c>
      <c r="L162">
        <v>15</v>
      </c>
      <c r="M162" t="s">
        <v>3850</v>
      </c>
      <c r="N162" t="s">
        <v>3851</v>
      </c>
      <c r="O162" t="s">
        <v>3852</v>
      </c>
      <c r="P162" t="s">
        <v>3853</v>
      </c>
      <c r="Q162" t="s">
        <v>3854</v>
      </c>
      <c r="R162" t="s">
        <v>3855</v>
      </c>
      <c r="S162" t="s">
        <v>3856</v>
      </c>
      <c r="T162" t="s">
        <v>3974</v>
      </c>
      <c r="U162">
        <v>2014</v>
      </c>
      <c r="V162">
        <v>34</v>
      </c>
      <c r="W162">
        <v>7</v>
      </c>
      <c r="X162" t="s">
        <v>5399</v>
      </c>
      <c r="Y162" t="str">
        <f>HYPERLINK("http://dx.doi.org/10.1002/joc.3851","http://dx.doi.org/10.1002/joc.3851")</f>
        <v>http://dx.doi.org/10.1002/joc.3851</v>
      </c>
      <c r="Z162" t="s">
        <v>3825</v>
      </c>
      <c r="AA162" t="s">
        <v>3826</v>
      </c>
      <c r="AB162" s="3">
        <v>45672</v>
      </c>
      <c r="AC162" t="s">
        <v>5400</v>
      </c>
      <c r="AD162" t="str">
        <f>HYPERLINK("https%3A%2F%2Fwww.webofscience.com%2Fwos%2Fwoscc%2Ffull-record%2FWOS:000337558200025","View Full Record in Web of Science")</f>
        <v>View Full Record in Web of Science</v>
      </c>
    </row>
    <row r="163" spans="1:30" x14ac:dyDescent="0.35">
      <c r="A163">
        <v>162</v>
      </c>
      <c r="B163" t="s">
        <v>3192</v>
      </c>
      <c r="C163" t="s">
        <v>5401</v>
      </c>
      <c r="D163" t="s">
        <v>3192</v>
      </c>
      <c r="E163" t="s">
        <v>2872</v>
      </c>
      <c r="F163" t="s">
        <v>3810</v>
      </c>
      <c r="G163" t="s">
        <v>5402</v>
      </c>
      <c r="H163" t="s">
        <v>5403</v>
      </c>
      <c r="I163" t="s">
        <v>5404</v>
      </c>
      <c r="J163" t="s">
        <v>5405</v>
      </c>
      <c r="K163" t="s">
        <v>5406</v>
      </c>
      <c r="L163">
        <v>94</v>
      </c>
      <c r="M163" t="s">
        <v>3951</v>
      </c>
      <c r="N163" t="s">
        <v>3952</v>
      </c>
      <c r="O163" t="s">
        <v>3953</v>
      </c>
      <c r="P163" t="s">
        <v>3954</v>
      </c>
      <c r="Q163" t="s">
        <v>3955</v>
      </c>
      <c r="R163" t="s">
        <v>3956</v>
      </c>
      <c r="S163" t="s">
        <v>3957</v>
      </c>
      <c r="T163" t="s">
        <v>3918</v>
      </c>
      <c r="U163">
        <v>2020</v>
      </c>
      <c r="V163">
        <v>586</v>
      </c>
      <c r="W163" t="s">
        <v>3808</v>
      </c>
      <c r="X163" t="s">
        <v>5407</v>
      </c>
      <c r="Y163" t="str">
        <f>HYPERLINK("http://dx.doi.org/10.1016/j.jhydrol.2020.124820","http://dx.doi.org/10.1016/j.jhydrol.2020.124820")</f>
        <v>http://dx.doi.org/10.1016/j.jhydrol.2020.124820</v>
      </c>
      <c r="Z163" t="s">
        <v>3960</v>
      </c>
      <c r="AA163" t="s">
        <v>3826</v>
      </c>
      <c r="AB163" s="3">
        <v>45672</v>
      </c>
      <c r="AC163" t="s">
        <v>5408</v>
      </c>
      <c r="AD163" t="str">
        <f>HYPERLINK("https%3A%2F%2Fwww.webofscience.com%2Fwos%2Fwoscc%2Ffull-record%2FWOS:000544258100013","View Full Record in Web of Science")</f>
        <v>View Full Record in Web of Science</v>
      </c>
    </row>
    <row r="164" spans="1:30" x14ac:dyDescent="0.35">
      <c r="A164">
        <v>163</v>
      </c>
      <c r="B164" t="s">
        <v>3193</v>
      </c>
      <c r="C164" t="s">
        <v>5409</v>
      </c>
      <c r="D164" t="s">
        <v>3193</v>
      </c>
      <c r="E164" t="s">
        <v>2896</v>
      </c>
      <c r="F164" t="s">
        <v>3810</v>
      </c>
      <c r="G164" t="s">
        <v>5410</v>
      </c>
      <c r="H164" t="s">
        <v>5411</v>
      </c>
      <c r="I164" t="s">
        <v>5412</v>
      </c>
      <c r="J164" t="s">
        <v>5413</v>
      </c>
      <c r="K164" t="s">
        <v>5414</v>
      </c>
      <c r="L164">
        <v>2</v>
      </c>
      <c r="M164" t="s">
        <v>4277</v>
      </c>
      <c r="N164" t="s">
        <v>4278</v>
      </c>
      <c r="O164" t="s">
        <v>4279</v>
      </c>
      <c r="P164" t="s">
        <v>3808</v>
      </c>
      <c r="Q164" t="s">
        <v>4280</v>
      </c>
      <c r="R164" t="s">
        <v>2896</v>
      </c>
      <c r="S164" t="s">
        <v>4281</v>
      </c>
      <c r="T164" t="s">
        <v>4163</v>
      </c>
      <c r="U164">
        <v>2021</v>
      </c>
      <c r="V164">
        <v>9</v>
      </c>
      <c r="W164">
        <v>12</v>
      </c>
      <c r="X164" t="s">
        <v>5415</v>
      </c>
      <c r="Y164" t="str">
        <f>HYPERLINK("http://dx.doi.org/10.3390/cli9120175","http://dx.doi.org/10.3390/cli9120175")</f>
        <v>http://dx.doi.org/10.3390/cli9120175</v>
      </c>
      <c r="Z164" t="s">
        <v>3825</v>
      </c>
      <c r="AA164" t="s">
        <v>4117</v>
      </c>
      <c r="AB164" s="3">
        <v>45672</v>
      </c>
      <c r="AC164" t="s">
        <v>5416</v>
      </c>
      <c r="AD164" t="str">
        <f>HYPERLINK("https%3A%2F%2Fwww.webofscience.com%2Fwos%2Fwoscc%2Ffull-record%2FWOS:000736138600001","View Full Record in Web of Science")</f>
        <v>View Full Record in Web of Science</v>
      </c>
    </row>
    <row r="165" spans="1:30" x14ac:dyDescent="0.35">
      <c r="A165">
        <v>164</v>
      </c>
      <c r="B165" t="s">
        <v>3194</v>
      </c>
      <c r="C165" t="s">
        <v>5417</v>
      </c>
      <c r="D165" t="s">
        <v>3194</v>
      </c>
      <c r="E165" t="s">
        <v>2877</v>
      </c>
      <c r="F165" t="s">
        <v>3810</v>
      </c>
      <c r="G165" t="s">
        <v>5418</v>
      </c>
      <c r="H165" t="s">
        <v>5419</v>
      </c>
      <c r="I165" t="s">
        <v>5420</v>
      </c>
      <c r="J165" t="s">
        <v>5421</v>
      </c>
      <c r="K165" t="s">
        <v>5422</v>
      </c>
      <c r="L165">
        <v>211</v>
      </c>
      <c r="M165" t="s">
        <v>4033</v>
      </c>
      <c r="N165" t="s">
        <v>4034</v>
      </c>
      <c r="O165" t="s">
        <v>4035</v>
      </c>
      <c r="P165" t="s">
        <v>4036</v>
      </c>
      <c r="Q165" t="s">
        <v>4037</v>
      </c>
      <c r="R165" t="s">
        <v>4038</v>
      </c>
      <c r="S165" t="s">
        <v>4039</v>
      </c>
      <c r="T165" t="s">
        <v>4137</v>
      </c>
      <c r="U165">
        <v>2016</v>
      </c>
      <c r="V165">
        <v>29</v>
      </c>
      <c r="W165">
        <v>16</v>
      </c>
      <c r="X165" t="s">
        <v>5423</v>
      </c>
      <c r="Y165" t="str">
        <f>HYPERLINK("http://dx.doi.org/10.1175/JCLI-D-16-0076.1","http://dx.doi.org/10.1175/JCLI-D-16-0076.1")</f>
        <v>http://dx.doi.org/10.1175/JCLI-D-16-0076.1</v>
      </c>
      <c r="Z165" t="s">
        <v>3825</v>
      </c>
      <c r="AA165" t="s">
        <v>3826</v>
      </c>
      <c r="AB165" s="3">
        <v>45672</v>
      </c>
      <c r="AC165" t="s">
        <v>5424</v>
      </c>
      <c r="AD165" t="str">
        <f>HYPERLINK("https%3A%2F%2Fwww.webofscience.com%2Fwos%2Fwoscc%2Ffull-record%2FWOS:000381220800003","View Full Record in Web of Science")</f>
        <v>View Full Record in Web of Science</v>
      </c>
    </row>
    <row r="166" spans="1:30" x14ac:dyDescent="0.35">
      <c r="A166">
        <v>165</v>
      </c>
      <c r="B166" t="s">
        <v>3195</v>
      </c>
      <c r="C166" t="s">
        <v>5425</v>
      </c>
      <c r="D166" t="s">
        <v>3195</v>
      </c>
      <c r="E166" t="s">
        <v>2862</v>
      </c>
      <c r="F166" t="s">
        <v>3810</v>
      </c>
      <c r="G166" t="s">
        <v>5426</v>
      </c>
      <c r="H166" t="s">
        <v>5427</v>
      </c>
      <c r="I166" t="s">
        <v>5428</v>
      </c>
      <c r="J166" t="s">
        <v>5429</v>
      </c>
      <c r="K166" t="s">
        <v>5430</v>
      </c>
      <c r="L166">
        <v>4</v>
      </c>
      <c r="M166" t="s">
        <v>3816</v>
      </c>
      <c r="N166" t="s">
        <v>3817</v>
      </c>
      <c r="O166" t="s">
        <v>3818</v>
      </c>
      <c r="P166" t="s">
        <v>3819</v>
      </c>
      <c r="Q166" t="s">
        <v>3820</v>
      </c>
      <c r="R166" t="s">
        <v>3821</v>
      </c>
      <c r="S166" t="s">
        <v>3822</v>
      </c>
      <c r="T166" t="s">
        <v>5431</v>
      </c>
      <c r="U166">
        <v>2023</v>
      </c>
      <c r="V166">
        <v>289</v>
      </c>
      <c r="W166" t="s">
        <v>3808</v>
      </c>
      <c r="X166" t="s">
        <v>5432</v>
      </c>
      <c r="Y166" t="str">
        <f>HYPERLINK("http://dx.doi.org/10.1016/j.atmosres.2023.106757","http://dx.doi.org/10.1016/j.atmosres.2023.106757")</f>
        <v>http://dx.doi.org/10.1016/j.atmosres.2023.106757</v>
      </c>
      <c r="Z166" t="s">
        <v>3825</v>
      </c>
      <c r="AA166" t="s">
        <v>3826</v>
      </c>
      <c r="AB166" s="3">
        <v>45672</v>
      </c>
      <c r="AC166" t="s">
        <v>5433</v>
      </c>
      <c r="AD166" t="str">
        <f>HYPERLINK("https%3A%2F%2Fwww.webofscience.com%2Fwos%2Fwoscc%2Ffull-record%2FWOS:000984869400001","View Full Record in Web of Science")</f>
        <v>View Full Record in Web of Science</v>
      </c>
    </row>
    <row r="167" spans="1:30" x14ac:dyDescent="0.35">
      <c r="A167">
        <v>166</v>
      </c>
      <c r="B167" t="s">
        <v>3196</v>
      </c>
      <c r="C167" t="s">
        <v>5434</v>
      </c>
      <c r="D167" t="s">
        <v>3196</v>
      </c>
      <c r="E167" t="s">
        <v>2929</v>
      </c>
      <c r="F167" t="s">
        <v>3810</v>
      </c>
      <c r="G167" t="s">
        <v>5435</v>
      </c>
      <c r="H167" t="s">
        <v>5436</v>
      </c>
      <c r="I167" t="s">
        <v>5437</v>
      </c>
      <c r="J167" t="s">
        <v>5438</v>
      </c>
      <c r="K167" t="s">
        <v>5439</v>
      </c>
      <c r="L167">
        <v>34</v>
      </c>
      <c r="M167" t="s">
        <v>5142</v>
      </c>
      <c r="N167" t="s">
        <v>5143</v>
      </c>
      <c r="O167" t="s">
        <v>5144</v>
      </c>
      <c r="P167" t="s">
        <v>5145</v>
      </c>
      <c r="Q167" t="s">
        <v>5146</v>
      </c>
      <c r="R167" t="s">
        <v>5147</v>
      </c>
      <c r="S167" t="s">
        <v>5148</v>
      </c>
      <c r="T167" t="s">
        <v>3932</v>
      </c>
      <c r="U167">
        <v>2016</v>
      </c>
      <c r="V167">
        <v>52</v>
      </c>
      <c r="W167">
        <v>2</v>
      </c>
      <c r="X167" t="s">
        <v>5440</v>
      </c>
      <c r="Y167" t="str">
        <f>HYPERLINK("http://dx.doi.org/10.1007/s13143-016-0011-2","http://dx.doi.org/10.1007/s13143-016-0011-2")</f>
        <v>http://dx.doi.org/10.1007/s13143-016-0011-2</v>
      </c>
      <c r="Z167" t="s">
        <v>3825</v>
      </c>
      <c r="AA167" t="s">
        <v>3826</v>
      </c>
      <c r="AB167" s="3">
        <v>45672</v>
      </c>
      <c r="AC167" t="s">
        <v>5441</v>
      </c>
      <c r="AD167" t="str">
        <f>HYPERLINK("https%3A%2F%2Fwww.webofscience.com%2Fwos%2Fwoscc%2Ffull-record%2FWOS:000376934700003","View Full Record in Web of Science")</f>
        <v>View Full Record in Web of Science</v>
      </c>
    </row>
    <row r="168" spans="1:30" x14ac:dyDescent="0.35">
      <c r="A168">
        <v>167</v>
      </c>
      <c r="B168" t="s">
        <v>3197</v>
      </c>
      <c r="C168" t="s">
        <v>5442</v>
      </c>
      <c r="D168" t="s">
        <v>3197</v>
      </c>
      <c r="E168" t="s">
        <v>2912</v>
      </c>
      <c r="F168" t="s">
        <v>3810</v>
      </c>
      <c r="G168" t="s">
        <v>5443</v>
      </c>
      <c r="H168" t="s">
        <v>5444</v>
      </c>
      <c r="I168" t="s">
        <v>5445</v>
      </c>
      <c r="J168" t="s">
        <v>5446</v>
      </c>
      <c r="K168" t="s">
        <v>5447</v>
      </c>
      <c r="L168">
        <v>31</v>
      </c>
      <c r="M168" t="s">
        <v>4033</v>
      </c>
      <c r="N168" t="s">
        <v>4034</v>
      </c>
      <c r="O168" t="s">
        <v>4035</v>
      </c>
      <c r="P168" t="s">
        <v>4665</v>
      </c>
      <c r="Q168" t="s">
        <v>4666</v>
      </c>
      <c r="R168" t="s">
        <v>4667</v>
      </c>
      <c r="S168" t="s">
        <v>4668</v>
      </c>
      <c r="T168" t="s">
        <v>3823</v>
      </c>
      <c r="U168">
        <v>2014</v>
      </c>
      <c r="V168">
        <v>53</v>
      </c>
      <c r="W168">
        <v>2</v>
      </c>
      <c r="X168" t="s">
        <v>5448</v>
      </c>
      <c r="Y168" t="str">
        <f>HYPERLINK("http://dx.doi.org/10.1175/JAMC-D-12-0240.1","http://dx.doi.org/10.1175/JAMC-D-12-0240.1")</f>
        <v>http://dx.doi.org/10.1175/JAMC-D-12-0240.1</v>
      </c>
      <c r="Z168" t="s">
        <v>3825</v>
      </c>
      <c r="AA168" t="s">
        <v>3826</v>
      </c>
      <c r="AB168" s="3">
        <v>45672</v>
      </c>
      <c r="AC168" t="s">
        <v>5449</v>
      </c>
      <c r="AD168" t="str">
        <f>HYPERLINK("https%3A%2F%2Fwww.webofscience.com%2Fwos%2Fwoscc%2Ffull-record%2FWOS:000336448000014","View Full Record in Web of Science")</f>
        <v>View Full Record in Web of Science</v>
      </c>
    </row>
    <row r="169" spans="1:30" x14ac:dyDescent="0.35">
      <c r="A169">
        <v>168</v>
      </c>
      <c r="B169" t="s">
        <v>3198</v>
      </c>
      <c r="C169" t="s">
        <v>5450</v>
      </c>
      <c r="D169" t="s">
        <v>3198</v>
      </c>
      <c r="E169" t="s">
        <v>2869</v>
      </c>
      <c r="F169" t="s">
        <v>3810</v>
      </c>
      <c r="G169" t="s">
        <v>5451</v>
      </c>
      <c r="H169" t="s">
        <v>5452</v>
      </c>
      <c r="I169" t="s">
        <v>5453</v>
      </c>
      <c r="J169" t="s">
        <v>5454</v>
      </c>
      <c r="K169" t="s">
        <v>5455</v>
      </c>
      <c r="L169">
        <v>31</v>
      </c>
      <c r="M169" t="s">
        <v>3880</v>
      </c>
      <c r="N169" t="s">
        <v>3881</v>
      </c>
      <c r="O169" t="s">
        <v>3882</v>
      </c>
      <c r="P169" t="s">
        <v>3897</v>
      </c>
      <c r="Q169" t="s">
        <v>3898</v>
      </c>
      <c r="R169" t="s">
        <v>3899</v>
      </c>
      <c r="S169" t="s">
        <v>3900</v>
      </c>
      <c r="T169" t="s">
        <v>3808</v>
      </c>
      <c r="U169">
        <v>2018</v>
      </c>
      <c r="V169">
        <v>39</v>
      </c>
      <c r="W169">
        <v>8</v>
      </c>
      <c r="X169" t="s">
        <v>5456</v>
      </c>
      <c r="Y169" t="str">
        <f>HYPERLINK("http://dx.doi.org/10.1080/01431161.2018.1425566","http://dx.doi.org/10.1080/01431161.2018.1425566")</f>
        <v>http://dx.doi.org/10.1080/01431161.2018.1425566</v>
      </c>
      <c r="Z169" t="s">
        <v>3903</v>
      </c>
      <c r="AA169" t="s">
        <v>3826</v>
      </c>
      <c r="AB169" s="3">
        <v>45672</v>
      </c>
      <c r="AC169" t="s">
        <v>5457</v>
      </c>
      <c r="AD169" t="str">
        <f>HYPERLINK("https%3A%2F%2Fwww.webofscience.com%2Fwos%2Fwoscc%2Ffull-record%2FWOS:000424236900002","View Full Record in Web of Science")</f>
        <v>View Full Record in Web of Science</v>
      </c>
    </row>
    <row r="170" spans="1:30" x14ac:dyDescent="0.35">
      <c r="A170">
        <v>169</v>
      </c>
      <c r="B170" t="s">
        <v>3199</v>
      </c>
      <c r="C170" t="s">
        <v>5458</v>
      </c>
      <c r="D170" t="s">
        <v>3199</v>
      </c>
      <c r="E170" t="s">
        <v>2866</v>
      </c>
      <c r="F170" t="s">
        <v>3810</v>
      </c>
      <c r="G170" t="s">
        <v>5459</v>
      </c>
      <c r="H170" t="s">
        <v>5460</v>
      </c>
      <c r="I170" t="s">
        <v>5461</v>
      </c>
      <c r="J170" t="s">
        <v>5462</v>
      </c>
      <c r="K170" t="s">
        <v>5463</v>
      </c>
      <c r="L170">
        <v>84</v>
      </c>
      <c r="M170" t="s">
        <v>3850</v>
      </c>
      <c r="N170" t="s">
        <v>3851</v>
      </c>
      <c r="O170" t="s">
        <v>3852</v>
      </c>
      <c r="P170" t="s">
        <v>3853</v>
      </c>
      <c r="Q170" t="s">
        <v>3854</v>
      </c>
      <c r="R170" t="s">
        <v>3855</v>
      </c>
      <c r="S170" t="s">
        <v>3856</v>
      </c>
      <c r="T170" t="s">
        <v>4154</v>
      </c>
      <c r="U170">
        <v>2017</v>
      </c>
      <c r="V170">
        <v>37</v>
      </c>
      <c r="W170">
        <v>4</v>
      </c>
      <c r="X170" t="s">
        <v>5464</v>
      </c>
      <c r="Y170" t="str">
        <f>HYPERLINK("http://dx.doi.org/10.1002/joc.4829","http://dx.doi.org/10.1002/joc.4829")</f>
        <v>http://dx.doi.org/10.1002/joc.4829</v>
      </c>
      <c r="Z170" t="s">
        <v>3825</v>
      </c>
      <c r="AA170" t="s">
        <v>3826</v>
      </c>
      <c r="AB170" s="3">
        <v>45672</v>
      </c>
      <c r="AC170" t="s">
        <v>5465</v>
      </c>
      <c r="AD170" t="str">
        <f>HYPERLINK("https%3A%2F%2Fwww.webofscience.com%2Fwos%2Fwoscc%2Ffull-record%2FWOS:000397497700023","View Full Record in Web of Science")</f>
        <v>View Full Record in Web of Science</v>
      </c>
    </row>
    <row r="171" spans="1:30" x14ac:dyDescent="0.35">
      <c r="A171">
        <v>170</v>
      </c>
      <c r="B171" t="s">
        <v>3200</v>
      </c>
      <c r="C171" t="s">
        <v>5466</v>
      </c>
      <c r="D171" t="s">
        <v>3200</v>
      </c>
      <c r="E171" t="s">
        <v>2867</v>
      </c>
      <c r="F171" t="s">
        <v>3810</v>
      </c>
      <c r="G171" t="s">
        <v>5467</v>
      </c>
      <c r="H171" t="s">
        <v>5468</v>
      </c>
      <c r="I171" t="s">
        <v>5469</v>
      </c>
      <c r="J171" t="s">
        <v>5470</v>
      </c>
      <c r="K171" t="s">
        <v>5471</v>
      </c>
      <c r="L171">
        <v>105</v>
      </c>
      <c r="M171" t="s">
        <v>3866</v>
      </c>
      <c r="N171" t="s">
        <v>3817</v>
      </c>
      <c r="O171" t="s">
        <v>4290</v>
      </c>
      <c r="P171" t="s">
        <v>3868</v>
      </c>
      <c r="Q171" t="s">
        <v>3869</v>
      </c>
      <c r="R171" t="s">
        <v>3870</v>
      </c>
      <c r="S171" t="s">
        <v>3871</v>
      </c>
      <c r="T171" t="s">
        <v>3823</v>
      </c>
      <c r="U171">
        <v>2019</v>
      </c>
      <c r="V171">
        <v>52</v>
      </c>
      <c r="W171" t="s">
        <v>4268</v>
      </c>
      <c r="X171" t="s">
        <v>5472</v>
      </c>
      <c r="Y171" t="str">
        <f>HYPERLINK("http://dx.doi.org/10.1007/s00382-018-4193-4","http://dx.doi.org/10.1007/s00382-018-4193-4")</f>
        <v>http://dx.doi.org/10.1007/s00382-018-4193-4</v>
      </c>
      <c r="Z171" t="s">
        <v>3825</v>
      </c>
      <c r="AA171" t="s">
        <v>3826</v>
      </c>
      <c r="AB171" s="3">
        <v>45672</v>
      </c>
      <c r="AC171" t="s">
        <v>5473</v>
      </c>
      <c r="AD171" t="str">
        <f>HYPERLINK("https%3A%2F%2Fwww.webofscience.com%2Fwos%2Fwoscc%2Ffull-record%2FWOS:000460902200002","View Full Record in Web of Science")</f>
        <v>View Full Record in Web of Science</v>
      </c>
    </row>
    <row r="172" spans="1:30" x14ac:dyDescent="0.35">
      <c r="A172">
        <v>171</v>
      </c>
      <c r="B172" t="s">
        <v>3201</v>
      </c>
      <c r="C172" t="s">
        <v>5474</v>
      </c>
      <c r="D172" t="s">
        <v>3201</v>
      </c>
      <c r="E172" t="s">
        <v>2871</v>
      </c>
      <c r="F172" t="s">
        <v>3810</v>
      </c>
      <c r="G172" t="s">
        <v>5475</v>
      </c>
      <c r="H172" t="s">
        <v>5476</v>
      </c>
      <c r="I172" t="s">
        <v>5477</v>
      </c>
      <c r="J172" t="s">
        <v>5478</v>
      </c>
      <c r="K172" t="s">
        <v>5479</v>
      </c>
      <c r="L172">
        <v>17</v>
      </c>
      <c r="M172" t="s">
        <v>3866</v>
      </c>
      <c r="N172" t="s">
        <v>3817</v>
      </c>
      <c r="O172" t="s">
        <v>3867</v>
      </c>
      <c r="P172" t="s">
        <v>3928</v>
      </c>
      <c r="Q172" t="s">
        <v>3929</v>
      </c>
      <c r="R172" t="s">
        <v>3930</v>
      </c>
      <c r="S172" t="s">
        <v>3931</v>
      </c>
      <c r="T172" t="s">
        <v>3932</v>
      </c>
      <c r="U172">
        <v>2015</v>
      </c>
      <c r="V172">
        <v>77</v>
      </c>
      <c r="W172">
        <v>1</v>
      </c>
      <c r="X172" t="s">
        <v>5480</v>
      </c>
      <c r="Y172" t="str">
        <f>HYPERLINK("http://dx.doi.org/10.1007/s11069-014-1582-9","http://dx.doi.org/10.1007/s11069-014-1582-9")</f>
        <v>http://dx.doi.org/10.1007/s11069-014-1582-9</v>
      </c>
      <c r="Z172" t="s">
        <v>3934</v>
      </c>
      <c r="AA172" t="s">
        <v>3826</v>
      </c>
      <c r="AB172" s="3">
        <v>45672</v>
      </c>
      <c r="AC172" t="s">
        <v>5481</v>
      </c>
      <c r="AD172" t="str">
        <f>HYPERLINK("https%3A%2F%2Fwww.webofscience.com%2Fwos%2Fwoscc%2Ffull-record%2FWOS:000352224900004","View Full Record in Web of Science")</f>
        <v>View Full Record in Web of Science</v>
      </c>
    </row>
    <row r="173" spans="1:30" x14ac:dyDescent="0.35">
      <c r="A173">
        <v>172</v>
      </c>
      <c r="B173" t="s">
        <v>3202</v>
      </c>
      <c r="C173" t="s">
        <v>5482</v>
      </c>
      <c r="D173" t="s">
        <v>3202</v>
      </c>
      <c r="E173" t="s">
        <v>2926</v>
      </c>
      <c r="F173" t="s">
        <v>3810</v>
      </c>
      <c r="G173" t="s">
        <v>5483</v>
      </c>
      <c r="H173" t="s">
        <v>5484</v>
      </c>
      <c r="I173" t="s">
        <v>5485</v>
      </c>
      <c r="J173" t="s">
        <v>5486</v>
      </c>
      <c r="K173" t="s">
        <v>5487</v>
      </c>
      <c r="L173">
        <v>1</v>
      </c>
      <c r="M173" t="s">
        <v>3951</v>
      </c>
      <c r="N173" t="s">
        <v>3952</v>
      </c>
      <c r="O173" t="s">
        <v>3953</v>
      </c>
      <c r="P173" t="s">
        <v>5029</v>
      </c>
      <c r="Q173" t="s">
        <v>3808</v>
      </c>
      <c r="R173" t="s">
        <v>5030</v>
      </c>
      <c r="S173" t="s">
        <v>5031</v>
      </c>
      <c r="T173" t="s">
        <v>3872</v>
      </c>
      <c r="U173">
        <v>2022</v>
      </c>
      <c r="V173">
        <v>79</v>
      </c>
      <c r="W173" t="s">
        <v>3808</v>
      </c>
      <c r="X173" t="s">
        <v>5488</v>
      </c>
      <c r="Y173" t="str">
        <f>HYPERLINK("http://dx.doi.org/10.1016/j.ijdrr.2022.103152","http://dx.doi.org/10.1016/j.ijdrr.2022.103152")</f>
        <v>http://dx.doi.org/10.1016/j.ijdrr.2022.103152</v>
      </c>
      <c r="Z173" t="s">
        <v>3934</v>
      </c>
      <c r="AA173" t="s">
        <v>3826</v>
      </c>
      <c r="AB173" s="3">
        <v>45672</v>
      </c>
      <c r="AC173" t="s">
        <v>5489</v>
      </c>
      <c r="AD173" t="str">
        <f>HYPERLINK("https%3A%2F%2Fwww.webofscience.com%2Fwos%2Fwoscc%2Ffull-record%2FWOS:000860661400010","View Full Record in Web of Science")</f>
        <v>View Full Record in Web of Science</v>
      </c>
    </row>
    <row r="174" spans="1:30" x14ac:dyDescent="0.35">
      <c r="A174">
        <v>173</v>
      </c>
      <c r="B174" t="s">
        <v>3203</v>
      </c>
      <c r="C174" t="s">
        <v>5490</v>
      </c>
      <c r="D174" t="s">
        <v>3203</v>
      </c>
      <c r="E174" t="s">
        <v>2894</v>
      </c>
      <c r="F174" t="s">
        <v>3810</v>
      </c>
      <c r="G174" t="s">
        <v>5491</v>
      </c>
      <c r="H174" t="s">
        <v>5492</v>
      </c>
      <c r="I174" t="s">
        <v>5493</v>
      </c>
      <c r="J174" t="s">
        <v>5494</v>
      </c>
      <c r="K174" t="s">
        <v>5495</v>
      </c>
      <c r="L174">
        <v>31</v>
      </c>
      <c r="M174" t="s">
        <v>4252</v>
      </c>
      <c r="N174" t="s">
        <v>4253</v>
      </c>
      <c r="O174" t="s">
        <v>4254</v>
      </c>
      <c r="P174" t="s">
        <v>4255</v>
      </c>
      <c r="Q174" t="s">
        <v>4256</v>
      </c>
      <c r="R174" t="s">
        <v>4257</v>
      </c>
      <c r="S174" t="s">
        <v>4258</v>
      </c>
      <c r="T174" t="s">
        <v>4016</v>
      </c>
      <c r="U174">
        <v>2019</v>
      </c>
      <c r="V174">
        <v>138</v>
      </c>
      <c r="W174" t="s">
        <v>4259</v>
      </c>
      <c r="X174" t="s">
        <v>5496</v>
      </c>
      <c r="Y174" t="str">
        <f>HYPERLINK("http://dx.doi.org/10.1007/s00704-019-02874-0","http://dx.doi.org/10.1007/s00704-019-02874-0")</f>
        <v>http://dx.doi.org/10.1007/s00704-019-02874-0</v>
      </c>
      <c r="Z174" t="s">
        <v>3825</v>
      </c>
      <c r="AA174" t="s">
        <v>3826</v>
      </c>
      <c r="AB174" s="3">
        <v>45672</v>
      </c>
      <c r="AC174" t="s">
        <v>5497</v>
      </c>
      <c r="AD174" t="str">
        <f>HYPERLINK("https%3A%2F%2Fwww.webofscience.com%2Fwos%2Fwoscc%2Ffull-record%2FWOS:000491945900069","View Full Record in Web of Science")</f>
        <v>View Full Record in Web of Science</v>
      </c>
    </row>
    <row r="175" spans="1:30" x14ac:dyDescent="0.35">
      <c r="A175">
        <v>174</v>
      </c>
      <c r="B175" t="s">
        <v>3204</v>
      </c>
      <c r="C175" t="s">
        <v>5498</v>
      </c>
      <c r="D175" t="s">
        <v>3204</v>
      </c>
      <c r="E175" t="s">
        <v>2862</v>
      </c>
      <c r="F175" t="s">
        <v>3810</v>
      </c>
      <c r="G175" t="s">
        <v>5499</v>
      </c>
      <c r="H175" t="s">
        <v>5500</v>
      </c>
      <c r="I175" t="s">
        <v>5501</v>
      </c>
      <c r="J175" t="s">
        <v>5502</v>
      </c>
      <c r="K175" t="s">
        <v>5503</v>
      </c>
      <c r="L175">
        <v>17</v>
      </c>
      <c r="M175" t="s">
        <v>3816</v>
      </c>
      <c r="N175" t="s">
        <v>3817</v>
      </c>
      <c r="O175" t="s">
        <v>3818</v>
      </c>
      <c r="P175" t="s">
        <v>3819</v>
      </c>
      <c r="Q175" t="s">
        <v>3820</v>
      </c>
      <c r="R175" t="s">
        <v>3821</v>
      </c>
      <c r="S175" t="s">
        <v>3822</v>
      </c>
      <c r="T175" t="s">
        <v>4001</v>
      </c>
      <c r="U175">
        <v>2022</v>
      </c>
      <c r="V175">
        <v>265</v>
      </c>
      <c r="W175" t="s">
        <v>3808</v>
      </c>
      <c r="X175" t="s">
        <v>5504</v>
      </c>
      <c r="Y175" t="str">
        <f>HYPERLINK("http://dx.doi.org/10.1016/j.atmosres.2021.105882","http://dx.doi.org/10.1016/j.atmosres.2021.105882")</f>
        <v>http://dx.doi.org/10.1016/j.atmosres.2021.105882</v>
      </c>
      <c r="Z175" t="s">
        <v>3825</v>
      </c>
      <c r="AA175" t="s">
        <v>3826</v>
      </c>
      <c r="AB175" s="3">
        <v>45672</v>
      </c>
      <c r="AC175" t="s">
        <v>5505</v>
      </c>
      <c r="AD175" t="str">
        <f>HYPERLINK("https%3A%2F%2Fwww.webofscience.com%2Fwos%2Fwoscc%2Ffull-record%2FWOS:000715049100001","View Full Record in Web of Science")</f>
        <v>View Full Record in Web of Science</v>
      </c>
    </row>
    <row r="176" spans="1:30" x14ac:dyDescent="0.35">
      <c r="A176">
        <v>175</v>
      </c>
      <c r="B176" t="s">
        <v>3205</v>
      </c>
      <c r="C176" t="s">
        <v>5506</v>
      </c>
      <c r="D176" t="s">
        <v>3205</v>
      </c>
      <c r="E176" t="s">
        <v>2871</v>
      </c>
      <c r="F176" t="s">
        <v>3810</v>
      </c>
      <c r="G176" t="s">
        <v>5507</v>
      </c>
      <c r="H176" t="s">
        <v>5508</v>
      </c>
      <c r="I176" t="s">
        <v>5509</v>
      </c>
      <c r="J176" t="s">
        <v>5510</v>
      </c>
      <c r="K176" t="s">
        <v>5511</v>
      </c>
      <c r="L176">
        <v>14</v>
      </c>
      <c r="M176" t="s">
        <v>3866</v>
      </c>
      <c r="N176" t="s">
        <v>3817</v>
      </c>
      <c r="O176" t="s">
        <v>3867</v>
      </c>
      <c r="P176" t="s">
        <v>3928</v>
      </c>
      <c r="Q176" t="s">
        <v>3929</v>
      </c>
      <c r="R176" t="s">
        <v>3930</v>
      </c>
      <c r="S176" t="s">
        <v>3931</v>
      </c>
      <c r="T176" t="s">
        <v>4114</v>
      </c>
      <c r="U176">
        <v>2016</v>
      </c>
      <c r="V176">
        <v>81</v>
      </c>
      <c r="W176">
        <v>1</v>
      </c>
      <c r="X176" t="s">
        <v>5512</v>
      </c>
      <c r="Y176" t="str">
        <f>HYPERLINK("http://dx.doi.org/10.1007/s11069-015-2082-2","http://dx.doi.org/10.1007/s11069-015-2082-2")</f>
        <v>http://dx.doi.org/10.1007/s11069-015-2082-2</v>
      </c>
      <c r="Z176" t="s">
        <v>3934</v>
      </c>
      <c r="AA176" t="s">
        <v>3826</v>
      </c>
      <c r="AB176" s="3">
        <v>45672</v>
      </c>
      <c r="AC176" t="s">
        <v>5513</v>
      </c>
      <c r="AD176" t="str">
        <f>HYPERLINK("https%3A%2F%2Fwww.webofscience.com%2Fwos%2Fwoscc%2Ffull-record%2FWOS:000370068400017","View Full Record in Web of Science")</f>
        <v>View Full Record in Web of Science</v>
      </c>
    </row>
    <row r="177" spans="1:30" x14ac:dyDescent="0.35">
      <c r="A177">
        <v>176</v>
      </c>
      <c r="B177" t="s">
        <v>3206</v>
      </c>
      <c r="C177" t="s">
        <v>5514</v>
      </c>
      <c r="D177" t="s">
        <v>3206</v>
      </c>
      <c r="E177" t="s">
        <v>2912</v>
      </c>
      <c r="F177" t="s">
        <v>3810</v>
      </c>
      <c r="G177" t="s">
        <v>5515</v>
      </c>
      <c r="H177" t="s">
        <v>5516</v>
      </c>
      <c r="I177" t="s">
        <v>5517</v>
      </c>
      <c r="J177" t="s">
        <v>5518</v>
      </c>
      <c r="K177" t="s">
        <v>5519</v>
      </c>
      <c r="L177">
        <v>7</v>
      </c>
      <c r="M177" t="s">
        <v>4033</v>
      </c>
      <c r="N177" t="s">
        <v>4034</v>
      </c>
      <c r="O177" t="s">
        <v>4035</v>
      </c>
      <c r="P177" t="s">
        <v>4665</v>
      </c>
      <c r="Q177" t="s">
        <v>4666</v>
      </c>
      <c r="R177" t="s">
        <v>4667</v>
      </c>
      <c r="S177" t="s">
        <v>4668</v>
      </c>
      <c r="T177" t="s">
        <v>4016</v>
      </c>
      <c r="U177">
        <v>2020</v>
      </c>
      <c r="V177">
        <v>59</v>
      </c>
      <c r="W177">
        <v>10</v>
      </c>
      <c r="X177" t="s">
        <v>5520</v>
      </c>
      <c r="Y177" t="str">
        <f>HYPERLINK("http://dx.doi.org/10.1175/JAMC-D-20-0021.1","http://dx.doi.org/10.1175/JAMC-D-20-0021.1")</f>
        <v>http://dx.doi.org/10.1175/JAMC-D-20-0021.1</v>
      </c>
      <c r="Z177" t="s">
        <v>3825</v>
      </c>
      <c r="AA177" t="s">
        <v>3826</v>
      </c>
      <c r="AB177" s="3">
        <v>45672</v>
      </c>
      <c r="AC177" t="s">
        <v>5521</v>
      </c>
      <c r="AD177" t="str">
        <f>HYPERLINK("https%3A%2F%2Fwww.webofscience.com%2Fwos%2Fwoscc%2Ffull-record%2FWOS:000589968400011","View Full Record in Web of Science")</f>
        <v>View Full Record in Web of Science</v>
      </c>
    </row>
    <row r="178" spans="1:30" x14ac:dyDescent="0.35">
      <c r="A178">
        <v>177</v>
      </c>
      <c r="B178" t="s">
        <v>3207</v>
      </c>
      <c r="C178" t="s">
        <v>5522</v>
      </c>
      <c r="D178" t="s">
        <v>3207</v>
      </c>
      <c r="E178" t="s">
        <v>2912</v>
      </c>
      <c r="F178" t="s">
        <v>3810</v>
      </c>
      <c r="G178" t="s">
        <v>5523</v>
      </c>
      <c r="H178" t="s">
        <v>5524</v>
      </c>
      <c r="I178" t="s">
        <v>5525</v>
      </c>
      <c r="J178" t="s">
        <v>5526</v>
      </c>
      <c r="K178" t="s">
        <v>5527</v>
      </c>
      <c r="L178">
        <v>31</v>
      </c>
      <c r="M178" t="s">
        <v>4033</v>
      </c>
      <c r="N178" t="s">
        <v>4034</v>
      </c>
      <c r="O178" t="s">
        <v>4035</v>
      </c>
      <c r="P178" t="s">
        <v>4665</v>
      </c>
      <c r="Q178" t="s">
        <v>4666</v>
      </c>
      <c r="R178" t="s">
        <v>4667</v>
      </c>
      <c r="S178" t="s">
        <v>4668</v>
      </c>
      <c r="T178" t="s">
        <v>5045</v>
      </c>
      <c r="U178">
        <v>2016</v>
      </c>
      <c r="V178">
        <v>55</v>
      </c>
      <c r="W178">
        <v>4</v>
      </c>
      <c r="X178" t="s">
        <v>5528</v>
      </c>
      <c r="Y178" t="str">
        <f>HYPERLINK("http://dx.doi.org/10.1175/JAMC-D-15-0214.1","http://dx.doi.org/10.1175/JAMC-D-15-0214.1")</f>
        <v>http://dx.doi.org/10.1175/JAMC-D-15-0214.1</v>
      </c>
      <c r="Z178" t="s">
        <v>3825</v>
      </c>
      <c r="AA178" t="s">
        <v>3826</v>
      </c>
      <c r="AB178" s="3">
        <v>45672</v>
      </c>
      <c r="AC178" t="s">
        <v>5529</v>
      </c>
      <c r="AD178" t="str">
        <f>HYPERLINK("https%3A%2F%2Fwww.webofscience.com%2Fwos%2Fwoscc%2Ffull-record%2FWOS:000376233000001","View Full Record in Web of Science")</f>
        <v>View Full Record in Web of Science</v>
      </c>
    </row>
    <row r="179" spans="1:30" x14ac:dyDescent="0.35">
      <c r="A179">
        <v>178</v>
      </c>
      <c r="B179" t="s">
        <v>3208</v>
      </c>
      <c r="C179" t="s">
        <v>5530</v>
      </c>
      <c r="D179" t="s">
        <v>3208</v>
      </c>
      <c r="E179" t="s">
        <v>2871</v>
      </c>
      <c r="F179" t="s">
        <v>3810</v>
      </c>
      <c r="G179" t="s">
        <v>5531</v>
      </c>
      <c r="H179" t="s">
        <v>5532</v>
      </c>
      <c r="I179" t="s">
        <v>5533</v>
      </c>
      <c r="K179" t="s">
        <v>3808</v>
      </c>
      <c r="L179">
        <v>9</v>
      </c>
      <c r="M179" t="s">
        <v>3866</v>
      </c>
      <c r="N179" t="s">
        <v>3817</v>
      </c>
      <c r="O179" t="s">
        <v>3867</v>
      </c>
      <c r="P179" t="s">
        <v>3928</v>
      </c>
      <c r="Q179" t="s">
        <v>3929</v>
      </c>
      <c r="R179" t="s">
        <v>3930</v>
      </c>
      <c r="S179" t="s">
        <v>3931</v>
      </c>
      <c r="T179" t="s">
        <v>4016</v>
      </c>
      <c r="U179">
        <v>2018</v>
      </c>
      <c r="V179">
        <v>94</v>
      </c>
      <c r="W179">
        <v>1</v>
      </c>
      <c r="X179" t="s">
        <v>5534</v>
      </c>
      <c r="Y179" t="str">
        <f>HYPERLINK("http://dx.doi.org/10.1007/s11069-018-3387-8","http://dx.doi.org/10.1007/s11069-018-3387-8")</f>
        <v>http://dx.doi.org/10.1007/s11069-018-3387-8</v>
      </c>
      <c r="Z179" t="s">
        <v>3934</v>
      </c>
      <c r="AA179" t="s">
        <v>3826</v>
      </c>
      <c r="AB179" s="3">
        <v>45672</v>
      </c>
      <c r="AC179" t="s">
        <v>5535</v>
      </c>
      <c r="AD179" t="str">
        <f>HYPERLINK("https%3A%2F%2Fwww.webofscience.com%2Fwos%2Fwoscc%2Ffull-record%2FWOS:000445112300014","View Full Record in Web of Science")</f>
        <v>View Full Record in Web of Science</v>
      </c>
    </row>
    <row r="180" spans="1:30" x14ac:dyDescent="0.35">
      <c r="A180">
        <v>179</v>
      </c>
      <c r="B180" t="s">
        <v>3209</v>
      </c>
      <c r="C180" t="s">
        <v>5536</v>
      </c>
      <c r="D180" t="s">
        <v>3209</v>
      </c>
      <c r="E180" t="s">
        <v>2941</v>
      </c>
      <c r="F180" t="s">
        <v>3810</v>
      </c>
      <c r="G180" t="s">
        <v>5537</v>
      </c>
      <c r="H180" t="s">
        <v>5538</v>
      </c>
      <c r="I180" t="s">
        <v>5539</v>
      </c>
      <c r="J180" t="s">
        <v>5540</v>
      </c>
      <c r="K180" t="s">
        <v>5541</v>
      </c>
      <c r="L180">
        <v>1</v>
      </c>
      <c r="M180" t="s">
        <v>5542</v>
      </c>
      <c r="N180" t="s">
        <v>5143</v>
      </c>
      <c r="O180" t="s">
        <v>5543</v>
      </c>
      <c r="P180" t="s">
        <v>5544</v>
      </c>
      <c r="Q180" t="s">
        <v>5545</v>
      </c>
      <c r="R180" t="s">
        <v>5546</v>
      </c>
      <c r="S180" t="s">
        <v>5547</v>
      </c>
      <c r="T180" t="s">
        <v>4163</v>
      </c>
      <c r="U180">
        <v>2021</v>
      </c>
      <c r="V180">
        <v>54</v>
      </c>
      <c r="W180">
        <v>6</v>
      </c>
      <c r="X180" t="s">
        <v>5548</v>
      </c>
      <c r="Y180" t="str">
        <f>HYPERLINK("http://dx.doi.org/10.9719/EEG.2021.54.6.649","http://dx.doi.org/10.9719/EEG.2021.54.6.649")</f>
        <v>http://dx.doi.org/10.9719/EEG.2021.54.6.649</v>
      </c>
      <c r="Z180" t="s">
        <v>3973</v>
      </c>
      <c r="AA180" t="s">
        <v>4117</v>
      </c>
      <c r="AB180" s="3">
        <v>45672</v>
      </c>
      <c r="AC180" t="s">
        <v>5549</v>
      </c>
      <c r="AD180" t="str">
        <f>HYPERLINK("https%3A%2F%2Fwww.webofscience.com%2Fwos%2Fwoscc%2Ffull-record%2FWOS:000744193400001","View Full Record in Web of Science")</f>
        <v>View Full Record in Web of Science</v>
      </c>
    </row>
    <row r="181" spans="1:30" x14ac:dyDescent="0.35">
      <c r="A181">
        <v>180</v>
      </c>
      <c r="B181" t="s">
        <v>3210</v>
      </c>
      <c r="C181" t="s">
        <v>5550</v>
      </c>
      <c r="D181" t="s">
        <v>3210</v>
      </c>
      <c r="E181" t="s">
        <v>2942</v>
      </c>
      <c r="F181" t="s">
        <v>3810</v>
      </c>
      <c r="G181" t="s">
        <v>5551</v>
      </c>
      <c r="H181" t="s">
        <v>5552</v>
      </c>
      <c r="I181" t="s">
        <v>5553</v>
      </c>
      <c r="K181" t="s">
        <v>3808</v>
      </c>
      <c r="L181">
        <v>1</v>
      </c>
      <c r="M181" t="s">
        <v>5554</v>
      </c>
      <c r="N181" t="s">
        <v>4378</v>
      </c>
      <c r="O181" t="s">
        <v>5555</v>
      </c>
      <c r="P181" t="s">
        <v>5556</v>
      </c>
      <c r="Q181" t="s">
        <v>5557</v>
      </c>
      <c r="R181" t="s">
        <v>5558</v>
      </c>
      <c r="S181" t="s">
        <v>5559</v>
      </c>
      <c r="T181" t="s">
        <v>4163</v>
      </c>
      <c r="U181">
        <v>2023</v>
      </c>
      <c r="V181">
        <v>18</v>
      </c>
      <c r="W181">
        <v>8</v>
      </c>
      <c r="X181" t="s">
        <v>5560</v>
      </c>
      <c r="Y181" t="str">
        <f>HYPERLINK("http://dx.doi.org/10.20965/jdr.2023.p0877","http://dx.doi.org/10.20965/jdr.2023.p0877")</f>
        <v>http://dx.doi.org/10.20965/jdr.2023.p0877</v>
      </c>
      <c r="Z181" t="s">
        <v>4116</v>
      </c>
      <c r="AA181" t="s">
        <v>4117</v>
      </c>
      <c r="AB181" s="3">
        <v>45672</v>
      </c>
      <c r="AC181" t="s">
        <v>5561</v>
      </c>
      <c r="AD181" t="str">
        <f>HYPERLINK("https%3A%2F%2Fwww.webofscience.com%2Fwos%2Fwoscc%2Ffull-record%2FWOS:001114602400010","View Full Record in Web of Science")</f>
        <v>View Full Record in Web of Science</v>
      </c>
    </row>
    <row r="182" spans="1:30" x14ac:dyDescent="0.35">
      <c r="A182">
        <v>181</v>
      </c>
      <c r="B182" t="s">
        <v>3211</v>
      </c>
      <c r="C182" t="s">
        <v>5562</v>
      </c>
      <c r="D182" t="s">
        <v>3211</v>
      </c>
      <c r="E182" t="s">
        <v>2913</v>
      </c>
      <c r="F182" t="s">
        <v>3810</v>
      </c>
      <c r="G182" t="s">
        <v>5563</v>
      </c>
      <c r="H182" t="s">
        <v>5564</v>
      </c>
      <c r="I182" t="s">
        <v>5565</v>
      </c>
      <c r="J182" t="s">
        <v>5566</v>
      </c>
      <c r="K182" t="s">
        <v>5567</v>
      </c>
      <c r="L182">
        <v>14</v>
      </c>
      <c r="M182" t="s">
        <v>4377</v>
      </c>
      <c r="N182" t="s">
        <v>4378</v>
      </c>
      <c r="O182" t="s">
        <v>4379</v>
      </c>
      <c r="P182" t="s">
        <v>4691</v>
      </c>
      <c r="Q182" t="s">
        <v>3808</v>
      </c>
      <c r="R182" t="s">
        <v>2913</v>
      </c>
      <c r="S182" t="s">
        <v>2913</v>
      </c>
      <c r="T182" t="s">
        <v>3808</v>
      </c>
      <c r="U182">
        <v>2017</v>
      </c>
      <c r="V182">
        <v>13</v>
      </c>
      <c r="W182" t="s">
        <v>3808</v>
      </c>
      <c r="X182" t="s">
        <v>5568</v>
      </c>
      <c r="Y182" t="str">
        <f>HYPERLINK("http://dx.doi.org/10.2151/sola.2017-021","http://dx.doi.org/10.2151/sola.2017-021")</f>
        <v>http://dx.doi.org/10.2151/sola.2017-021</v>
      </c>
      <c r="Z182" t="s">
        <v>3825</v>
      </c>
      <c r="AA182" t="s">
        <v>3826</v>
      </c>
      <c r="AB182" s="3">
        <v>45672</v>
      </c>
      <c r="AC182" t="s">
        <v>5569</v>
      </c>
      <c r="AD182" t="str">
        <f>HYPERLINK("https%3A%2F%2Fwww.webofscience.com%2Fwos%2Fwoscc%2Ffull-record%2FWOS:000404779700001","View Full Record in Web of Science")</f>
        <v>View Full Record in Web of Science</v>
      </c>
    </row>
    <row r="183" spans="1:30" x14ac:dyDescent="0.35">
      <c r="A183">
        <v>182</v>
      </c>
      <c r="B183" t="s">
        <v>3212</v>
      </c>
      <c r="C183" t="s">
        <v>5570</v>
      </c>
      <c r="D183" t="s">
        <v>3212</v>
      </c>
      <c r="E183" t="s">
        <v>2927</v>
      </c>
      <c r="F183" t="s">
        <v>3810</v>
      </c>
      <c r="G183" t="s">
        <v>5571</v>
      </c>
      <c r="H183" t="s">
        <v>5572</v>
      </c>
      <c r="I183" t="s">
        <v>5573</v>
      </c>
      <c r="J183" t="s">
        <v>5574</v>
      </c>
      <c r="K183" t="s">
        <v>5575</v>
      </c>
      <c r="L183">
        <v>9</v>
      </c>
      <c r="M183" t="s">
        <v>4339</v>
      </c>
      <c r="N183" t="s">
        <v>4340</v>
      </c>
      <c r="O183" t="s">
        <v>4341</v>
      </c>
      <c r="P183" t="s">
        <v>5108</v>
      </c>
      <c r="Q183" t="s">
        <v>5109</v>
      </c>
      <c r="R183" t="s">
        <v>5110</v>
      </c>
      <c r="S183" t="s">
        <v>5111</v>
      </c>
      <c r="T183" t="s">
        <v>4723</v>
      </c>
      <c r="U183">
        <v>2023</v>
      </c>
      <c r="V183">
        <v>27</v>
      </c>
      <c r="W183">
        <v>11</v>
      </c>
      <c r="X183" t="s">
        <v>5576</v>
      </c>
      <c r="Y183" t="str">
        <f>HYPERLINK("http://dx.doi.org/10.5194/hess-27-2257-2023","http://dx.doi.org/10.5194/hess-27-2257-2023")</f>
        <v>http://dx.doi.org/10.5194/hess-27-2257-2023</v>
      </c>
      <c r="Z183" t="s">
        <v>4231</v>
      </c>
      <c r="AA183" t="s">
        <v>3826</v>
      </c>
      <c r="AB183" s="3">
        <v>45672</v>
      </c>
      <c r="AC183" t="s">
        <v>5577</v>
      </c>
      <c r="AD183" t="str">
        <f>HYPERLINK("https%3A%2F%2Fwww.webofscience.com%2Fwos%2Fwoscc%2Ffull-record%2FWOS:001010572600001","View Full Record in Web of Science")</f>
        <v>View Full Record in Web of Science</v>
      </c>
    </row>
    <row r="184" spans="1:30" x14ac:dyDescent="0.35">
      <c r="A184">
        <v>183</v>
      </c>
      <c r="B184" t="s">
        <v>3213</v>
      </c>
      <c r="C184" t="s">
        <v>5578</v>
      </c>
      <c r="D184" t="s">
        <v>3213</v>
      </c>
      <c r="E184" t="s">
        <v>2872</v>
      </c>
      <c r="F184" t="s">
        <v>3810</v>
      </c>
      <c r="G184" t="s">
        <v>5579</v>
      </c>
      <c r="H184" t="s">
        <v>5580</v>
      </c>
      <c r="I184" t="s">
        <v>5581</v>
      </c>
      <c r="J184" t="s">
        <v>5582</v>
      </c>
      <c r="K184" t="s">
        <v>5583</v>
      </c>
      <c r="L184">
        <v>26</v>
      </c>
      <c r="M184" t="s">
        <v>3951</v>
      </c>
      <c r="N184" t="s">
        <v>3952</v>
      </c>
      <c r="O184" t="s">
        <v>3953</v>
      </c>
      <c r="P184" t="s">
        <v>3954</v>
      </c>
      <c r="Q184" t="s">
        <v>3955</v>
      </c>
      <c r="R184" t="s">
        <v>3956</v>
      </c>
      <c r="S184" t="s">
        <v>3957</v>
      </c>
      <c r="T184" t="s">
        <v>4137</v>
      </c>
      <c r="U184">
        <v>2021</v>
      </c>
      <c r="V184">
        <v>599</v>
      </c>
      <c r="W184" t="s">
        <v>3808</v>
      </c>
      <c r="X184" t="s">
        <v>5584</v>
      </c>
      <c r="Y184" t="str">
        <f>HYPERLINK("http://dx.doi.org/10.1016/j.jhydrol.2021.126291","http://dx.doi.org/10.1016/j.jhydrol.2021.126291")</f>
        <v>http://dx.doi.org/10.1016/j.jhydrol.2021.126291</v>
      </c>
      <c r="Z184" t="s">
        <v>3960</v>
      </c>
      <c r="AA184" t="s">
        <v>3826</v>
      </c>
      <c r="AB184" s="3">
        <v>45672</v>
      </c>
      <c r="AC184" t="s">
        <v>5585</v>
      </c>
      <c r="AD184" t="str">
        <f>HYPERLINK("https%3A%2F%2Fwww.webofscience.com%2Fwos%2Fwoscc%2Ffull-record%2FWOS:000673486000026","View Full Record in Web of Science")</f>
        <v>View Full Record in Web of Science</v>
      </c>
    </row>
    <row r="185" spans="1:30" x14ac:dyDescent="0.35">
      <c r="A185">
        <v>184</v>
      </c>
      <c r="B185" t="s">
        <v>3214</v>
      </c>
      <c r="C185" t="s">
        <v>5586</v>
      </c>
      <c r="D185" t="s">
        <v>3214</v>
      </c>
      <c r="E185" t="s">
        <v>2924</v>
      </c>
      <c r="F185" t="s">
        <v>3810</v>
      </c>
      <c r="G185" t="s">
        <v>5587</v>
      </c>
      <c r="H185" t="s">
        <v>5588</v>
      </c>
      <c r="I185" t="s">
        <v>5589</v>
      </c>
      <c r="J185" t="s">
        <v>5590</v>
      </c>
      <c r="K185" t="s">
        <v>5591</v>
      </c>
      <c r="L185">
        <v>10</v>
      </c>
      <c r="M185" t="s">
        <v>3911</v>
      </c>
      <c r="N185" t="s">
        <v>3912</v>
      </c>
      <c r="O185" t="s">
        <v>3913</v>
      </c>
      <c r="P185" t="s">
        <v>4965</v>
      </c>
      <c r="Q185" t="s">
        <v>4966</v>
      </c>
      <c r="R185" t="s">
        <v>4967</v>
      </c>
      <c r="S185" t="s">
        <v>4968</v>
      </c>
      <c r="T185" t="s">
        <v>5592</v>
      </c>
      <c r="U185">
        <v>2017</v>
      </c>
      <c r="V185">
        <v>44</v>
      </c>
      <c r="W185">
        <v>13</v>
      </c>
      <c r="X185" t="s">
        <v>5593</v>
      </c>
      <c r="Y185" t="str">
        <f>HYPERLINK("http://dx.doi.org/10.1002/2017GL073573","http://dx.doi.org/10.1002/2017GL073573")</f>
        <v>http://dx.doi.org/10.1002/2017GL073573</v>
      </c>
      <c r="Z185" t="s">
        <v>4116</v>
      </c>
      <c r="AA185" t="s">
        <v>3826</v>
      </c>
      <c r="AB185" s="3">
        <v>45672</v>
      </c>
      <c r="AC185" t="s">
        <v>5594</v>
      </c>
      <c r="AD185" t="str">
        <f>HYPERLINK("https%3A%2F%2Fwww.webofscience.com%2Fwos%2Fwoscc%2Ffull-record%2FWOS:000406257400050","View Full Record in Web of Science")</f>
        <v>View Full Record in Web of Science</v>
      </c>
    </row>
    <row r="186" spans="1:30" x14ac:dyDescent="0.35">
      <c r="A186">
        <v>185</v>
      </c>
      <c r="B186" t="s">
        <v>3215</v>
      </c>
      <c r="C186" t="s">
        <v>5595</v>
      </c>
      <c r="D186" t="s">
        <v>3215</v>
      </c>
      <c r="E186" t="s">
        <v>2867</v>
      </c>
      <c r="F186" t="s">
        <v>3810</v>
      </c>
      <c r="G186" t="s">
        <v>5596</v>
      </c>
      <c r="H186" t="s">
        <v>5597</v>
      </c>
      <c r="I186" t="s">
        <v>5598</v>
      </c>
      <c r="J186" t="s">
        <v>5599</v>
      </c>
      <c r="K186" t="s">
        <v>5600</v>
      </c>
      <c r="L186">
        <v>13</v>
      </c>
      <c r="M186" t="s">
        <v>3866</v>
      </c>
      <c r="N186" t="s">
        <v>3817</v>
      </c>
      <c r="O186" t="s">
        <v>3867</v>
      </c>
      <c r="P186" t="s">
        <v>3868</v>
      </c>
      <c r="Q186" t="s">
        <v>3869</v>
      </c>
      <c r="R186" t="s">
        <v>3870</v>
      </c>
      <c r="S186" t="s">
        <v>3871</v>
      </c>
      <c r="T186" t="s">
        <v>4114</v>
      </c>
      <c r="U186">
        <v>2021</v>
      </c>
      <c r="V186">
        <v>56</v>
      </c>
      <c r="W186" t="s">
        <v>3873</v>
      </c>
      <c r="X186" t="s">
        <v>5601</v>
      </c>
      <c r="Y186" t="str">
        <f>HYPERLINK("http://dx.doi.org/10.1007/s00382-020-05553-3","http://dx.doi.org/10.1007/s00382-020-05553-3")</f>
        <v>http://dx.doi.org/10.1007/s00382-020-05553-3</v>
      </c>
      <c r="Z186" t="s">
        <v>3825</v>
      </c>
      <c r="AA186" t="s">
        <v>3826</v>
      </c>
      <c r="AB186" s="3">
        <v>45672</v>
      </c>
      <c r="AC186" t="s">
        <v>5602</v>
      </c>
      <c r="AD186" t="str">
        <f>HYPERLINK("https%3A%2F%2Fwww.webofscience.com%2Fwos%2Fwoscc%2Ffull-record%2FWOS:000604528600003","View Full Record in Web of Science")</f>
        <v>View Full Record in Web of Science</v>
      </c>
    </row>
    <row r="187" spans="1:30" x14ac:dyDescent="0.35">
      <c r="A187">
        <v>186</v>
      </c>
      <c r="B187" t="s">
        <v>3216</v>
      </c>
      <c r="C187" t="s">
        <v>794</v>
      </c>
      <c r="D187" t="s">
        <v>3216</v>
      </c>
      <c r="E187" t="s">
        <v>2896</v>
      </c>
      <c r="F187" t="s">
        <v>3810</v>
      </c>
      <c r="G187" t="s">
        <v>5603</v>
      </c>
      <c r="H187" t="s">
        <v>5604</v>
      </c>
      <c r="I187" t="s">
        <v>5605</v>
      </c>
      <c r="J187" t="s">
        <v>5606</v>
      </c>
      <c r="K187" t="s">
        <v>5607</v>
      </c>
      <c r="L187">
        <v>28</v>
      </c>
      <c r="M187" t="s">
        <v>4277</v>
      </c>
      <c r="N187" t="s">
        <v>4278</v>
      </c>
      <c r="O187" t="s">
        <v>4279</v>
      </c>
      <c r="P187" t="s">
        <v>3808</v>
      </c>
      <c r="Q187" t="s">
        <v>4280</v>
      </c>
      <c r="R187" t="s">
        <v>2896</v>
      </c>
      <c r="S187" t="s">
        <v>4281</v>
      </c>
      <c r="T187" t="s">
        <v>4137</v>
      </c>
      <c r="U187">
        <v>2019</v>
      </c>
      <c r="V187">
        <v>7</v>
      </c>
      <c r="W187">
        <v>8</v>
      </c>
      <c r="X187" t="s">
        <v>5608</v>
      </c>
      <c r="Y187" t="str">
        <f>HYPERLINK("http://dx.doi.org/10.3390/cli7080095","http://dx.doi.org/10.3390/cli7080095")</f>
        <v>http://dx.doi.org/10.3390/cli7080095</v>
      </c>
      <c r="Z187" t="s">
        <v>3825</v>
      </c>
      <c r="AA187" t="s">
        <v>4117</v>
      </c>
      <c r="AB187" s="3">
        <v>45672</v>
      </c>
      <c r="AC187" t="s">
        <v>5609</v>
      </c>
      <c r="AD187" t="str">
        <f>HYPERLINK("https%3A%2F%2Fwww.webofscience.com%2Fwos%2Fwoscc%2Ffull-record%2FWOS:000482938800001","View Full Record in Web of Science")</f>
        <v>View Full Record in Web of Science</v>
      </c>
    </row>
    <row r="188" spans="1:30" x14ac:dyDescent="0.35">
      <c r="A188">
        <v>187</v>
      </c>
      <c r="B188" t="s">
        <v>3217</v>
      </c>
      <c r="C188" t="s">
        <v>5610</v>
      </c>
      <c r="D188" t="s">
        <v>3217</v>
      </c>
      <c r="E188" t="s">
        <v>2900</v>
      </c>
      <c r="F188" t="s">
        <v>3810</v>
      </c>
      <c r="G188" t="s">
        <v>5611</v>
      </c>
      <c r="H188" t="s">
        <v>5612</v>
      </c>
      <c r="I188" t="s">
        <v>5613</v>
      </c>
      <c r="J188" t="s">
        <v>5614</v>
      </c>
      <c r="K188" t="s">
        <v>5615</v>
      </c>
      <c r="L188">
        <v>2</v>
      </c>
      <c r="M188" t="s">
        <v>4339</v>
      </c>
      <c r="N188" t="s">
        <v>4340</v>
      </c>
      <c r="O188" t="s">
        <v>4341</v>
      </c>
      <c r="P188" t="s">
        <v>4342</v>
      </c>
      <c r="Q188" t="s">
        <v>4343</v>
      </c>
      <c r="R188" t="s">
        <v>4344</v>
      </c>
      <c r="S188" t="s">
        <v>4345</v>
      </c>
      <c r="T188" t="s">
        <v>5616</v>
      </c>
      <c r="U188">
        <v>2021</v>
      </c>
      <c r="V188">
        <v>21</v>
      </c>
      <c r="W188">
        <v>5</v>
      </c>
      <c r="X188" t="s">
        <v>5617</v>
      </c>
      <c r="Y188" t="str">
        <f>HYPERLINK("http://dx.doi.org/10.5194/nhess-21-1551-2021","http://dx.doi.org/10.5194/nhess-21-1551-2021")</f>
        <v>http://dx.doi.org/10.5194/nhess-21-1551-2021</v>
      </c>
      <c r="Z188" t="s">
        <v>3934</v>
      </c>
      <c r="AA188" t="s">
        <v>3826</v>
      </c>
      <c r="AB188" s="3">
        <v>45672</v>
      </c>
      <c r="AC188" t="s">
        <v>5618</v>
      </c>
      <c r="AD188" t="str">
        <f>HYPERLINK("https%3A%2F%2Fwww.webofscience.com%2Fwos%2Fwoscc%2Ffull-record%2FWOS:000655297100001","View Full Record in Web of Science")</f>
        <v>View Full Record in Web of Science</v>
      </c>
    </row>
    <row r="189" spans="1:30" x14ac:dyDescent="0.35">
      <c r="A189">
        <v>188</v>
      </c>
      <c r="B189" t="s">
        <v>3218</v>
      </c>
      <c r="C189" t="s">
        <v>5619</v>
      </c>
      <c r="D189" t="s">
        <v>3218</v>
      </c>
      <c r="E189" t="s">
        <v>2914</v>
      </c>
      <c r="F189" t="s">
        <v>3810</v>
      </c>
      <c r="G189" t="s">
        <v>5620</v>
      </c>
      <c r="H189" t="s">
        <v>5621</v>
      </c>
      <c r="I189" t="s">
        <v>5622</v>
      </c>
      <c r="J189" t="s">
        <v>5623</v>
      </c>
      <c r="K189" t="s">
        <v>5624</v>
      </c>
      <c r="L189">
        <v>11</v>
      </c>
      <c r="M189" t="s">
        <v>3951</v>
      </c>
      <c r="N189" t="s">
        <v>3952</v>
      </c>
      <c r="O189" t="s">
        <v>3953</v>
      </c>
      <c r="P189" t="s">
        <v>4701</v>
      </c>
      <c r="Q189" t="s">
        <v>4702</v>
      </c>
      <c r="R189" t="s">
        <v>4703</v>
      </c>
      <c r="S189" t="s">
        <v>4704</v>
      </c>
      <c r="T189" t="s">
        <v>4137</v>
      </c>
      <c r="U189">
        <v>2020</v>
      </c>
      <c r="V189">
        <v>426</v>
      </c>
      <c r="W189" t="s">
        <v>3808</v>
      </c>
      <c r="X189" t="s">
        <v>5625</v>
      </c>
      <c r="Y189" t="str">
        <f>HYPERLINK("http://dx.doi.org/10.1016/j.margeo.2020.106209","http://dx.doi.org/10.1016/j.margeo.2020.106209")</f>
        <v>http://dx.doi.org/10.1016/j.margeo.2020.106209</v>
      </c>
      <c r="Z189" t="s">
        <v>4707</v>
      </c>
      <c r="AA189" t="s">
        <v>3826</v>
      </c>
      <c r="AB189" s="3">
        <v>45672</v>
      </c>
      <c r="AC189" t="s">
        <v>5626</v>
      </c>
      <c r="AD189" t="str">
        <f>HYPERLINK("https%3A%2F%2Fwww.webofscience.com%2Fwos%2Fwoscc%2Ffull-record%2FWOS:000540488000009","View Full Record in Web of Science")</f>
        <v>View Full Record in Web of Science</v>
      </c>
    </row>
    <row r="190" spans="1:30" x14ac:dyDescent="0.35">
      <c r="A190">
        <v>189</v>
      </c>
      <c r="B190" t="s">
        <v>3219</v>
      </c>
      <c r="C190" t="s">
        <v>5627</v>
      </c>
      <c r="D190" t="s">
        <v>3219</v>
      </c>
      <c r="E190" t="s">
        <v>2894</v>
      </c>
      <c r="F190" t="s">
        <v>3810</v>
      </c>
      <c r="G190" t="s">
        <v>5628</v>
      </c>
      <c r="H190" t="s">
        <v>5629</v>
      </c>
      <c r="I190" t="s">
        <v>5630</v>
      </c>
      <c r="J190" t="s">
        <v>5631</v>
      </c>
      <c r="K190" t="s">
        <v>5632</v>
      </c>
      <c r="L190">
        <v>9</v>
      </c>
      <c r="M190" t="s">
        <v>4252</v>
      </c>
      <c r="N190" t="s">
        <v>4253</v>
      </c>
      <c r="O190" t="s">
        <v>4254</v>
      </c>
      <c r="P190" t="s">
        <v>4255</v>
      </c>
      <c r="Q190" t="s">
        <v>4256</v>
      </c>
      <c r="R190" t="s">
        <v>4257</v>
      </c>
      <c r="S190" t="s">
        <v>4258</v>
      </c>
      <c r="T190" t="s">
        <v>3918</v>
      </c>
      <c r="U190">
        <v>2022</v>
      </c>
      <c r="V190">
        <v>149</v>
      </c>
      <c r="W190" t="s">
        <v>4259</v>
      </c>
      <c r="X190" t="s">
        <v>5633</v>
      </c>
      <c r="Y190" t="str">
        <f>HYPERLINK("http://dx.doi.org/10.1007/s00704-022-04076-7","http://dx.doi.org/10.1007/s00704-022-04076-7")</f>
        <v>http://dx.doi.org/10.1007/s00704-022-04076-7</v>
      </c>
      <c r="Z190" t="s">
        <v>3825</v>
      </c>
      <c r="AA190" t="s">
        <v>3826</v>
      </c>
      <c r="AB190" s="3">
        <v>45672</v>
      </c>
      <c r="AC190" t="s">
        <v>5634</v>
      </c>
      <c r="AD190" t="str">
        <f>HYPERLINK("https%3A%2F%2Fwww.webofscience.com%2Fwos%2Fwoscc%2Ffull-record%2FWOS:000791865400002","View Full Record in Web of Science")</f>
        <v>View Full Record in Web of Science</v>
      </c>
    </row>
    <row r="191" spans="1:30" x14ac:dyDescent="0.35">
      <c r="A191">
        <v>190</v>
      </c>
      <c r="B191" t="s">
        <v>3220</v>
      </c>
      <c r="C191" t="s">
        <v>5635</v>
      </c>
      <c r="D191" t="s">
        <v>3220</v>
      </c>
      <c r="E191" t="s">
        <v>2867</v>
      </c>
      <c r="F191" t="s">
        <v>3810</v>
      </c>
      <c r="G191" t="s">
        <v>5636</v>
      </c>
      <c r="H191" t="s">
        <v>5637</v>
      </c>
      <c r="I191" t="s">
        <v>5638</v>
      </c>
      <c r="J191" t="s">
        <v>5639</v>
      </c>
      <c r="K191" t="s">
        <v>5640</v>
      </c>
      <c r="L191">
        <v>6</v>
      </c>
      <c r="M191" t="s">
        <v>3866</v>
      </c>
      <c r="N191" t="s">
        <v>3817</v>
      </c>
      <c r="O191" t="s">
        <v>3867</v>
      </c>
      <c r="P191" t="s">
        <v>3868</v>
      </c>
      <c r="Q191" t="s">
        <v>3869</v>
      </c>
      <c r="R191" t="s">
        <v>3870</v>
      </c>
      <c r="S191" t="s">
        <v>3871</v>
      </c>
      <c r="T191" t="s">
        <v>4163</v>
      </c>
      <c r="U191">
        <v>2021</v>
      </c>
      <c r="V191">
        <v>57</v>
      </c>
      <c r="W191" t="s">
        <v>4483</v>
      </c>
      <c r="X191" t="s">
        <v>5641</v>
      </c>
      <c r="Y191" t="str">
        <f>HYPERLINK("http://dx.doi.org/10.1007/s00382-021-05851-4","http://dx.doi.org/10.1007/s00382-021-05851-4")</f>
        <v>http://dx.doi.org/10.1007/s00382-021-05851-4</v>
      </c>
      <c r="Z191" t="s">
        <v>3825</v>
      </c>
      <c r="AA191" t="s">
        <v>3826</v>
      </c>
      <c r="AB191" s="3">
        <v>45672</v>
      </c>
      <c r="AC191" t="s">
        <v>5642</v>
      </c>
      <c r="AD191" t="str">
        <f>HYPERLINK("https%3A%2F%2Fwww.webofscience.com%2Fwos%2Fwoscc%2Ffull-record%2FWOS:000668850700001","View Full Record in Web of Science")</f>
        <v>View Full Record in Web of Science</v>
      </c>
    </row>
    <row r="192" spans="1:30" x14ac:dyDescent="0.35">
      <c r="A192">
        <v>191</v>
      </c>
      <c r="B192" t="s">
        <v>3221</v>
      </c>
      <c r="C192" t="s">
        <v>5643</v>
      </c>
      <c r="D192" t="s">
        <v>3221</v>
      </c>
      <c r="E192" t="s">
        <v>2866</v>
      </c>
      <c r="F192" t="s">
        <v>3810</v>
      </c>
      <c r="G192" t="s">
        <v>5644</v>
      </c>
      <c r="H192" t="s">
        <v>5645</v>
      </c>
      <c r="I192" t="s">
        <v>5646</v>
      </c>
      <c r="J192" t="s">
        <v>3808</v>
      </c>
      <c r="K192" t="s">
        <v>3808</v>
      </c>
      <c r="L192">
        <v>57</v>
      </c>
      <c r="M192" t="s">
        <v>3850</v>
      </c>
      <c r="N192" t="s">
        <v>3851</v>
      </c>
      <c r="O192" t="s">
        <v>3852</v>
      </c>
      <c r="P192" t="s">
        <v>3853</v>
      </c>
      <c r="Q192" t="s">
        <v>3854</v>
      </c>
      <c r="R192" t="s">
        <v>3855</v>
      </c>
      <c r="S192" t="s">
        <v>3856</v>
      </c>
      <c r="T192" t="s">
        <v>4163</v>
      </c>
      <c r="U192">
        <v>2016</v>
      </c>
      <c r="V192">
        <v>36</v>
      </c>
      <c r="W192">
        <v>15</v>
      </c>
      <c r="X192" t="s">
        <v>5647</v>
      </c>
      <c r="Y192" t="str">
        <f>HYPERLINK("http://dx.doi.org/10.1002/joc.4672","http://dx.doi.org/10.1002/joc.4672")</f>
        <v>http://dx.doi.org/10.1002/joc.4672</v>
      </c>
      <c r="Z192" t="s">
        <v>3825</v>
      </c>
      <c r="AA192" t="s">
        <v>3826</v>
      </c>
      <c r="AB192" s="3">
        <v>45672</v>
      </c>
      <c r="AC192" t="s">
        <v>5648</v>
      </c>
      <c r="AD192" t="str">
        <f>HYPERLINK("https%3A%2F%2Fwww.webofscience.com%2Fwos%2Fwoscc%2Ffull-record%2FWOS:000389310400013","View Full Record in Web of Science")</f>
        <v>View Full Record in Web of Science</v>
      </c>
    </row>
    <row r="193" spans="1:30" x14ac:dyDescent="0.35">
      <c r="A193">
        <v>192</v>
      </c>
      <c r="B193" t="s">
        <v>3222</v>
      </c>
      <c r="C193" t="s">
        <v>5649</v>
      </c>
      <c r="D193" t="s">
        <v>3222</v>
      </c>
      <c r="E193" t="s">
        <v>2866</v>
      </c>
      <c r="F193" t="s">
        <v>3810</v>
      </c>
      <c r="G193" t="s">
        <v>5650</v>
      </c>
      <c r="H193" t="s">
        <v>5651</v>
      </c>
      <c r="I193" t="s">
        <v>5652</v>
      </c>
      <c r="K193" t="s">
        <v>3808</v>
      </c>
      <c r="L193">
        <v>53</v>
      </c>
      <c r="M193" t="s">
        <v>3850</v>
      </c>
      <c r="N193" t="s">
        <v>3851</v>
      </c>
      <c r="O193" t="s">
        <v>3852</v>
      </c>
      <c r="P193" t="s">
        <v>3853</v>
      </c>
      <c r="Q193" t="s">
        <v>3854</v>
      </c>
      <c r="R193" t="s">
        <v>3855</v>
      </c>
      <c r="S193" t="s">
        <v>3856</v>
      </c>
      <c r="T193" t="s">
        <v>4154</v>
      </c>
      <c r="U193">
        <v>2018</v>
      </c>
      <c r="V193">
        <v>38</v>
      </c>
      <c r="W193">
        <v>4</v>
      </c>
      <c r="X193" t="s">
        <v>5653</v>
      </c>
      <c r="Y193" t="str">
        <f>HYPERLINK("http://dx.doi.org/10.1002/joc.5317","http://dx.doi.org/10.1002/joc.5317")</f>
        <v>http://dx.doi.org/10.1002/joc.5317</v>
      </c>
      <c r="Z193" t="s">
        <v>3825</v>
      </c>
      <c r="AA193" t="s">
        <v>3826</v>
      </c>
      <c r="AB193" s="3">
        <v>45672</v>
      </c>
      <c r="AC193" t="s">
        <v>5654</v>
      </c>
      <c r="AD193" t="str">
        <f>HYPERLINK("https%3A%2F%2Fwww.webofscience.com%2Fwos%2Fwoscc%2Ffull-record%2FWOS:000427011700034","View Full Record in Web of Science")</f>
        <v>View Full Record in Web of Science</v>
      </c>
    </row>
    <row r="194" spans="1:30" x14ac:dyDescent="0.35">
      <c r="A194">
        <v>193</v>
      </c>
      <c r="B194" t="s">
        <v>3223</v>
      </c>
      <c r="C194" t="s">
        <v>5655</v>
      </c>
      <c r="D194" t="s">
        <v>3223</v>
      </c>
      <c r="E194" t="s">
        <v>2919</v>
      </c>
      <c r="F194" t="s">
        <v>3810</v>
      </c>
      <c r="G194" t="s">
        <v>5656</v>
      </c>
      <c r="H194" t="s">
        <v>5657</v>
      </c>
      <c r="I194" t="s">
        <v>5658</v>
      </c>
      <c r="J194" t="s">
        <v>5659</v>
      </c>
      <c r="K194" t="s">
        <v>5660</v>
      </c>
      <c r="L194">
        <v>0</v>
      </c>
      <c r="M194" t="s">
        <v>4033</v>
      </c>
      <c r="N194" t="s">
        <v>4034</v>
      </c>
      <c r="O194" t="s">
        <v>5063</v>
      </c>
      <c r="P194" t="s">
        <v>4823</v>
      </c>
      <c r="Q194" t="s">
        <v>4824</v>
      </c>
      <c r="R194" t="s">
        <v>4825</v>
      </c>
      <c r="S194" t="s">
        <v>4826</v>
      </c>
      <c r="T194" t="s">
        <v>4016</v>
      </c>
      <c r="U194">
        <v>2023</v>
      </c>
      <c r="V194">
        <v>38</v>
      </c>
      <c r="W194">
        <v>10</v>
      </c>
      <c r="X194" t="s">
        <v>5661</v>
      </c>
      <c r="Y194" t="str">
        <f>HYPERLINK("http://dx.doi.org/10.1175/WAF-D-22-0173.1","http://dx.doi.org/10.1175/WAF-D-22-0173.1")</f>
        <v>http://dx.doi.org/10.1175/WAF-D-22-0173.1</v>
      </c>
      <c r="Z194" t="s">
        <v>3825</v>
      </c>
      <c r="AA194" t="s">
        <v>3826</v>
      </c>
      <c r="AB194" s="3">
        <v>45672</v>
      </c>
      <c r="AC194" t="s">
        <v>5662</v>
      </c>
      <c r="AD194" t="str">
        <f>HYPERLINK("https%3A%2F%2Fwww.webofscience.com%2Fwos%2Fwoscc%2Ffull-record%2FWOS:001089136900001","View Full Record in Web of Science")</f>
        <v>View Full Record in Web of Science</v>
      </c>
    </row>
    <row r="195" spans="1:30" x14ac:dyDescent="0.35">
      <c r="A195">
        <v>194</v>
      </c>
      <c r="B195" t="s">
        <v>3224</v>
      </c>
      <c r="C195" t="s">
        <v>5663</v>
      </c>
      <c r="D195" t="s">
        <v>3224</v>
      </c>
      <c r="E195" t="s">
        <v>2924</v>
      </c>
      <c r="F195" t="s">
        <v>3810</v>
      </c>
      <c r="G195" t="s">
        <v>5664</v>
      </c>
      <c r="H195" t="s">
        <v>5665</v>
      </c>
      <c r="I195" t="s">
        <v>5666</v>
      </c>
      <c r="J195" t="s">
        <v>5667</v>
      </c>
      <c r="K195" t="s">
        <v>5668</v>
      </c>
      <c r="L195">
        <v>17</v>
      </c>
      <c r="M195" t="s">
        <v>3911</v>
      </c>
      <c r="N195" t="s">
        <v>3912</v>
      </c>
      <c r="O195" t="s">
        <v>3913</v>
      </c>
      <c r="P195" t="s">
        <v>4965</v>
      </c>
      <c r="Q195" t="s">
        <v>4966</v>
      </c>
      <c r="R195" t="s">
        <v>4967</v>
      </c>
      <c r="S195" t="s">
        <v>4968</v>
      </c>
      <c r="T195" t="s">
        <v>4839</v>
      </c>
      <c r="U195">
        <v>2021</v>
      </c>
      <c r="V195">
        <v>48</v>
      </c>
      <c r="W195">
        <v>20</v>
      </c>
      <c r="X195" t="s">
        <v>5669</v>
      </c>
      <c r="Y195" t="str">
        <f>HYPERLINK("http://dx.doi.org/10.1029/2021GL094243","http://dx.doi.org/10.1029/2021GL094243")</f>
        <v>http://dx.doi.org/10.1029/2021GL094243</v>
      </c>
      <c r="Z195" t="s">
        <v>4116</v>
      </c>
      <c r="AA195" t="s">
        <v>3826</v>
      </c>
      <c r="AB195" s="3">
        <v>45672</v>
      </c>
      <c r="AC195" t="s">
        <v>5670</v>
      </c>
      <c r="AD195" t="str">
        <f>HYPERLINK("https%3A%2F%2Fwww.webofscience.com%2Fwos%2Fwoscc%2Ffull-record%2FWOS:000747834500033","View Full Record in Web of Science")</f>
        <v>View Full Record in Web of Science</v>
      </c>
    </row>
    <row r="196" spans="1:30" x14ac:dyDescent="0.35">
      <c r="A196">
        <v>195</v>
      </c>
      <c r="B196" t="s">
        <v>3225</v>
      </c>
      <c r="C196" t="s">
        <v>5671</v>
      </c>
      <c r="D196" t="s">
        <v>3225</v>
      </c>
      <c r="E196" t="s">
        <v>2901</v>
      </c>
      <c r="F196" t="s">
        <v>3810</v>
      </c>
      <c r="G196" t="s">
        <v>5672</v>
      </c>
      <c r="H196" t="s">
        <v>5673</v>
      </c>
      <c r="I196" t="s">
        <v>5674</v>
      </c>
      <c r="J196" t="s">
        <v>5675</v>
      </c>
      <c r="K196" t="s">
        <v>5676</v>
      </c>
      <c r="L196">
        <v>19</v>
      </c>
      <c r="M196" t="s">
        <v>4377</v>
      </c>
      <c r="N196" t="s">
        <v>4378</v>
      </c>
      <c r="O196" t="s">
        <v>4379</v>
      </c>
      <c r="P196" t="s">
        <v>4380</v>
      </c>
      <c r="Q196" t="s">
        <v>4381</v>
      </c>
      <c r="R196" t="s">
        <v>4382</v>
      </c>
      <c r="S196" t="s">
        <v>4383</v>
      </c>
      <c r="T196" t="s">
        <v>3808</v>
      </c>
      <c r="U196">
        <v>2016</v>
      </c>
      <c r="V196" t="s">
        <v>4384</v>
      </c>
      <c r="W196" t="s">
        <v>3808</v>
      </c>
      <c r="X196" t="s">
        <v>5677</v>
      </c>
      <c r="Y196" t="str">
        <f>HYPERLINK("http://dx.doi.org/10.2151/jmsj.2015-058","http://dx.doi.org/10.2151/jmsj.2015-058")</f>
        <v>http://dx.doi.org/10.2151/jmsj.2015-058</v>
      </c>
      <c r="Z196" t="s">
        <v>3825</v>
      </c>
      <c r="AA196" t="s">
        <v>3826</v>
      </c>
      <c r="AB196" s="3">
        <v>45672</v>
      </c>
      <c r="AC196" t="s">
        <v>5678</v>
      </c>
      <c r="AD196" t="str">
        <f>HYPERLINK("https%3A%2F%2Fwww.webofscience.com%2Fwos%2Fwoscc%2Ffull-record%2FWOS:000370028800011","View Full Record in Web of Science")</f>
        <v>View Full Record in Web of Science</v>
      </c>
    </row>
    <row r="197" spans="1:30" x14ac:dyDescent="0.35">
      <c r="A197">
        <v>196</v>
      </c>
      <c r="B197" t="s">
        <v>3226</v>
      </c>
      <c r="C197" t="s">
        <v>5679</v>
      </c>
      <c r="D197" t="s">
        <v>3226</v>
      </c>
      <c r="E197" t="s">
        <v>2894</v>
      </c>
      <c r="F197" t="s">
        <v>3810</v>
      </c>
      <c r="G197" t="s">
        <v>5680</v>
      </c>
      <c r="H197" t="s">
        <v>5681</v>
      </c>
      <c r="I197" t="s">
        <v>5682</v>
      </c>
      <c r="J197" t="s">
        <v>5683</v>
      </c>
      <c r="K197" t="s">
        <v>5684</v>
      </c>
      <c r="L197">
        <v>74</v>
      </c>
      <c r="M197" t="s">
        <v>4252</v>
      </c>
      <c r="N197" t="s">
        <v>4253</v>
      </c>
      <c r="O197" t="s">
        <v>4254</v>
      </c>
      <c r="P197" t="s">
        <v>4255</v>
      </c>
      <c r="Q197" t="s">
        <v>4256</v>
      </c>
      <c r="R197" t="s">
        <v>4257</v>
      </c>
      <c r="S197" t="s">
        <v>4258</v>
      </c>
      <c r="T197" t="s">
        <v>5045</v>
      </c>
      <c r="U197">
        <v>2015</v>
      </c>
      <c r="V197">
        <v>120</v>
      </c>
      <c r="W197" t="s">
        <v>4259</v>
      </c>
      <c r="X197" t="s">
        <v>5685</v>
      </c>
      <c r="Y197" t="str">
        <f>HYPERLINK("http://dx.doi.org/10.1007/s00704-014-1145-8","http://dx.doi.org/10.1007/s00704-014-1145-8")</f>
        <v>http://dx.doi.org/10.1007/s00704-014-1145-8</v>
      </c>
      <c r="Z197" t="s">
        <v>3825</v>
      </c>
      <c r="AA197" t="s">
        <v>3826</v>
      </c>
      <c r="AB197" s="3">
        <v>45672</v>
      </c>
      <c r="AC197" t="s">
        <v>5686</v>
      </c>
      <c r="AD197" t="str">
        <f>HYPERLINK("https%3A%2F%2Fwww.webofscience.com%2Fwos%2Fwoscc%2Ffull-record%2FWOS:000351866800023","View Full Record in Web of Science")</f>
        <v>View Full Record in Web of Science</v>
      </c>
    </row>
    <row r="198" spans="1:30" x14ac:dyDescent="0.35">
      <c r="A198">
        <v>197</v>
      </c>
      <c r="B198" t="s">
        <v>3227</v>
      </c>
      <c r="C198" t="s">
        <v>5687</v>
      </c>
      <c r="D198" t="s">
        <v>3227</v>
      </c>
      <c r="E198" t="s">
        <v>2864</v>
      </c>
      <c r="F198" t="s">
        <v>3810</v>
      </c>
      <c r="G198" t="s">
        <v>5688</v>
      </c>
      <c r="H198" t="s">
        <v>5689</v>
      </c>
      <c r="I198" t="s">
        <v>5690</v>
      </c>
      <c r="J198" t="s">
        <v>5691</v>
      </c>
      <c r="K198" t="s">
        <v>5692</v>
      </c>
      <c r="L198">
        <v>11</v>
      </c>
      <c r="M198" t="s">
        <v>3834</v>
      </c>
      <c r="N198" t="s">
        <v>3835</v>
      </c>
      <c r="O198" t="s">
        <v>3836</v>
      </c>
      <c r="P198" t="s">
        <v>3837</v>
      </c>
      <c r="Q198" t="s">
        <v>3838</v>
      </c>
      <c r="R198" t="s">
        <v>3839</v>
      </c>
      <c r="S198" t="s">
        <v>3840</v>
      </c>
      <c r="T198" t="s">
        <v>3808</v>
      </c>
      <c r="U198">
        <v>2014</v>
      </c>
      <c r="V198">
        <v>2014</v>
      </c>
      <c r="W198" t="s">
        <v>3808</v>
      </c>
      <c r="X198" t="s">
        <v>5693</v>
      </c>
      <c r="Y198" t="str">
        <f>HYPERLINK("http://dx.doi.org/10.1155/2014/245104","http://dx.doi.org/10.1155/2014/245104")</f>
        <v>http://dx.doi.org/10.1155/2014/245104</v>
      </c>
      <c r="Z198" t="s">
        <v>3825</v>
      </c>
      <c r="AA198" t="s">
        <v>3826</v>
      </c>
      <c r="AB198" s="3">
        <v>45672</v>
      </c>
      <c r="AC198" t="s">
        <v>5694</v>
      </c>
      <c r="AD198" t="str">
        <f>HYPERLINK("https%3A%2F%2Fwww.webofscience.com%2Fwos%2Fwoscc%2Ffull-record%2FWOS:000338073400001","View Full Record in Web of Science")</f>
        <v>View Full Record in Web of Science</v>
      </c>
    </row>
    <row r="199" spans="1:30" x14ac:dyDescent="0.35">
      <c r="A199">
        <v>198</v>
      </c>
      <c r="B199" t="s">
        <v>3228</v>
      </c>
      <c r="C199" t="s">
        <v>5695</v>
      </c>
      <c r="D199" t="s">
        <v>3228</v>
      </c>
      <c r="E199" t="s">
        <v>2896</v>
      </c>
      <c r="F199" t="s">
        <v>3810</v>
      </c>
      <c r="G199" t="s">
        <v>5696</v>
      </c>
      <c r="H199" t="s">
        <v>5697</v>
      </c>
      <c r="I199" t="s">
        <v>5698</v>
      </c>
      <c r="J199" t="s">
        <v>5699</v>
      </c>
      <c r="K199" t="s">
        <v>5700</v>
      </c>
      <c r="L199">
        <v>7</v>
      </c>
      <c r="M199" t="s">
        <v>4277</v>
      </c>
      <c r="N199" t="s">
        <v>4278</v>
      </c>
      <c r="O199" t="s">
        <v>4279</v>
      </c>
      <c r="P199" t="s">
        <v>3808</v>
      </c>
      <c r="Q199" t="s">
        <v>4280</v>
      </c>
      <c r="R199" t="s">
        <v>2896</v>
      </c>
      <c r="S199" t="s">
        <v>4281</v>
      </c>
      <c r="T199" t="s">
        <v>5045</v>
      </c>
      <c r="U199">
        <v>2023</v>
      </c>
      <c r="V199">
        <v>11</v>
      </c>
      <c r="W199">
        <v>4</v>
      </c>
      <c r="X199" t="s">
        <v>5701</v>
      </c>
      <c r="Y199" t="str">
        <f>HYPERLINK("http://dx.doi.org/10.3390/cli11040085","http://dx.doi.org/10.3390/cli11040085")</f>
        <v>http://dx.doi.org/10.3390/cli11040085</v>
      </c>
      <c r="Z199" t="s">
        <v>3825</v>
      </c>
      <c r="AA199" t="s">
        <v>4117</v>
      </c>
      <c r="AB199" s="3">
        <v>45672</v>
      </c>
      <c r="AC199" t="s">
        <v>5702</v>
      </c>
      <c r="AD199" t="str">
        <f>HYPERLINK("https%3A%2F%2Fwww.webofscience.com%2Fwos%2Fwoscc%2Ffull-record%2FWOS:000979048100001","View Full Record in Web of Science")</f>
        <v>View Full Record in Web of Science</v>
      </c>
    </row>
    <row r="200" spans="1:30" x14ac:dyDescent="0.35">
      <c r="A200">
        <v>199</v>
      </c>
      <c r="B200" t="s">
        <v>3229</v>
      </c>
      <c r="C200" t="s">
        <v>5703</v>
      </c>
      <c r="D200" t="s">
        <v>3229</v>
      </c>
      <c r="E200" t="s">
        <v>2896</v>
      </c>
      <c r="F200" t="s">
        <v>3810</v>
      </c>
      <c r="G200" t="s">
        <v>5704</v>
      </c>
      <c r="H200" t="s">
        <v>5705</v>
      </c>
      <c r="I200" t="s">
        <v>5706</v>
      </c>
      <c r="J200" t="s">
        <v>5707</v>
      </c>
      <c r="K200" t="s">
        <v>5708</v>
      </c>
      <c r="L200">
        <v>12</v>
      </c>
      <c r="M200" t="s">
        <v>4277</v>
      </c>
      <c r="N200" t="s">
        <v>4278</v>
      </c>
      <c r="O200" t="s">
        <v>4279</v>
      </c>
      <c r="P200" t="s">
        <v>3808</v>
      </c>
      <c r="Q200" t="s">
        <v>4280</v>
      </c>
      <c r="R200" t="s">
        <v>2896</v>
      </c>
      <c r="S200" t="s">
        <v>4281</v>
      </c>
      <c r="T200" t="s">
        <v>4114</v>
      </c>
      <c r="U200">
        <v>2022</v>
      </c>
      <c r="V200">
        <v>10</v>
      </c>
      <c r="W200">
        <v>3</v>
      </c>
      <c r="X200" t="s">
        <v>5709</v>
      </c>
      <c r="Y200" t="str">
        <f>HYPERLINK("http://dx.doi.org/10.3390/cli10030044","http://dx.doi.org/10.3390/cli10030044")</f>
        <v>http://dx.doi.org/10.3390/cli10030044</v>
      </c>
      <c r="Z200" t="s">
        <v>3825</v>
      </c>
      <c r="AA200" t="s">
        <v>4117</v>
      </c>
      <c r="AB200" s="3">
        <v>45672</v>
      </c>
      <c r="AC200" t="s">
        <v>5710</v>
      </c>
      <c r="AD200" t="str">
        <f>HYPERLINK("https%3A%2F%2Fwww.webofscience.com%2Fwos%2Fwoscc%2Ffull-record%2FWOS:000775653600001","View Full Record in Web of Science")</f>
        <v>View Full Record in Web of Science</v>
      </c>
    </row>
    <row r="201" spans="1:30" x14ac:dyDescent="0.35">
      <c r="A201">
        <v>200</v>
      </c>
      <c r="B201" t="s">
        <v>3230</v>
      </c>
      <c r="C201" t="s">
        <v>5711</v>
      </c>
      <c r="D201" t="s">
        <v>3230</v>
      </c>
      <c r="E201" t="s">
        <v>2864</v>
      </c>
      <c r="F201" t="s">
        <v>3810</v>
      </c>
      <c r="G201" t="s">
        <v>5712</v>
      </c>
      <c r="H201" t="s">
        <v>5713</v>
      </c>
      <c r="I201" t="s">
        <v>5714</v>
      </c>
      <c r="J201" t="s">
        <v>5715</v>
      </c>
      <c r="K201" t="s">
        <v>5716</v>
      </c>
      <c r="L201">
        <v>9</v>
      </c>
      <c r="M201" t="s">
        <v>3834</v>
      </c>
      <c r="N201" t="s">
        <v>3835</v>
      </c>
      <c r="O201" t="s">
        <v>3836</v>
      </c>
      <c r="P201" t="s">
        <v>3837</v>
      </c>
      <c r="Q201" t="s">
        <v>3838</v>
      </c>
      <c r="R201" t="s">
        <v>3839</v>
      </c>
      <c r="S201" t="s">
        <v>3840</v>
      </c>
      <c r="T201" t="s">
        <v>5717</v>
      </c>
      <c r="U201">
        <v>2022</v>
      </c>
      <c r="V201">
        <v>2022</v>
      </c>
      <c r="W201" t="s">
        <v>3808</v>
      </c>
      <c r="X201" t="s">
        <v>5718</v>
      </c>
      <c r="Y201" t="str">
        <f>HYPERLINK("http://dx.doi.org/10.1155/2022/7995761","http://dx.doi.org/10.1155/2022/7995761")</f>
        <v>http://dx.doi.org/10.1155/2022/7995761</v>
      </c>
      <c r="Z201" t="s">
        <v>3825</v>
      </c>
      <c r="AA201" t="s">
        <v>3826</v>
      </c>
      <c r="AB201" s="3">
        <v>45672</v>
      </c>
      <c r="AC201" t="s">
        <v>5719</v>
      </c>
      <c r="AD201" t="str">
        <f>HYPERLINK("https%3A%2F%2Fwww.webofscience.com%2Fwos%2Fwoscc%2Ffull-record%2FWOS:000800283100002","View Full Record in Web of Science")</f>
        <v>View Full Record in Web of Science</v>
      </c>
    </row>
    <row r="202" spans="1:30" x14ac:dyDescent="0.35">
      <c r="A202">
        <v>201</v>
      </c>
      <c r="B202" t="s">
        <v>3231</v>
      </c>
      <c r="C202" t="s">
        <v>5720</v>
      </c>
      <c r="D202" t="s">
        <v>3231</v>
      </c>
      <c r="E202" t="s">
        <v>2862</v>
      </c>
      <c r="F202" t="s">
        <v>3810</v>
      </c>
      <c r="G202" t="s">
        <v>5721</v>
      </c>
      <c r="H202" t="s">
        <v>5722</v>
      </c>
      <c r="I202" t="s">
        <v>5723</v>
      </c>
      <c r="J202" t="s">
        <v>5724</v>
      </c>
      <c r="K202" t="s">
        <v>5725</v>
      </c>
      <c r="L202">
        <v>5</v>
      </c>
      <c r="M202" t="s">
        <v>3816</v>
      </c>
      <c r="N202" t="s">
        <v>3817</v>
      </c>
      <c r="O202" t="s">
        <v>3818</v>
      </c>
      <c r="P202" t="s">
        <v>3819</v>
      </c>
      <c r="Q202" t="s">
        <v>3820</v>
      </c>
      <c r="R202" t="s">
        <v>3821</v>
      </c>
      <c r="S202" t="s">
        <v>3822</v>
      </c>
      <c r="T202" t="s">
        <v>4636</v>
      </c>
      <c r="U202">
        <v>2017</v>
      </c>
      <c r="V202">
        <v>185</v>
      </c>
      <c r="W202" t="s">
        <v>3808</v>
      </c>
      <c r="X202" t="s">
        <v>5726</v>
      </c>
      <c r="Y202" t="str">
        <f>HYPERLINK("http://dx.doi.org/10.1016/j.atmosres.2016.10.019","http://dx.doi.org/10.1016/j.atmosres.2016.10.019")</f>
        <v>http://dx.doi.org/10.1016/j.atmosres.2016.10.019</v>
      </c>
      <c r="Z202" t="s">
        <v>3825</v>
      </c>
      <c r="AA202" t="s">
        <v>3826</v>
      </c>
      <c r="AB202" s="3">
        <v>45672</v>
      </c>
      <c r="AC202" t="s">
        <v>5727</v>
      </c>
      <c r="AD202" t="str">
        <f>HYPERLINK("https%3A%2F%2Fwww.webofscience.com%2Fwos%2Fwoscc%2Ffull-record%2FWOS:000390737800001","View Full Record in Web of Science")</f>
        <v>View Full Record in Web of Science</v>
      </c>
    </row>
    <row r="203" spans="1:30" x14ac:dyDescent="0.35">
      <c r="A203">
        <v>202</v>
      </c>
      <c r="B203" t="s">
        <v>3232</v>
      </c>
      <c r="C203" t="s">
        <v>5728</v>
      </c>
      <c r="D203" t="s">
        <v>3232</v>
      </c>
      <c r="E203" t="s">
        <v>2900</v>
      </c>
      <c r="F203" t="s">
        <v>3810</v>
      </c>
      <c r="G203" t="s">
        <v>5729</v>
      </c>
      <c r="H203" t="s">
        <v>5730</v>
      </c>
      <c r="I203" t="s">
        <v>5731</v>
      </c>
      <c r="J203" t="s">
        <v>5732</v>
      </c>
      <c r="K203" t="s">
        <v>5733</v>
      </c>
      <c r="L203">
        <v>54</v>
      </c>
      <c r="M203" t="s">
        <v>4339</v>
      </c>
      <c r="N203" t="s">
        <v>4340</v>
      </c>
      <c r="O203" t="s">
        <v>4341</v>
      </c>
      <c r="P203" t="s">
        <v>4342</v>
      </c>
      <c r="Q203" t="s">
        <v>3808</v>
      </c>
      <c r="R203" t="s">
        <v>4344</v>
      </c>
      <c r="S203" t="s">
        <v>4345</v>
      </c>
      <c r="T203" t="s">
        <v>5734</v>
      </c>
      <c r="U203">
        <v>2017</v>
      </c>
      <c r="V203">
        <v>17</v>
      </c>
      <c r="W203">
        <v>4</v>
      </c>
      <c r="X203" t="s">
        <v>5735</v>
      </c>
      <c r="Y203" t="str">
        <f>HYPERLINK("http://dx.doi.org/10.5194/nhess-17-595-2017","http://dx.doi.org/10.5194/nhess-17-595-2017")</f>
        <v>http://dx.doi.org/10.5194/nhess-17-595-2017</v>
      </c>
      <c r="Z203" t="s">
        <v>3934</v>
      </c>
      <c r="AA203" t="s">
        <v>3826</v>
      </c>
      <c r="AB203" s="3">
        <v>45672</v>
      </c>
      <c r="AC203" t="s">
        <v>5736</v>
      </c>
      <c r="AD203" t="str">
        <f>HYPERLINK("https%3A%2F%2Fwww.webofscience.com%2Fwos%2Fwoscc%2Ffull-record%2FWOS:000399920800001","View Full Record in Web of Science")</f>
        <v>View Full Record in Web of Science</v>
      </c>
    </row>
    <row r="204" spans="1:30" x14ac:dyDescent="0.35">
      <c r="A204">
        <v>203</v>
      </c>
      <c r="B204" t="s">
        <v>3233</v>
      </c>
      <c r="C204" t="s">
        <v>5737</v>
      </c>
      <c r="D204" t="s">
        <v>3233</v>
      </c>
      <c r="E204" t="s">
        <v>2867</v>
      </c>
      <c r="F204" t="s">
        <v>3810</v>
      </c>
      <c r="G204" t="s">
        <v>5738</v>
      </c>
      <c r="H204" t="s">
        <v>5739</v>
      </c>
      <c r="I204" t="s">
        <v>5229</v>
      </c>
      <c r="J204" t="s">
        <v>5740</v>
      </c>
      <c r="K204" t="s">
        <v>5741</v>
      </c>
      <c r="L204">
        <v>6</v>
      </c>
      <c r="M204" t="s">
        <v>3866</v>
      </c>
      <c r="N204" t="s">
        <v>3817</v>
      </c>
      <c r="O204" t="s">
        <v>3867</v>
      </c>
      <c r="P204" t="s">
        <v>3868</v>
      </c>
      <c r="Q204" t="s">
        <v>3869</v>
      </c>
      <c r="R204" t="s">
        <v>3870</v>
      </c>
      <c r="S204" t="s">
        <v>3871</v>
      </c>
      <c r="T204" t="s">
        <v>3823</v>
      </c>
      <c r="U204">
        <v>2023</v>
      </c>
      <c r="V204">
        <v>60</v>
      </c>
      <c r="W204" t="s">
        <v>4268</v>
      </c>
      <c r="X204" t="s">
        <v>5742</v>
      </c>
      <c r="Y204" t="str">
        <f>HYPERLINK("http://dx.doi.org/10.1007/s00382-022-06363-5","http://dx.doi.org/10.1007/s00382-022-06363-5")</f>
        <v>http://dx.doi.org/10.1007/s00382-022-06363-5</v>
      </c>
      <c r="Z204" t="s">
        <v>3825</v>
      </c>
      <c r="AA204" t="s">
        <v>3826</v>
      </c>
      <c r="AB204" s="3">
        <v>45672</v>
      </c>
      <c r="AC204" t="s">
        <v>5743</v>
      </c>
      <c r="AD204" t="str">
        <f>HYPERLINK("https%3A%2F%2Fwww.webofscience.com%2Fwos%2Fwoscc%2Ffull-record%2FWOS:000815560700001","View Full Record in Web of Science")</f>
        <v>View Full Record in Web of Science</v>
      </c>
    </row>
    <row r="205" spans="1:30" x14ac:dyDescent="0.35">
      <c r="A205">
        <v>204</v>
      </c>
      <c r="B205" t="s">
        <v>3234</v>
      </c>
      <c r="C205" t="s">
        <v>5744</v>
      </c>
      <c r="D205" t="s">
        <v>3234</v>
      </c>
      <c r="E205" t="s">
        <v>2943</v>
      </c>
      <c r="F205" t="s">
        <v>3810</v>
      </c>
      <c r="G205" t="s">
        <v>5745</v>
      </c>
      <c r="H205" t="s">
        <v>5746</v>
      </c>
      <c r="I205" t="s">
        <v>5747</v>
      </c>
      <c r="J205" t="s">
        <v>5748</v>
      </c>
      <c r="K205" t="s">
        <v>5749</v>
      </c>
      <c r="L205">
        <v>100</v>
      </c>
      <c r="M205" t="s">
        <v>5750</v>
      </c>
      <c r="N205" t="s">
        <v>5751</v>
      </c>
      <c r="O205" t="s">
        <v>5752</v>
      </c>
      <c r="P205" t="s">
        <v>5753</v>
      </c>
      <c r="Q205" t="s">
        <v>5754</v>
      </c>
      <c r="R205" t="s">
        <v>5755</v>
      </c>
      <c r="S205" t="s">
        <v>5756</v>
      </c>
      <c r="T205" t="s">
        <v>4001</v>
      </c>
      <c r="U205">
        <v>2017</v>
      </c>
      <c r="V205">
        <v>10</v>
      </c>
      <c r="W205">
        <v>1</v>
      </c>
      <c r="X205" t="s">
        <v>5757</v>
      </c>
      <c r="Y205" t="str">
        <f>HYPERLINK("http://dx.doi.org/10.1109/JSTARS.2016.2558474","http://dx.doi.org/10.1109/JSTARS.2016.2558474")</f>
        <v>http://dx.doi.org/10.1109/JSTARS.2016.2558474</v>
      </c>
      <c r="Z205" t="s">
        <v>5758</v>
      </c>
      <c r="AA205" t="s">
        <v>3826</v>
      </c>
      <c r="AB205" s="3">
        <v>45672</v>
      </c>
      <c r="AC205" t="s">
        <v>5759</v>
      </c>
      <c r="AD205" t="str">
        <f>HYPERLINK("https%3A%2F%2Fwww.webofscience.com%2Fwos%2Fwoscc%2Ffull-record%2FWOS:000391719900021","View Full Record in Web of Science")</f>
        <v>View Full Record in Web of Science</v>
      </c>
    </row>
    <row r="206" spans="1:30" x14ac:dyDescent="0.35">
      <c r="A206">
        <v>205</v>
      </c>
      <c r="B206" t="s">
        <v>3235</v>
      </c>
      <c r="C206" t="s">
        <v>5760</v>
      </c>
      <c r="D206" t="s">
        <v>3235</v>
      </c>
      <c r="E206" t="s">
        <v>2899</v>
      </c>
      <c r="F206" t="s">
        <v>3810</v>
      </c>
      <c r="G206" t="s">
        <v>5761</v>
      </c>
      <c r="H206" t="s">
        <v>5762</v>
      </c>
      <c r="I206" t="s">
        <v>5763</v>
      </c>
      <c r="J206" t="s">
        <v>5764</v>
      </c>
      <c r="K206" t="s">
        <v>5765</v>
      </c>
      <c r="L206">
        <v>52</v>
      </c>
      <c r="M206" t="s">
        <v>4252</v>
      </c>
      <c r="N206" t="s">
        <v>4253</v>
      </c>
      <c r="O206" t="s">
        <v>4254</v>
      </c>
      <c r="P206" t="s">
        <v>4319</v>
      </c>
      <c r="Q206" t="s">
        <v>4320</v>
      </c>
      <c r="R206" t="s">
        <v>4321</v>
      </c>
      <c r="S206" t="s">
        <v>4322</v>
      </c>
      <c r="T206" t="s">
        <v>4016</v>
      </c>
      <c r="U206">
        <v>2018</v>
      </c>
      <c r="V206">
        <v>130</v>
      </c>
      <c r="W206">
        <v>5</v>
      </c>
      <c r="X206" t="s">
        <v>5766</v>
      </c>
      <c r="Y206" t="str">
        <f>HYPERLINK("http://dx.doi.org/10.1007/s00703-017-0537-6","http://dx.doi.org/10.1007/s00703-017-0537-6")</f>
        <v>http://dx.doi.org/10.1007/s00703-017-0537-6</v>
      </c>
      <c r="Z206" t="s">
        <v>3825</v>
      </c>
      <c r="AA206" t="s">
        <v>3826</v>
      </c>
      <c r="AB206" s="3">
        <v>45672</v>
      </c>
      <c r="AC206" t="s">
        <v>5767</v>
      </c>
      <c r="AD206" t="str">
        <f>HYPERLINK("https%3A%2F%2Fwww.webofscience.com%2Fwos%2Fwoscc%2Ffull-record%2FWOS:000444410400005","View Full Record in Web of Science")</f>
        <v>View Full Record in Web of Science</v>
      </c>
    </row>
    <row r="207" spans="1:30" x14ac:dyDescent="0.35">
      <c r="A207">
        <v>206</v>
      </c>
      <c r="B207" t="s">
        <v>3236</v>
      </c>
      <c r="C207" t="s">
        <v>5768</v>
      </c>
      <c r="D207" t="s">
        <v>3236</v>
      </c>
      <c r="E207" t="s">
        <v>2944</v>
      </c>
      <c r="F207" t="s">
        <v>3810</v>
      </c>
      <c r="G207" t="s">
        <v>5769</v>
      </c>
      <c r="H207" t="s">
        <v>5770</v>
      </c>
      <c r="I207" t="s">
        <v>5771</v>
      </c>
      <c r="J207" t="s">
        <v>5772</v>
      </c>
      <c r="K207" t="s">
        <v>5773</v>
      </c>
      <c r="L207">
        <v>1</v>
      </c>
      <c r="M207" t="s">
        <v>5774</v>
      </c>
      <c r="N207" t="s">
        <v>5775</v>
      </c>
      <c r="O207" t="s">
        <v>5776</v>
      </c>
      <c r="P207" t="s">
        <v>5777</v>
      </c>
      <c r="Q207" t="s">
        <v>5778</v>
      </c>
      <c r="R207" t="s">
        <v>5779</v>
      </c>
      <c r="S207" t="s">
        <v>5780</v>
      </c>
      <c r="T207" t="s">
        <v>3918</v>
      </c>
      <c r="U207">
        <v>2020</v>
      </c>
      <c r="V207">
        <v>177</v>
      </c>
      <c r="W207">
        <v>4</v>
      </c>
      <c r="X207" t="s">
        <v>5781</v>
      </c>
      <c r="Y207" t="str">
        <f>HYPERLINK("http://dx.doi.org/10.1144/jgs2019-170","http://dx.doi.org/10.1144/jgs2019-170")</f>
        <v>http://dx.doi.org/10.1144/jgs2019-170</v>
      </c>
      <c r="Z207" t="s">
        <v>4116</v>
      </c>
      <c r="AA207" t="s">
        <v>3826</v>
      </c>
      <c r="AB207" s="3">
        <v>45672</v>
      </c>
      <c r="AC207" t="s">
        <v>5782</v>
      </c>
      <c r="AD207" t="str">
        <f>HYPERLINK("https%3A%2F%2Fwww.webofscience.com%2Fwos%2Fwoscc%2Ffull-record%2FWOS:000545766600014","View Full Record in Web of Science")</f>
        <v>View Full Record in Web of Science</v>
      </c>
    </row>
    <row r="208" spans="1:30" x14ac:dyDescent="0.35">
      <c r="A208">
        <v>207</v>
      </c>
      <c r="B208" t="s">
        <v>3237</v>
      </c>
      <c r="C208" t="s">
        <v>5783</v>
      </c>
      <c r="D208" t="s">
        <v>3237</v>
      </c>
      <c r="E208" t="s">
        <v>2871</v>
      </c>
      <c r="F208" t="s">
        <v>3810</v>
      </c>
      <c r="G208" t="s">
        <v>5784</v>
      </c>
      <c r="H208" t="s">
        <v>5785</v>
      </c>
      <c r="I208" t="s">
        <v>5786</v>
      </c>
      <c r="J208" t="s">
        <v>5787</v>
      </c>
      <c r="K208" t="s">
        <v>5788</v>
      </c>
      <c r="L208">
        <v>5</v>
      </c>
      <c r="M208" t="s">
        <v>3866</v>
      </c>
      <c r="N208" t="s">
        <v>3817</v>
      </c>
      <c r="O208" t="s">
        <v>3867</v>
      </c>
      <c r="P208" t="s">
        <v>3928</v>
      </c>
      <c r="Q208" t="s">
        <v>3929</v>
      </c>
      <c r="R208" t="s">
        <v>3930</v>
      </c>
      <c r="S208" t="s">
        <v>3931</v>
      </c>
      <c r="T208" t="s">
        <v>3958</v>
      </c>
      <c r="U208">
        <v>2022</v>
      </c>
      <c r="V208">
        <v>114</v>
      </c>
      <c r="W208">
        <v>2</v>
      </c>
      <c r="X208" t="s">
        <v>5789</v>
      </c>
      <c r="Y208" t="str">
        <f>HYPERLINK("http://dx.doi.org/10.1007/s11069-022-05475-9","http://dx.doi.org/10.1007/s11069-022-05475-9")</f>
        <v>http://dx.doi.org/10.1007/s11069-022-05475-9</v>
      </c>
      <c r="Z208" t="s">
        <v>3934</v>
      </c>
      <c r="AA208" t="s">
        <v>3826</v>
      </c>
      <c r="AB208" s="3">
        <v>45672</v>
      </c>
      <c r="AC208" t="s">
        <v>5790</v>
      </c>
      <c r="AD208" t="str">
        <f>HYPERLINK("https%3A%2F%2Fwww.webofscience.com%2Fwos%2Fwoscc%2Ffull-record%2FWOS:000826264200001","View Full Record in Web of Science")</f>
        <v>View Full Record in Web of Science</v>
      </c>
    </row>
    <row r="209" spans="1:30" x14ac:dyDescent="0.35">
      <c r="A209">
        <v>208</v>
      </c>
      <c r="B209" t="s">
        <v>3238</v>
      </c>
      <c r="C209" t="s">
        <v>5791</v>
      </c>
      <c r="D209" t="s">
        <v>3238</v>
      </c>
      <c r="E209" t="s">
        <v>2866</v>
      </c>
      <c r="F209" t="s">
        <v>3810</v>
      </c>
      <c r="G209" t="s">
        <v>5792</v>
      </c>
      <c r="H209" t="s">
        <v>5793</v>
      </c>
      <c r="I209" t="s">
        <v>5794</v>
      </c>
      <c r="J209" t="s">
        <v>5795</v>
      </c>
      <c r="K209" t="s">
        <v>5796</v>
      </c>
      <c r="L209">
        <v>6</v>
      </c>
      <c r="M209" t="s">
        <v>3850</v>
      </c>
      <c r="N209" t="s">
        <v>3851</v>
      </c>
      <c r="O209" t="s">
        <v>3852</v>
      </c>
      <c r="P209" t="s">
        <v>3853</v>
      </c>
      <c r="Q209" t="s">
        <v>3854</v>
      </c>
      <c r="R209" t="s">
        <v>3855</v>
      </c>
      <c r="S209" t="s">
        <v>3856</v>
      </c>
      <c r="T209" t="s">
        <v>5797</v>
      </c>
      <c r="U209">
        <v>2021</v>
      </c>
      <c r="V209">
        <v>41</v>
      </c>
      <c r="W209">
        <v>13</v>
      </c>
      <c r="X209" t="s">
        <v>5798</v>
      </c>
      <c r="Y209" t="str">
        <f>HYPERLINK("http://dx.doi.org/10.1002/joc.7156","http://dx.doi.org/10.1002/joc.7156")</f>
        <v>http://dx.doi.org/10.1002/joc.7156</v>
      </c>
      <c r="Z209" t="s">
        <v>3825</v>
      </c>
      <c r="AA209" t="s">
        <v>3826</v>
      </c>
      <c r="AB209" s="3">
        <v>45672</v>
      </c>
      <c r="AC209" t="s">
        <v>5799</v>
      </c>
      <c r="AD209" t="str">
        <f>HYPERLINK("https%3A%2F%2Fwww.webofscience.com%2Fwos%2Fwoscc%2Ffull-record%2FWOS:000647897100001","View Full Record in Web of Science")</f>
        <v>View Full Record in Web of Science</v>
      </c>
    </row>
    <row r="210" spans="1:30" x14ac:dyDescent="0.35">
      <c r="A210">
        <v>209</v>
      </c>
      <c r="B210" t="s">
        <v>3239</v>
      </c>
      <c r="C210" t="s">
        <v>5800</v>
      </c>
      <c r="D210" t="s">
        <v>3239</v>
      </c>
      <c r="E210" t="s">
        <v>2878</v>
      </c>
      <c r="F210" t="s">
        <v>3810</v>
      </c>
      <c r="G210" t="s">
        <v>5801</v>
      </c>
      <c r="H210" t="s">
        <v>5802</v>
      </c>
      <c r="I210" t="s">
        <v>5803</v>
      </c>
      <c r="J210" t="s">
        <v>5804</v>
      </c>
      <c r="K210" t="s">
        <v>5805</v>
      </c>
      <c r="L210">
        <v>9</v>
      </c>
      <c r="M210" t="s">
        <v>4046</v>
      </c>
      <c r="N210" t="s">
        <v>4047</v>
      </c>
      <c r="O210" t="s">
        <v>4048</v>
      </c>
      <c r="P210" t="s">
        <v>4049</v>
      </c>
      <c r="Q210" t="s">
        <v>4050</v>
      </c>
      <c r="R210" t="s">
        <v>4051</v>
      </c>
      <c r="S210" t="s">
        <v>4052</v>
      </c>
      <c r="T210" t="s">
        <v>4773</v>
      </c>
      <c r="U210">
        <v>2014</v>
      </c>
      <c r="V210">
        <v>91</v>
      </c>
      <c r="W210" t="s">
        <v>3808</v>
      </c>
      <c r="X210" t="s">
        <v>5806</v>
      </c>
      <c r="Y210" t="str">
        <f>HYPERLINK("http://dx.doi.org/10.1016/j.csr.2014.10.001","http://dx.doi.org/10.1016/j.csr.2014.10.001")</f>
        <v>http://dx.doi.org/10.1016/j.csr.2014.10.001</v>
      </c>
      <c r="Z210" t="s">
        <v>4055</v>
      </c>
      <c r="AA210" t="s">
        <v>3826</v>
      </c>
      <c r="AB210" s="3">
        <v>45672</v>
      </c>
      <c r="AC210" t="s">
        <v>5807</v>
      </c>
      <c r="AD210" t="str">
        <f>HYPERLINK("https%3A%2F%2Fwww.webofscience.com%2Fwos%2Fwoscc%2Ffull-record%2FWOS:000347603900017","View Full Record in Web of Science")</f>
        <v>View Full Record in Web of Science</v>
      </c>
    </row>
    <row r="211" spans="1:30" x14ac:dyDescent="0.35">
      <c r="A211">
        <v>210</v>
      </c>
      <c r="B211" t="s">
        <v>3240</v>
      </c>
      <c r="C211" t="s">
        <v>5808</v>
      </c>
      <c r="D211" t="s">
        <v>3240</v>
      </c>
      <c r="E211" t="s">
        <v>2871</v>
      </c>
      <c r="F211" t="s">
        <v>3810</v>
      </c>
      <c r="G211" t="s">
        <v>5809</v>
      </c>
      <c r="H211" t="s">
        <v>5810</v>
      </c>
      <c r="I211" t="s">
        <v>5811</v>
      </c>
      <c r="K211" t="s">
        <v>3808</v>
      </c>
      <c r="L211">
        <v>4</v>
      </c>
      <c r="M211" t="s">
        <v>3866</v>
      </c>
      <c r="N211" t="s">
        <v>3817</v>
      </c>
      <c r="O211" t="s">
        <v>3867</v>
      </c>
      <c r="P211" t="s">
        <v>3928</v>
      </c>
      <c r="Q211" t="s">
        <v>3929</v>
      </c>
      <c r="R211" t="s">
        <v>3930</v>
      </c>
      <c r="S211" t="s">
        <v>3931</v>
      </c>
      <c r="T211" t="s">
        <v>4001</v>
      </c>
      <c r="U211">
        <v>2023</v>
      </c>
      <c r="V211">
        <v>115</v>
      </c>
      <c r="W211">
        <v>2</v>
      </c>
      <c r="X211" t="s">
        <v>5812</v>
      </c>
      <c r="Y211" t="str">
        <f>HYPERLINK("http://dx.doi.org/10.1007/s11069-022-05596-1","http://dx.doi.org/10.1007/s11069-022-05596-1")</f>
        <v>http://dx.doi.org/10.1007/s11069-022-05596-1</v>
      </c>
      <c r="Z211" t="s">
        <v>3934</v>
      </c>
      <c r="AA211" t="s">
        <v>3826</v>
      </c>
      <c r="AB211" s="3">
        <v>45672</v>
      </c>
      <c r="AC211" t="s">
        <v>5813</v>
      </c>
      <c r="AD211" t="str">
        <f>HYPERLINK("https%3A%2F%2Fwww.webofscience.com%2Fwos%2Fwoscc%2Ffull-record%2FWOS:000850417200002","View Full Record in Web of Science")</f>
        <v>View Full Record in Web of Science</v>
      </c>
    </row>
    <row r="212" spans="1:30" x14ac:dyDescent="0.35">
      <c r="A212">
        <v>211</v>
      </c>
      <c r="B212" t="s">
        <v>3241</v>
      </c>
      <c r="C212" t="s">
        <v>5814</v>
      </c>
      <c r="D212" t="s">
        <v>3241</v>
      </c>
      <c r="E212" t="s">
        <v>2926</v>
      </c>
      <c r="F212" t="s">
        <v>3810</v>
      </c>
      <c r="G212" t="s">
        <v>5815</v>
      </c>
      <c r="H212" t="s">
        <v>5816</v>
      </c>
      <c r="I212" t="s">
        <v>5817</v>
      </c>
      <c r="J212" t="s">
        <v>5818</v>
      </c>
      <c r="K212" t="s">
        <v>5819</v>
      </c>
      <c r="L212">
        <v>12</v>
      </c>
      <c r="M212" t="s">
        <v>4211</v>
      </c>
      <c r="N212" t="s">
        <v>3952</v>
      </c>
      <c r="O212" t="s">
        <v>4212</v>
      </c>
      <c r="P212" t="s">
        <v>5029</v>
      </c>
      <c r="Q212" t="s">
        <v>3808</v>
      </c>
      <c r="R212" t="s">
        <v>5030</v>
      </c>
      <c r="S212" t="s">
        <v>5031</v>
      </c>
      <c r="T212" t="s">
        <v>4137</v>
      </c>
      <c r="U212">
        <v>2016</v>
      </c>
      <c r="V212">
        <v>17</v>
      </c>
      <c r="W212" t="s">
        <v>3808</v>
      </c>
      <c r="X212" t="s">
        <v>5820</v>
      </c>
      <c r="Y212" t="str">
        <f>HYPERLINK("http://dx.doi.org/10.1016/j.ijdrr.2016.04.012","http://dx.doi.org/10.1016/j.ijdrr.2016.04.012")</f>
        <v>http://dx.doi.org/10.1016/j.ijdrr.2016.04.012</v>
      </c>
      <c r="Z212" t="s">
        <v>3934</v>
      </c>
      <c r="AA212" t="s">
        <v>3826</v>
      </c>
      <c r="AB212" s="3">
        <v>45672</v>
      </c>
      <c r="AC212" t="s">
        <v>5821</v>
      </c>
      <c r="AD212" t="str">
        <f>HYPERLINK("https%3A%2F%2Fwww.webofscience.com%2Fwos%2Fwoscc%2Ffull-record%2FWOS:000384837100017","View Full Record in Web of Science")</f>
        <v>View Full Record in Web of Science</v>
      </c>
    </row>
    <row r="213" spans="1:30" x14ac:dyDescent="0.35">
      <c r="A213">
        <v>212</v>
      </c>
      <c r="B213" t="s">
        <v>3242</v>
      </c>
      <c r="C213" t="s">
        <v>5822</v>
      </c>
      <c r="D213" t="s">
        <v>3242</v>
      </c>
      <c r="E213" t="s">
        <v>2862</v>
      </c>
      <c r="F213" t="s">
        <v>3810</v>
      </c>
      <c r="G213" t="s">
        <v>5823</v>
      </c>
      <c r="H213" t="s">
        <v>5824</v>
      </c>
      <c r="I213" t="s">
        <v>5825</v>
      </c>
      <c r="J213" t="s">
        <v>5826</v>
      </c>
      <c r="K213" t="s">
        <v>5827</v>
      </c>
      <c r="L213">
        <v>27</v>
      </c>
      <c r="M213" t="s">
        <v>3816</v>
      </c>
      <c r="N213" t="s">
        <v>3817</v>
      </c>
      <c r="O213" t="s">
        <v>3818</v>
      </c>
      <c r="P213" t="s">
        <v>3819</v>
      </c>
      <c r="Q213" t="s">
        <v>3820</v>
      </c>
      <c r="R213" t="s">
        <v>3821</v>
      </c>
      <c r="S213" t="s">
        <v>3822</v>
      </c>
      <c r="T213" t="s">
        <v>5828</v>
      </c>
      <c r="U213">
        <v>2023</v>
      </c>
      <c r="V213">
        <v>293</v>
      </c>
      <c r="W213" t="s">
        <v>3808</v>
      </c>
      <c r="X213" t="s">
        <v>5829</v>
      </c>
      <c r="Y213" t="str">
        <f>HYPERLINK("http://dx.doi.org/10.1016/j.atmosres.2023.106923","http://dx.doi.org/10.1016/j.atmosres.2023.106923")</f>
        <v>http://dx.doi.org/10.1016/j.atmosres.2023.106923</v>
      </c>
      <c r="Z213" t="s">
        <v>3825</v>
      </c>
      <c r="AA213" t="s">
        <v>3826</v>
      </c>
      <c r="AB213" s="3">
        <v>45672</v>
      </c>
      <c r="AC213" t="s">
        <v>5830</v>
      </c>
      <c r="AD213" t="str">
        <f>HYPERLINK("https%3A%2F%2Fwww.webofscience.com%2Fwos%2Fwoscc%2Ffull-record%2FWOS:001039387200001","View Full Record in Web of Science")</f>
        <v>View Full Record in Web of Science</v>
      </c>
    </row>
    <row r="214" spans="1:30" x14ac:dyDescent="0.35">
      <c r="A214">
        <v>213</v>
      </c>
      <c r="B214" t="s">
        <v>3243</v>
      </c>
      <c r="C214" t="s">
        <v>5831</v>
      </c>
      <c r="D214" t="s">
        <v>3243</v>
      </c>
      <c r="E214" t="s">
        <v>2945</v>
      </c>
      <c r="F214" t="s">
        <v>3810</v>
      </c>
      <c r="G214" t="s">
        <v>5832</v>
      </c>
      <c r="H214" t="s">
        <v>5833</v>
      </c>
      <c r="I214" t="s">
        <v>5834</v>
      </c>
      <c r="J214" t="s">
        <v>5835</v>
      </c>
      <c r="K214" t="s">
        <v>5836</v>
      </c>
      <c r="L214">
        <v>8</v>
      </c>
      <c r="M214" t="s">
        <v>5837</v>
      </c>
      <c r="N214" t="s">
        <v>5838</v>
      </c>
      <c r="O214" t="s">
        <v>5839</v>
      </c>
      <c r="P214" t="s">
        <v>5840</v>
      </c>
      <c r="Q214" t="s">
        <v>3808</v>
      </c>
      <c r="R214" t="s">
        <v>5841</v>
      </c>
      <c r="S214" t="s">
        <v>5842</v>
      </c>
      <c r="T214" t="s">
        <v>4001</v>
      </c>
      <c r="U214">
        <v>2023</v>
      </c>
      <c r="V214">
        <v>14</v>
      </c>
      <c r="W214">
        <v>1</v>
      </c>
      <c r="X214" t="s">
        <v>5843</v>
      </c>
      <c r="Y214" t="str">
        <f>HYPERLINK("http://dx.doi.org/10.1016/j.gsf.2022.101457","http://dx.doi.org/10.1016/j.gsf.2022.101457")</f>
        <v>http://dx.doi.org/10.1016/j.gsf.2022.101457</v>
      </c>
      <c r="Z214" t="s">
        <v>4116</v>
      </c>
      <c r="AA214" t="s">
        <v>3826</v>
      </c>
      <c r="AB214" s="3">
        <v>45672</v>
      </c>
      <c r="AC214" t="s">
        <v>5844</v>
      </c>
      <c r="AD214" t="str">
        <f>HYPERLINK("https%3A%2F%2Fwww.webofscience.com%2Fwos%2Fwoscc%2Ffull-record%2FWOS:000852681600003","View Full Record in Web of Science")</f>
        <v>View Full Record in Web of Science</v>
      </c>
    </row>
    <row r="215" spans="1:30" x14ac:dyDescent="0.35">
      <c r="A215">
        <v>214</v>
      </c>
      <c r="B215" t="s">
        <v>3244</v>
      </c>
      <c r="C215" t="s">
        <v>5845</v>
      </c>
      <c r="D215" t="s">
        <v>3244</v>
      </c>
      <c r="E215" t="s">
        <v>2882</v>
      </c>
      <c r="F215" t="s">
        <v>3810</v>
      </c>
      <c r="G215" t="s">
        <v>5846</v>
      </c>
      <c r="H215" t="s">
        <v>5847</v>
      </c>
      <c r="I215" t="s">
        <v>5848</v>
      </c>
      <c r="J215" t="s">
        <v>5849</v>
      </c>
      <c r="K215" t="s">
        <v>5850</v>
      </c>
      <c r="L215">
        <v>8</v>
      </c>
      <c r="M215" t="s">
        <v>3850</v>
      </c>
      <c r="N215" t="s">
        <v>3851</v>
      </c>
      <c r="O215" t="s">
        <v>3852</v>
      </c>
      <c r="P215" t="s">
        <v>4088</v>
      </c>
      <c r="Q215" t="s">
        <v>4089</v>
      </c>
      <c r="R215" t="s">
        <v>4090</v>
      </c>
      <c r="S215" t="s">
        <v>4091</v>
      </c>
      <c r="T215" t="s">
        <v>3918</v>
      </c>
      <c r="U215">
        <v>2021</v>
      </c>
      <c r="V215">
        <v>147</v>
      </c>
      <c r="W215">
        <v>738</v>
      </c>
      <c r="X215" t="s">
        <v>5851</v>
      </c>
      <c r="Y215" t="str">
        <f>HYPERLINK("http://dx.doi.org/10.1002/qj.4108","http://dx.doi.org/10.1002/qj.4108")</f>
        <v>http://dx.doi.org/10.1002/qj.4108</v>
      </c>
      <c r="Z215" t="s">
        <v>3825</v>
      </c>
      <c r="AA215" t="s">
        <v>3826</v>
      </c>
      <c r="AB215" s="3">
        <v>45672</v>
      </c>
      <c r="AC215" t="s">
        <v>5852</v>
      </c>
      <c r="AD215" t="str">
        <f>HYPERLINK("https%3A%2F%2Fwww.webofscience.com%2Fwos%2Fwoscc%2Ffull-record%2FWOS:000661623000001","View Full Record in Web of Science")</f>
        <v>View Full Record in Web of Science</v>
      </c>
    </row>
    <row r="216" spans="1:30" x14ac:dyDescent="0.35">
      <c r="A216">
        <v>215</v>
      </c>
      <c r="B216" t="s">
        <v>3245</v>
      </c>
      <c r="C216" t="s">
        <v>5853</v>
      </c>
      <c r="D216" t="s">
        <v>3245</v>
      </c>
      <c r="E216" t="s">
        <v>2866</v>
      </c>
      <c r="F216" t="s">
        <v>3810</v>
      </c>
      <c r="G216" t="s">
        <v>5854</v>
      </c>
      <c r="H216" t="s">
        <v>5855</v>
      </c>
      <c r="I216" t="s">
        <v>5856</v>
      </c>
      <c r="J216" t="s">
        <v>5857</v>
      </c>
      <c r="K216" t="s">
        <v>5858</v>
      </c>
      <c r="L216">
        <v>19</v>
      </c>
      <c r="M216" t="s">
        <v>3850</v>
      </c>
      <c r="N216" t="s">
        <v>3851</v>
      </c>
      <c r="O216" t="s">
        <v>3852</v>
      </c>
      <c r="P216" t="s">
        <v>3853</v>
      </c>
      <c r="Q216" t="s">
        <v>3854</v>
      </c>
      <c r="R216" t="s">
        <v>3855</v>
      </c>
      <c r="S216" t="s">
        <v>3856</v>
      </c>
      <c r="T216" t="s">
        <v>3823</v>
      </c>
      <c r="U216">
        <v>2022</v>
      </c>
      <c r="V216">
        <v>42</v>
      </c>
      <c r="W216">
        <v>2</v>
      </c>
      <c r="X216" t="s">
        <v>5859</v>
      </c>
      <c r="Y216" t="str">
        <f>HYPERLINK("http://dx.doi.org/10.1002/joc.7276","http://dx.doi.org/10.1002/joc.7276")</f>
        <v>http://dx.doi.org/10.1002/joc.7276</v>
      </c>
      <c r="Z216" t="s">
        <v>3825</v>
      </c>
      <c r="AA216" t="s">
        <v>3826</v>
      </c>
      <c r="AB216" s="3">
        <v>45672</v>
      </c>
      <c r="AC216" t="s">
        <v>5860</v>
      </c>
      <c r="AD216" t="str">
        <f>HYPERLINK("https%3A%2F%2Fwww.webofscience.com%2Fwos%2Fwoscc%2Ffull-record%2FWOS:000671854700001","View Full Record in Web of Science")</f>
        <v>View Full Record in Web of Science</v>
      </c>
    </row>
    <row r="217" spans="1:30" x14ac:dyDescent="0.35">
      <c r="A217">
        <v>216</v>
      </c>
      <c r="B217" t="s">
        <v>3246</v>
      </c>
      <c r="C217" t="s">
        <v>5861</v>
      </c>
      <c r="D217" t="s">
        <v>3246</v>
      </c>
      <c r="E217" t="s">
        <v>2872</v>
      </c>
      <c r="F217" t="s">
        <v>3810</v>
      </c>
      <c r="G217" t="s">
        <v>5862</v>
      </c>
      <c r="H217" t="s">
        <v>5863</v>
      </c>
      <c r="I217" t="s">
        <v>5864</v>
      </c>
      <c r="J217" t="s">
        <v>5865</v>
      </c>
      <c r="K217" t="s">
        <v>5866</v>
      </c>
      <c r="L217">
        <v>59</v>
      </c>
      <c r="M217" t="s">
        <v>4211</v>
      </c>
      <c r="N217" t="s">
        <v>3952</v>
      </c>
      <c r="O217" t="s">
        <v>4212</v>
      </c>
      <c r="P217" t="s">
        <v>3954</v>
      </c>
      <c r="Q217" t="s">
        <v>3955</v>
      </c>
      <c r="R217" t="s">
        <v>3956</v>
      </c>
      <c r="S217" t="s">
        <v>3957</v>
      </c>
      <c r="T217" t="s">
        <v>3872</v>
      </c>
      <c r="U217">
        <v>2018</v>
      </c>
      <c r="V217">
        <v>564</v>
      </c>
      <c r="W217" t="s">
        <v>3808</v>
      </c>
      <c r="X217" t="s">
        <v>5867</v>
      </c>
      <c r="Y217" t="str">
        <f>HYPERLINK("http://dx.doi.org/10.1016/j.jhydrol.2018.07.030","http://dx.doi.org/10.1016/j.jhydrol.2018.07.030")</f>
        <v>http://dx.doi.org/10.1016/j.jhydrol.2018.07.030</v>
      </c>
      <c r="Z217" t="s">
        <v>3960</v>
      </c>
      <c r="AA217" t="s">
        <v>3826</v>
      </c>
      <c r="AB217" s="3">
        <v>45672</v>
      </c>
      <c r="AC217" t="s">
        <v>5868</v>
      </c>
      <c r="AD217" t="str">
        <f>HYPERLINK("https%3A%2F%2Fwww.webofscience.com%2Fwos%2Fwoscc%2Ffull-record%2FWOS:000445316200045","View Full Record in Web of Science")</f>
        <v>View Full Record in Web of Science</v>
      </c>
    </row>
    <row r="218" spans="1:30" x14ac:dyDescent="0.35">
      <c r="A218">
        <v>217</v>
      </c>
      <c r="B218" t="s">
        <v>3247</v>
      </c>
      <c r="C218" t="s">
        <v>5869</v>
      </c>
      <c r="D218" t="s">
        <v>3247</v>
      </c>
      <c r="E218" t="s">
        <v>2903</v>
      </c>
      <c r="F218" t="s">
        <v>3810</v>
      </c>
      <c r="G218" t="s">
        <v>5870</v>
      </c>
      <c r="H218" t="s">
        <v>5871</v>
      </c>
      <c r="I218" t="s">
        <v>5872</v>
      </c>
      <c r="J218" t="s">
        <v>5873</v>
      </c>
      <c r="K218" t="s">
        <v>5874</v>
      </c>
      <c r="L218">
        <v>14</v>
      </c>
      <c r="M218" t="s">
        <v>3866</v>
      </c>
      <c r="N218" t="s">
        <v>3817</v>
      </c>
      <c r="O218" t="s">
        <v>3867</v>
      </c>
      <c r="P218" t="s">
        <v>4408</v>
      </c>
      <c r="Q218" t="s">
        <v>3808</v>
      </c>
      <c r="R218" t="s">
        <v>4409</v>
      </c>
      <c r="S218" t="s">
        <v>4410</v>
      </c>
      <c r="T218" t="s">
        <v>5875</v>
      </c>
      <c r="U218">
        <v>2021</v>
      </c>
      <c r="V218">
        <v>8</v>
      </c>
      <c r="W218">
        <v>1</v>
      </c>
      <c r="X218" t="s">
        <v>5876</v>
      </c>
      <c r="Y218" t="str">
        <f>HYPERLINK("http://dx.doi.org/10.1186/s40645-021-00425-8","http://dx.doi.org/10.1186/s40645-021-00425-8")</f>
        <v>http://dx.doi.org/10.1186/s40645-021-00425-8</v>
      </c>
      <c r="Z218" t="s">
        <v>4116</v>
      </c>
      <c r="AA218" t="s">
        <v>3826</v>
      </c>
      <c r="AB218" s="3">
        <v>45672</v>
      </c>
      <c r="AC218" t="s">
        <v>5877</v>
      </c>
      <c r="AD218" t="str">
        <f>HYPERLINK("https%3A%2F%2Fwww.webofscience.com%2Fwos%2Fwoscc%2Ffull-record%2FWOS:000655862100001","View Full Record in Web of Science")</f>
        <v>View Full Record in Web of Science</v>
      </c>
    </row>
    <row r="219" spans="1:30" x14ac:dyDescent="0.35">
      <c r="A219">
        <v>218</v>
      </c>
      <c r="B219" t="s">
        <v>3248</v>
      </c>
      <c r="C219" t="s">
        <v>5878</v>
      </c>
      <c r="D219" t="s">
        <v>3248</v>
      </c>
      <c r="E219" t="s">
        <v>2942</v>
      </c>
      <c r="F219" t="s">
        <v>3810</v>
      </c>
      <c r="G219" t="s">
        <v>5879</v>
      </c>
      <c r="H219" t="s">
        <v>5880</v>
      </c>
      <c r="I219" t="s">
        <v>5881</v>
      </c>
      <c r="J219" t="s">
        <v>5882</v>
      </c>
      <c r="K219" t="s">
        <v>5883</v>
      </c>
      <c r="L219">
        <v>4</v>
      </c>
      <c r="M219" t="s">
        <v>5554</v>
      </c>
      <c r="N219" t="s">
        <v>4378</v>
      </c>
      <c r="O219" t="s">
        <v>5555</v>
      </c>
      <c r="P219" t="s">
        <v>5556</v>
      </c>
      <c r="Q219" t="s">
        <v>5557</v>
      </c>
      <c r="R219" t="s">
        <v>5558</v>
      </c>
      <c r="S219" t="s">
        <v>5559</v>
      </c>
      <c r="T219" t="s">
        <v>3974</v>
      </c>
      <c r="U219">
        <v>2022</v>
      </c>
      <c r="V219">
        <v>17</v>
      </c>
      <c r="W219">
        <v>4</v>
      </c>
      <c r="X219" t="s">
        <v>5884</v>
      </c>
      <c r="Y219" t="str">
        <f>HYPERLINK("http://dx.doi.org/10.20965/jdr.2022.p0516","http://dx.doi.org/10.20965/jdr.2022.p0516")</f>
        <v>http://dx.doi.org/10.20965/jdr.2022.p0516</v>
      </c>
      <c r="Z219" t="s">
        <v>4116</v>
      </c>
      <c r="AA219" t="s">
        <v>4117</v>
      </c>
      <c r="AB219" s="3">
        <v>45672</v>
      </c>
      <c r="AC219" t="s">
        <v>5885</v>
      </c>
      <c r="AD219" t="str">
        <f>HYPERLINK("https%3A%2F%2Fwww.webofscience.com%2Fwos%2Fwoscc%2Ffull-record%2FWOS:000806742200002","View Full Record in Web of Science")</f>
        <v>View Full Record in Web of Science</v>
      </c>
    </row>
    <row r="220" spans="1:30" x14ac:dyDescent="0.35">
      <c r="A220">
        <v>219</v>
      </c>
      <c r="B220" t="s">
        <v>3249</v>
      </c>
      <c r="C220" t="s">
        <v>5886</v>
      </c>
      <c r="D220" t="s">
        <v>3249</v>
      </c>
      <c r="E220" t="s">
        <v>2946</v>
      </c>
      <c r="F220" t="s">
        <v>3810</v>
      </c>
      <c r="G220" t="s">
        <v>5887</v>
      </c>
      <c r="H220" t="s">
        <v>5888</v>
      </c>
      <c r="I220" t="s">
        <v>5889</v>
      </c>
      <c r="J220" t="s">
        <v>5890</v>
      </c>
      <c r="K220" t="s">
        <v>5891</v>
      </c>
      <c r="L220">
        <v>11</v>
      </c>
      <c r="M220" t="s">
        <v>3951</v>
      </c>
      <c r="N220" t="s">
        <v>3952</v>
      </c>
      <c r="O220" t="s">
        <v>3953</v>
      </c>
      <c r="P220" t="s">
        <v>5892</v>
      </c>
      <c r="Q220" t="s">
        <v>5893</v>
      </c>
      <c r="R220" t="s">
        <v>5894</v>
      </c>
      <c r="S220" t="s">
        <v>5895</v>
      </c>
      <c r="T220" t="s">
        <v>3918</v>
      </c>
      <c r="U220">
        <v>2021</v>
      </c>
      <c r="V220">
        <v>95</v>
      </c>
      <c r="W220" t="s">
        <v>3808</v>
      </c>
      <c r="X220" t="s">
        <v>5896</v>
      </c>
      <c r="Y220" t="str">
        <f>HYPERLINK("http://dx.doi.org/10.1016/j.gr.2021.04.005","http://dx.doi.org/10.1016/j.gr.2021.04.005")</f>
        <v>http://dx.doi.org/10.1016/j.gr.2021.04.005</v>
      </c>
      <c r="Z220" t="s">
        <v>4116</v>
      </c>
      <c r="AA220" t="s">
        <v>3826</v>
      </c>
      <c r="AB220" s="3">
        <v>45672</v>
      </c>
      <c r="AC220" t="s">
        <v>5897</v>
      </c>
      <c r="AD220" t="str">
        <f>HYPERLINK("https%3A%2F%2Fwww.webofscience.com%2Fwos%2Fwoscc%2Ffull-record%2FWOS:000651645200003","View Full Record in Web of Science")</f>
        <v>View Full Record in Web of Science</v>
      </c>
    </row>
    <row r="221" spans="1:30" x14ac:dyDescent="0.35">
      <c r="A221">
        <v>220</v>
      </c>
      <c r="B221" t="s">
        <v>3250</v>
      </c>
      <c r="C221" t="s">
        <v>5898</v>
      </c>
      <c r="D221" t="s">
        <v>3250</v>
      </c>
      <c r="E221" t="s">
        <v>2926</v>
      </c>
      <c r="F221" t="s">
        <v>3810</v>
      </c>
      <c r="G221" t="s">
        <v>5899</v>
      </c>
      <c r="H221" t="s">
        <v>5900</v>
      </c>
      <c r="I221" t="s">
        <v>5901</v>
      </c>
      <c r="K221" t="s">
        <v>3808</v>
      </c>
      <c r="L221">
        <v>9</v>
      </c>
      <c r="M221" t="s">
        <v>3951</v>
      </c>
      <c r="N221" t="s">
        <v>3952</v>
      </c>
      <c r="O221" t="s">
        <v>3953</v>
      </c>
      <c r="P221" t="s">
        <v>5029</v>
      </c>
      <c r="Q221" t="s">
        <v>3808</v>
      </c>
      <c r="R221" t="s">
        <v>5030</v>
      </c>
      <c r="S221" t="s">
        <v>5031</v>
      </c>
      <c r="T221" t="s">
        <v>4705</v>
      </c>
      <c r="U221">
        <v>2023</v>
      </c>
      <c r="V221">
        <v>85</v>
      </c>
      <c r="W221" t="s">
        <v>3808</v>
      </c>
      <c r="X221" t="s">
        <v>5902</v>
      </c>
      <c r="Y221" t="str">
        <f>HYPERLINK("http://dx.doi.org/10.1016/j.ijdrr.2022.103503","http://dx.doi.org/10.1016/j.ijdrr.2022.103503")</f>
        <v>http://dx.doi.org/10.1016/j.ijdrr.2022.103503</v>
      </c>
      <c r="Z221" t="s">
        <v>3934</v>
      </c>
      <c r="AA221" t="s">
        <v>3826</v>
      </c>
      <c r="AB221" s="3">
        <v>45672</v>
      </c>
      <c r="AC221" t="s">
        <v>5903</v>
      </c>
      <c r="AD221" t="str">
        <f>HYPERLINK("https%3A%2F%2Fwww.webofscience.com%2Fwos%2Fwoscc%2Ffull-record%2FWOS:000911587400001","View Full Record in Web of Science")</f>
        <v>View Full Record in Web of Science</v>
      </c>
    </row>
    <row r="222" spans="1:30" x14ac:dyDescent="0.35">
      <c r="A222">
        <v>221</v>
      </c>
      <c r="B222" t="s">
        <v>3251</v>
      </c>
      <c r="C222" t="s">
        <v>5904</v>
      </c>
      <c r="D222" t="s">
        <v>3251</v>
      </c>
      <c r="E222" t="s">
        <v>2947</v>
      </c>
      <c r="F222" t="s">
        <v>3810</v>
      </c>
      <c r="G222" t="s">
        <v>5905</v>
      </c>
      <c r="H222" t="s">
        <v>5906</v>
      </c>
      <c r="I222" t="s">
        <v>5907</v>
      </c>
      <c r="J222" t="s">
        <v>5908</v>
      </c>
      <c r="K222" t="s">
        <v>5909</v>
      </c>
      <c r="L222">
        <v>29</v>
      </c>
      <c r="M222" t="s">
        <v>4033</v>
      </c>
      <c r="N222" t="s">
        <v>4034</v>
      </c>
      <c r="O222" t="s">
        <v>4035</v>
      </c>
      <c r="P222" t="s">
        <v>5910</v>
      </c>
      <c r="Q222" t="s">
        <v>5911</v>
      </c>
      <c r="R222" t="s">
        <v>5912</v>
      </c>
      <c r="S222" t="s">
        <v>5913</v>
      </c>
      <c r="T222" t="s">
        <v>4163</v>
      </c>
      <c r="U222">
        <v>2016</v>
      </c>
      <c r="V222">
        <v>97</v>
      </c>
      <c r="W222">
        <v>12</v>
      </c>
      <c r="X222" t="s">
        <v>5914</v>
      </c>
      <c r="Y222" t="str">
        <f>HYPERLINK("http://dx.doi.org/10.1175/BAMS-D-16-0164.1","http://dx.doi.org/10.1175/BAMS-D-16-0164.1")</f>
        <v>http://dx.doi.org/10.1175/BAMS-D-16-0164.1</v>
      </c>
      <c r="Z222" t="s">
        <v>3825</v>
      </c>
      <c r="AA222" t="s">
        <v>3826</v>
      </c>
      <c r="AB222" s="3">
        <v>45672</v>
      </c>
      <c r="AC222" t="s">
        <v>5915</v>
      </c>
      <c r="AD222" t="str">
        <f>HYPERLINK("https%3A%2F%2Fwww.webofscience.com%2Fwos%2Fwoscc%2Ffull-record%2FWOS:000442686900021","View Full Record in Web of Science")</f>
        <v>View Full Record in Web of Science</v>
      </c>
    </row>
    <row r="223" spans="1:30" x14ac:dyDescent="0.35">
      <c r="A223">
        <v>222</v>
      </c>
      <c r="B223" t="s">
        <v>3252</v>
      </c>
      <c r="C223" t="s">
        <v>5916</v>
      </c>
      <c r="D223" t="s">
        <v>3252</v>
      </c>
      <c r="E223" t="s">
        <v>2867</v>
      </c>
      <c r="F223" t="s">
        <v>3810</v>
      </c>
      <c r="G223" t="s">
        <v>5917</v>
      </c>
      <c r="H223" t="s">
        <v>5918</v>
      </c>
      <c r="I223" t="s">
        <v>5919</v>
      </c>
      <c r="J223" t="s">
        <v>5470</v>
      </c>
      <c r="K223" t="s">
        <v>5920</v>
      </c>
      <c r="L223">
        <v>4</v>
      </c>
      <c r="M223" t="s">
        <v>3866</v>
      </c>
      <c r="N223" t="s">
        <v>3817</v>
      </c>
      <c r="O223" t="s">
        <v>3867</v>
      </c>
      <c r="P223" t="s">
        <v>3868</v>
      </c>
      <c r="Q223" t="s">
        <v>3869</v>
      </c>
      <c r="R223" t="s">
        <v>3870</v>
      </c>
      <c r="S223" t="s">
        <v>3871</v>
      </c>
      <c r="T223" t="s">
        <v>4114</v>
      </c>
      <c r="U223">
        <v>2023</v>
      </c>
      <c r="V223">
        <v>60</v>
      </c>
      <c r="W223" t="s">
        <v>3873</v>
      </c>
      <c r="X223" t="s">
        <v>5921</v>
      </c>
      <c r="Y223" t="str">
        <f>HYPERLINK("http://dx.doi.org/10.1007/s00382-022-06382-2","http://dx.doi.org/10.1007/s00382-022-06382-2")</f>
        <v>http://dx.doi.org/10.1007/s00382-022-06382-2</v>
      </c>
      <c r="Z223" t="s">
        <v>3825</v>
      </c>
      <c r="AA223" t="s">
        <v>3826</v>
      </c>
      <c r="AB223" s="3">
        <v>45672</v>
      </c>
      <c r="AC223" t="s">
        <v>5922</v>
      </c>
      <c r="AD223" t="str">
        <f>HYPERLINK("https%3A%2F%2Fwww.webofscience.com%2Fwos%2Fwoscc%2Ffull-record%2FWOS:000832530400004","View Full Record in Web of Science")</f>
        <v>View Full Record in Web of Science</v>
      </c>
    </row>
    <row r="224" spans="1:30" x14ac:dyDescent="0.35">
      <c r="A224">
        <v>223</v>
      </c>
      <c r="B224" t="s">
        <v>3253</v>
      </c>
      <c r="C224" t="s">
        <v>5923</v>
      </c>
      <c r="D224" t="s">
        <v>3253</v>
      </c>
      <c r="E224" t="s">
        <v>2866</v>
      </c>
      <c r="F224" t="s">
        <v>3810</v>
      </c>
      <c r="G224" t="s">
        <v>5924</v>
      </c>
      <c r="H224" t="s">
        <v>5925</v>
      </c>
      <c r="I224" t="s">
        <v>5926</v>
      </c>
      <c r="K224" t="s">
        <v>3808</v>
      </c>
      <c r="L224">
        <v>4</v>
      </c>
      <c r="M224" t="s">
        <v>3850</v>
      </c>
      <c r="N224" t="s">
        <v>3851</v>
      </c>
      <c r="O224" t="s">
        <v>3852</v>
      </c>
      <c r="P224" t="s">
        <v>3853</v>
      </c>
      <c r="Q224" t="s">
        <v>3854</v>
      </c>
      <c r="R224" t="s">
        <v>3855</v>
      </c>
      <c r="S224" t="s">
        <v>3856</v>
      </c>
      <c r="T224" t="s">
        <v>4137</v>
      </c>
      <c r="U224">
        <v>2023</v>
      </c>
      <c r="V224">
        <v>43</v>
      </c>
      <c r="W224">
        <v>10</v>
      </c>
      <c r="X224" t="s">
        <v>5927</v>
      </c>
      <c r="Y224" t="str">
        <f>HYPERLINK("http://dx.doi.org/10.1002/joc.8098","http://dx.doi.org/10.1002/joc.8098")</f>
        <v>http://dx.doi.org/10.1002/joc.8098</v>
      </c>
      <c r="Z224" t="s">
        <v>3825</v>
      </c>
      <c r="AA224" t="s">
        <v>3826</v>
      </c>
      <c r="AB224" s="3">
        <v>45672</v>
      </c>
      <c r="AC224" t="s">
        <v>5928</v>
      </c>
      <c r="AD224" t="str">
        <f>HYPERLINK("https%3A%2F%2Fwww.webofscience.com%2Fwos%2Fwoscc%2Ffull-record%2FWOS:000991429400001","View Full Record in Web of Science")</f>
        <v>View Full Record in Web of Science</v>
      </c>
    </row>
    <row r="225" spans="1:30" x14ac:dyDescent="0.35">
      <c r="A225">
        <v>224</v>
      </c>
      <c r="B225" t="s">
        <v>3254</v>
      </c>
      <c r="C225" t="s">
        <v>5929</v>
      </c>
      <c r="D225" t="s">
        <v>3254</v>
      </c>
      <c r="E225" t="s">
        <v>2896</v>
      </c>
      <c r="F225" t="s">
        <v>3810</v>
      </c>
      <c r="G225" t="s">
        <v>5930</v>
      </c>
      <c r="H225" t="s">
        <v>5931</v>
      </c>
      <c r="I225" t="s">
        <v>5932</v>
      </c>
      <c r="J225" t="s">
        <v>5933</v>
      </c>
      <c r="K225" t="s">
        <v>5934</v>
      </c>
      <c r="L225">
        <v>1</v>
      </c>
      <c r="M225" t="s">
        <v>4277</v>
      </c>
      <c r="N225" t="s">
        <v>4278</v>
      </c>
      <c r="O225" t="s">
        <v>4279</v>
      </c>
      <c r="P225" t="s">
        <v>3808</v>
      </c>
      <c r="Q225" t="s">
        <v>4280</v>
      </c>
      <c r="R225" t="s">
        <v>2896</v>
      </c>
      <c r="S225" t="s">
        <v>4281</v>
      </c>
      <c r="T225" t="s">
        <v>4016</v>
      </c>
      <c r="U225">
        <v>2023</v>
      </c>
      <c r="V225">
        <v>11</v>
      </c>
      <c r="W225">
        <v>10</v>
      </c>
      <c r="X225" t="s">
        <v>5935</v>
      </c>
      <c r="Y225" t="str">
        <f>HYPERLINK("http://dx.doi.org/10.3390/cli11100204","http://dx.doi.org/10.3390/cli11100204")</f>
        <v>http://dx.doi.org/10.3390/cli11100204</v>
      </c>
      <c r="Z225" t="s">
        <v>3825</v>
      </c>
      <c r="AA225" t="s">
        <v>4117</v>
      </c>
      <c r="AB225" s="3">
        <v>45672</v>
      </c>
      <c r="AC225" t="s">
        <v>5936</v>
      </c>
      <c r="AD225" t="str">
        <f>HYPERLINK("https%3A%2F%2Fwww.webofscience.com%2Fwos%2Fwoscc%2Ffull-record%2FWOS:001096506200001","View Full Record in Web of Science")</f>
        <v>View Full Record in Web of Science</v>
      </c>
    </row>
    <row r="226" spans="1:30" x14ac:dyDescent="0.35">
      <c r="A226">
        <v>225</v>
      </c>
      <c r="B226" t="s">
        <v>3255</v>
      </c>
      <c r="C226" t="s">
        <v>5937</v>
      </c>
      <c r="D226" t="s">
        <v>3255</v>
      </c>
      <c r="E226" t="s">
        <v>2894</v>
      </c>
      <c r="F226" t="s">
        <v>3810</v>
      </c>
      <c r="G226" t="s">
        <v>5938</v>
      </c>
      <c r="H226" t="s">
        <v>5939</v>
      </c>
      <c r="I226" t="s">
        <v>5940</v>
      </c>
      <c r="J226" t="s">
        <v>5941</v>
      </c>
      <c r="K226" t="s">
        <v>5942</v>
      </c>
      <c r="L226">
        <v>4</v>
      </c>
      <c r="M226" t="s">
        <v>4252</v>
      </c>
      <c r="N226" t="s">
        <v>4355</v>
      </c>
      <c r="O226" t="s">
        <v>4356</v>
      </c>
      <c r="P226" t="s">
        <v>4255</v>
      </c>
      <c r="Q226" t="s">
        <v>4256</v>
      </c>
      <c r="R226" t="s">
        <v>4257</v>
      </c>
      <c r="S226" t="s">
        <v>4258</v>
      </c>
      <c r="T226" t="s">
        <v>3958</v>
      </c>
      <c r="U226">
        <v>2023</v>
      </c>
      <c r="V226">
        <v>154</v>
      </c>
      <c r="W226" t="s">
        <v>4268</v>
      </c>
      <c r="X226" t="s">
        <v>5943</v>
      </c>
      <c r="Y226" t="str">
        <f>HYPERLINK("http://dx.doi.org/10.1007/s00704-023-04585-z","http://dx.doi.org/10.1007/s00704-023-04585-z")</f>
        <v>http://dx.doi.org/10.1007/s00704-023-04585-z</v>
      </c>
      <c r="Z226" t="s">
        <v>3825</v>
      </c>
      <c r="AA226" t="s">
        <v>3826</v>
      </c>
      <c r="AB226" s="3">
        <v>45672</v>
      </c>
      <c r="AC226" t="s">
        <v>5944</v>
      </c>
      <c r="AD226" t="str">
        <f>HYPERLINK("https%3A%2F%2Fwww.webofscience.com%2Fwos%2Fwoscc%2Ffull-record%2FWOS:001063401100002","View Full Record in Web of Science")</f>
        <v>View Full Record in Web of Science</v>
      </c>
    </row>
    <row r="227" spans="1:30" x14ac:dyDescent="0.35">
      <c r="A227">
        <v>226</v>
      </c>
      <c r="B227" t="s">
        <v>3256</v>
      </c>
      <c r="C227" t="s">
        <v>5945</v>
      </c>
      <c r="D227" t="s">
        <v>3256</v>
      </c>
      <c r="E227" t="s">
        <v>2868</v>
      </c>
      <c r="F227" t="s">
        <v>3810</v>
      </c>
      <c r="G227" t="s">
        <v>5946</v>
      </c>
      <c r="H227" t="s">
        <v>5947</v>
      </c>
      <c r="I227" t="s">
        <v>5948</v>
      </c>
      <c r="J227" t="s">
        <v>5949</v>
      </c>
      <c r="K227" t="s">
        <v>5950</v>
      </c>
      <c r="L227">
        <v>41</v>
      </c>
      <c r="M227" t="s">
        <v>3880</v>
      </c>
      <c r="N227" t="s">
        <v>3881</v>
      </c>
      <c r="O227" t="s">
        <v>3882</v>
      </c>
      <c r="P227" t="s">
        <v>3883</v>
      </c>
      <c r="Q227" t="s">
        <v>3884</v>
      </c>
      <c r="R227" t="s">
        <v>3885</v>
      </c>
      <c r="S227" t="s">
        <v>3886</v>
      </c>
      <c r="T227" t="s">
        <v>5045</v>
      </c>
      <c r="U227">
        <v>2017</v>
      </c>
      <c r="V227">
        <v>54</v>
      </c>
      <c r="W227">
        <v>2</v>
      </c>
      <c r="X227" t="s">
        <v>5951</v>
      </c>
      <c r="Y227" t="str">
        <f>HYPERLINK("http://dx.doi.org/10.1080/15481603.2017.1287838","http://dx.doi.org/10.1080/15481603.2017.1287838")</f>
        <v>http://dx.doi.org/10.1080/15481603.2017.1287838</v>
      </c>
      <c r="Z227" t="s">
        <v>3889</v>
      </c>
      <c r="AA227" t="s">
        <v>3826</v>
      </c>
      <c r="AB227" s="3">
        <v>45672</v>
      </c>
      <c r="AC227" t="s">
        <v>5952</v>
      </c>
      <c r="AD227" t="str">
        <f>HYPERLINK("https%3A%2F%2Fwww.webofscience.com%2Fwos%2Fwoscc%2Ffull-record%2FWOS:000398493900003","View Full Record in Web of Science")</f>
        <v>View Full Record in Web of Science</v>
      </c>
    </row>
    <row r="228" spans="1:30" x14ac:dyDescent="0.35">
      <c r="A228">
        <v>227</v>
      </c>
      <c r="B228" t="s">
        <v>3257</v>
      </c>
      <c r="C228" t="s">
        <v>5953</v>
      </c>
      <c r="D228" t="s">
        <v>3257</v>
      </c>
      <c r="E228" t="s">
        <v>2901</v>
      </c>
      <c r="F228" t="s">
        <v>3810</v>
      </c>
      <c r="G228" t="s">
        <v>5954</v>
      </c>
      <c r="H228" t="s">
        <v>5955</v>
      </c>
      <c r="I228" t="s">
        <v>5613</v>
      </c>
      <c r="J228" t="s">
        <v>5956</v>
      </c>
      <c r="K228" t="s">
        <v>5957</v>
      </c>
      <c r="L228">
        <v>12</v>
      </c>
      <c r="M228" t="s">
        <v>4377</v>
      </c>
      <c r="N228" t="s">
        <v>4378</v>
      </c>
      <c r="O228" t="s">
        <v>4379</v>
      </c>
      <c r="P228" t="s">
        <v>4380</v>
      </c>
      <c r="Q228" t="s">
        <v>4381</v>
      </c>
      <c r="R228" t="s">
        <v>4382</v>
      </c>
      <c r="S228" t="s">
        <v>4383</v>
      </c>
      <c r="T228" t="s">
        <v>3808</v>
      </c>
      <c r="U228">
        <v>2017</v>
      </c>
      <c r="V228">
        <v>95</v>
      </c>
      <c r="W228">
        <v>6</v>
      </c>
      <c r="X228" t="s">
        <v>5958</v>
      </c>
      <c r="Y228" t="str">
        <f>HYPERLINK("http://dx.doi.org/10.2151/jmsj.2017-026","http://dx.doi.org/10.2151/jmsj.2017-026")</f>
        <v>http://dx.doi.org/10.2151/jmsj.2017-026</v>
      </c>
      <c r="Z228" t="s">
        <v>3825</v>
      </c>
      <c r="AA228" t="s">
        <v>3826</v>
      </c>
      <c r="AB228" s="3">
        <v>45672</v>
      </c>
      <c r="AC228" t="s">
        <v>5959</v>
      </c>
      <c r="AD228" t="str">
        <f>HYPERLINK("https%3A%2F%2Fwww.webofscience.com%2Fwos%2Fwoscc%2Ffull-record%2FWOS:000414950600003","View Full Record in Web of Science")</f>
        <v>View Full Record in Web of Science</v>
      </c>
    </row>
    <row r="229" spans="1:30" x14ac:dyDescent="0.35">
      <c r="A229">
        <v>228</v>
      </c>
      <c r="B229" t="s">
        <v>3258</v>
      </c>
      <c r="C229" t="s">
        <v>5960</v>
      </c>
      <c r="D229" t="s">
        <v>3258</v>
      </c>
      <c r="E229" t="s">
        <v>2877</v>
      </c>
      <c r="F229" t="s">
        <v>3810</v>
      </c>
      <c r="G229" t="s">
        <v>5961</v>
      </c>
      <c r="H229" t="s">
        <v>5962</v>
      </c>
      <c r="I229" t="s">
        <v>4609</v>
      </c>
      <c r="J229" t="s">
        <v>5963</v>
      </c>
      <c r="K229" t="s">
        <v>5964</v>
      </c>
      <c r="L229">
        <v>51</v>
      </c>
      <c r="M229" t="s">
        <v>4033</v>
      </c>
      <c r="N229" t="s">
        <v>4034</v>
      </c>
      <c r="O229" t="s">
        <v>4035</v>
      </c>
      <c r="P229" t="s">
        <v>4036</v>
      </c>
      <c r="Q229" t="s">
        <v>4037</v>
      </c>
      <c r="R229" t="s">
        <v>4038</v>
      </c>
      <c r="S229" t="s">
        <v>4039</v>
      </c>
      <c r="T229" t="s">
        <v>4001</v>
      </c>
      <c r="U229">
        <v>2016</v>
      </c>
      <c r="V229">
        <v>29</v>
      </c>
      <c r="W229">
        <v>1</v>
      </c>
      <c r="X229" t="s">
        <v>5965</v>
      </c>
      <c r="Y229" t="str">
        <f>HYPERLINK("http://dx.doi.org/10.1175/JCLI-D-15-0310.1","http://dx.doi.org/10.1175/JCLI-D-15-0310.1")</f>
        <v>http://dx.doi.org/10.1175/JCLI-D-15-0310.1</v>
      </c>
      <c r="Z229" t="s">
        <v>3825</v>
      </c>
      <c r="AA229" t="s">
        <v>3826</v>
      </c>
      <c r="AB229" s="3">
        <v>45672</v>
      </c>
      <c r="AC229" t="s">
        <v>5966</v>
      </c>
      <c r="AD229" t="str">
        <f>HYPERLINK("https%3A%2F%2Fwww.webofscience.com%2Fwos%2Fwoscc%2Ffull-record%2FWOS:000367432600001","View Full Record in Web of Science")</f>
        <v>View Full Record in Web of Science</v>
      </c>
    </row>
    <row r="230" spans="1:30" x14ac:dyDescent="0.35">
      <c r="A230">
        <v>229</v>
      </c>
      <c r="B230" t="s">
        <v>3259</v>
      </c>
      <c r="C230" t="s">
        <v>5967</v>
      </c>
      <c r="D230" t="s">
        <v>3259</v>
      </c>
      <c r="E230" t="s">
        <v>2948</v>
      </c>
      <c r="F230" t="s">
        <v>3810</v>
      </c>
      <c r="G230" t="s">
        <v>5968</v>
      </c>
      <c r="H230" t="s">
        <v>5969</v>
      </c>
      <c r="I230" t="s">
        <v>5970</v>
      </c>
      <c r="J230" t="s">
        <v>5971</v>
      </c>
      <c r="K230" t="s">
        <v>5972</v>
      </c>
      <c r="L230">
        <v>7</v>
      </c>
      <c r="M230" t="s">
        <v>4033</v>
      </c>
      <c r="N230" t="s">
        <v>4034</v>
      </c>
      <c r="O230" t="s">
        <v>4035</v>
      </c>
      <c r="P230" t="s">
        <v>5973</v>
      </c>
      <c r="Q230" t="s">
        <v>5974</v>
      </c>
      <c r="R230" t="s">
        <v>5975</v>
      </c>
      <c r="S230" t="s">
        <v>5976</v>
      </c>
      <c r="T230" t="s">
        <v>5045</v>
      </c>
      <c r="U230">
        <v>2015</v>
      </c>
      <c r="V230">
        <v>143</v>
      </c>
      <c r="W230">
        <v>4</v>
      </c>
      <c r="X230" t="s">
        <v>5977</v>
      </c>
      <c r="Y230" t="str">
        <f>HYPERLINK("http://dx.doi.org/10.1175/MWR-D-14-00228.1","http://dx.doi.org/10.1175/MWR-D-14-00228.1")</f>
        <v>http://dx.doi.org/10.1175/MWR-D-14-00228.1</v>
      </c>
      <c r="Z230" t="s">
        <v>3825</v>
      </c>
      <c r="AA230" t="s">
        <v>3826</v>
      </c>
      <c r="AB230" s="3">
        <v>45672</v>
      </c>
      <c r="AC230" t="s">
        <v>5978</v>
      </c>
      <c r="AD230" t="str">
        <f>HYPERLINK("https%3A%2F%2Fwww.webofscience.com%2Fwos%2Fwoscc%2Ffull-record%2FWOS:000352106400010","View Full Record in Web of Science")</f>
        <v>View Full Record in Web of Science</v>
      </c>
    </row>
    <row r="231" spans="1:30" x14ac:dyDescent="0.35">
      <c r="A231">
        <v>230</v>
      </c>
      <c r="B231" t="s">
        <v>3260</v>
      </c>
      <c r="C231" t="s">
        <v>5979</v>
      </c>
      <c r="D231" t="s">
        <v>3260</v>
      </c>
      <c r="E231" t="s">
        <v>2882</v>
      </c>
      <c r="F231" t="s">
        <v>3810</v>
      </c>
      <c r="G231" t="s">
        <v>5980</v>
      </c>
      <c r="H231" t="s">
        <v>5981</v>
      </c>
      <c r="I231" t="s">
        <v>5982</v>
      </c>
      <c r="J231" t="s">
        <v>5983</v>
      </c>
      <c r="K231" t="s">
        <v>5984</v>
      </c>
      <c r="L231">
        <v>18</v>
      </c>
      <c r="M231" t="s">
        <v>3850</v>
      </c>
      <c r="N231" t="s">
        <v>3851</v>
      </c>
      <c r="O231" t="s">
        <v>3852</v>
      </c>
      <c r="P231" t="s">
        <v>4088</v>
      </c>
      <c r="Q231" t="s">
        <v>4089</v>
      </c>
      <c r="R231" t="s">
        <v>4090</v>
      </c>
      <c r="S231" t="s">
        <v>4091</v>
      </c>
      <c r="T231" t="s">
        <v>5045</v>
      </c>
      <c r="U231">
        <v>2017</v>
      </c>
      <c r="V231">
        <v>143</v>
      </c>
      <c r="W231">
        <v>705</v>
      </c>
      <c r="X231" t="s">
        <v>5985</v>
      </c>
      <c r="Y231" t="str">
        <f>HYPERLINK("http://dx.doi.org/10.1002/qj.3046","http://dx.doi.org/10.1002/qj.3046")</f>
        <v>http://dx.doi.org/10.1002/qj.3046</v>
      </c>
      <c r="Z231" t="s">
        <v>3825</v>
      </c>
      <c r="AA231" t="s">
        <v>3826</v>
      </c>
      <c r="AB231" s="3">
        <v>45672</v>
      </c>
      <c r="AC231" t="s">
        <v>5986</v>
      </c>
      <c r="AD231" t="str">
        <f>HYPERLINK("https%3A%2F%2Fwww.webofscience.com%2Fwos%2Fwoscc%2Ffull-record%2FWOS:000403437900010","View Full Record in Web of Science")</f>
        <v>View Full Record in Web of Science</v>
      </c>
    </row>
    <row r="232" spans="1:30" x14ac:dyDescent="0.35">
      <c r="A232">
        <v>231</v>
      </c>
      <c r="B232" t="s">
        <v>3261</v>
      </c>
      <c r="C232" t="s">
        <v>5987</v>
      </c>
      <c r="D232" t="s">
        <v>3261</v>
      </c>
      <c r="E232" t="s">
        <v>2862</v>
      </c>
      <c r="F232" t="s">
        <v>3810</v>
      </c>
      <c r="G232" t="s">
        <v>5988</v>
      </c>
      <c r="H232" t="s">
        <v>5989</v>
      </c>
      <c r="I232" t="s">
        <v>5163</v>
      </c>
      <c r="J232" t="s">
        <v>5990</v>
      </c>
      <c r="K232" t="s">
        <v>5991</v>
      </c>
      <c r="L232">
        <v>53</v>
      </c>
      <c r="M232" t="s">
        <v>3816</v>
      </c>
      <c r="N232" t="s">
        <v>3817</v>
      </c>
      <c r="O232" t="s">
        <v>3818</v>
      </c>
      <c r="P232" t="s">
        <v>3819</v>
      </c>
      <c r="Q232" t="s">
        <v>3820</v>
      </c>
      <c r="R232" t="s">
        <v>3821</v>
      </c>
      <c r="S232" t="s">
        <v>3822</v>
      </c>
      <c r="T232" t="s">
        <v>4636</v>
      </c>
      <c r="U232">
        <v>2020</v>
      </c>
      <c r="V232">
        <v>233</v>
      </c>
      <c r="W232" t="s">
        <v>3808</v>
      </c>
      <c r="X232" t="s">
        <v>5992</v>
      </c>
      <c r="Y232" t="str">
        <f>HYPERLINK("http://dx.doi.org/10.1016/j.atmosres.2019.104720","http://dx.doi.org/10.1016/j.atmosres.2019.104720")</f>
        <v>http://dx.doi.org/10.1016/j.atmosres.2019.104720</v>
      </c>
      <c r="Z232" t="s">
        <v>3825</v>
      </c>
      <c r="AA232" t="s">
        <v>3826</v>
      </c>
      <c r="AB232" s="3">
        <v>45672</v>
      </c>
      <c r="AC232" t="s">
        <v>5993</v>
      </c>
      <c r="AD232" t="str">
        <f>HYPERLINK("https%3A%2F%2Fwww.webofscience.com%2Fwos%2Fwoscc%2Ffull-record%2FWOS:000513180200017","View Full Record in Web of Science")</f>
        <v>View Full Record in Web of Science</v>
      </c>
    </row>
    <row r="233" spans="1:30" x14ac:dyDescent="0.35">
      <c r="A233">
        <v>232</v>
      </c>
      <c r="B233" t="s">
        <v>3262</v>
      </c>
      <c r="C233" t="s">
        <v>5994</v>
      </c>
      <c r="D233" t="s">
        <v>3262</v>
      </c>
      <c r="E233" t="s">
        <v>2949</v>
      </c>
      <c r="F233" t="s">
        <v>3810</v>
      </c>
      <c r="G233" t="s">
        <v>5995</v>
      </c>
      <c r="H233" t="s">
        <v>5996</v>
      </c>
      <c r="I233" t="s">
        <v>5997</v>
      </c>
      <c r="J233" t="s">
        <v>5998</v>
      </c>
      <c r="K233" t="s">
        <v>5999</v>
      </c>
      <c r="L233">
        <v>13</v>
      </c>
      <c r="M233" t="s">
        <v>3866</v>
      </c>
      <c r="N233" t="s">
        <v>3817</v>
      </c>
      <c r="O233" t="s">
        <v>3867</v>
      </c>
      <c r="P233" t="s">
        <v>6000</v>
      </c>
      <c r="Q233" t="s">
        <v>3808</v>
      </c>
      <c r="R233" t="s">
        <v>6001</v>
      </c>
      <c r="S233" t="s">
        <v>6002</v>
      </c>
      <c r="T233" t="s">
        <v>6003</v>
      </c>
      <c r="U233">
        <v>2017</v>
      </c>
      <c r="V233">
        <v>4</v>
      </c>
      <c r="W233" t="s">
        <v>3808</v>
      </c>
      <c r="X233" t="s">
        <v>6004</v>
      </c>
      <c r="Y233" t="str">
        <f>HYPERLINK("http://dx.doi.org/10.1186/s40562-017-0081-8","http://dx.doi.org/10.1186/s40562-017-0081-8")</f>
        <v>http://dx.doi.org/10.1186/s40562-017-0081-8</v>
      </c>
      <c r="Z233" t="s">
        <v>4455</v>
      </c>
      <c r="AA233" t="s">
        <v>3826</v>
      </c>
      <c r="AB233" s="3">
        <v>45672</v>
      </c>
      <c r="AC233" t="s">
        <v>6005</v>
      </c>
      <c r="AD233" t="str">
        <f>HYPERLINK("https%3A%2F%2Fwww.webofscience.com%2Fwos%2Fwoscc%2Ffull-record%2FWOS:000445939000001","View Full Record in Web of Science")</f>
        <v>View Full Record in Web of Science</v>
      </c>
    </row>
    <row r="234" spans="1:30" x14ac:dyDescent="0.35">
      <c r="A234">
        <v>233</v>
      </c>
      <c r="B234" t="s">
        <v>3263</v>
      </c>
      <c r="C234" t="s">
        <v>6006</v>
      </c>
      <c r="D234" t="s">
        <v>3263</v>
      </c>
      <c r="E234" t="s">
        <v>2877</v>
      </c>
      <c r="F234" t="s">
        <v>3810</v>
      </c>
      <c r="G234" t="s">
        <v>6007</v>
      </c>
      <c r="H234" t="s">
        <v>6008</v>
      </c>
      <c r="I234" t="s">
        <v>6009</v>
      </c>
      <c r="J234" t="s">
        <v>6010</v>
      </c>
      <c r="K234" t="s">
        <v>6011</v>
      </c>
      <c r="L234">
        <v>53</v>
      </c>
      <c r="M234" t="s">
        <v>4033</v>
      </c>
      <c r="N234" t="s">
        <v>4034</v>
      </c>
      <c r="O234" t="s">
        <v>4035</v>
      </c>
      <c r="P234" t="s">
        <v>4036</v>
      </c>
      <c r="Q234" t="s">
        <v>4037</v>
      </c>
      <c r="R234" t="s">
        <v>4038</v>
      </c>
      <c r="S234" t="s">
        <v>4039</v>
      </c>
      <c r="T234" t="s">
        <v>5045</v>
      </c>
      <c r="U234">
        <v>2020</v>
      </c>
      <c r="V234">
        <v>33</v>
      </c>
      <c r="W234">
        <v>7</v>
      </c>
      <c r="X234" t="s">
        <v>6012</v>
      </c>
      <c r="Y234" t="str">
        <f>HYPERLINK("http://dx.doi.org/10.1175/JCLI-D-19-0630.1","http://dx.doi.org/10.1175/JCLI-D-19-0630.1")</f>
        <v>http://dx.doi.org/10.1175/JCLI-D-19-0630.1</v>
      </c>
      <c r="Z234" t="s">
        <v>3825</v>
      </c>
      <c r="AA234" t="s">
        <v>3826</v>
      </c>
      <c r="AB234" s="3">
        <v>45672</v>
      </c>
      <c r="AC234" t="s">
        <v>6013</v>
      </c>
      <c r="AD234" t="str">
        <f>HYPERLINK("https%3A%2F%2Fwww.webofscience.com%2Fwos%2Fwoscc%2Ffull-record%2FWOS:000526720300001","View Full Record in Web of Science")</f>
        <v>View Full Record in Web of Science</v>
      </c>
    </row>
    <row r="235" spans="1:30" x14ac:dyDescent="0.35">
      <c r="A235">
        <v>234</v>
      </c>
      <c r="B235" t="s">
        <v>3264</v>
      </c>
      <c r="C235" t="s">
        <v>6014</v>
      </c>
      <c r="D235" t="s">
        <v>3264</v>
      </c>
      <c r="E235" t="s">
        <v>2929</v>
      </c>
      <c r="F235" t="s">
        <v>3810</v>
      </c>
      <c r="G235" t="s">
        <v>6015</v>
      </c>
      <c r="H235" t="s">
        <v>6016</v>
      </c>
      <c r="I235" t="s">
        <v>6017</v>
      </c>
      <c r="J235" t="s">
        <v>6018</v>
      </c>
      <c r="K235" t="s">
        <v>6019</v>
      </c>
      <c r="L235">
        <v>29</v>
      </c>
      <c r="M235" t="s">
        <v>5142</v>
      </c>
      <c r="N235" t="s">
        <v>5143</v>
      </c>
      <c r="O235" t="s">
        <v>5144</v>
      </c>
      <c r="P235" t="s">
        <v>5145</v>
      </c>
      <c r="Q235" t="s">
        <v>5146</v>
      </c>
      <c r="R235" t="s">
        <v>5147</v>
      </c>
      <c r="S235" t="s">
        <v>5148</v>
      </c>
      <c r="T235" t="s">
        <v>3932</v>
      </c>
      <c r="U235">
        <v>2016</v>
      </c>
      <c r="V235">
        <v>52</v>
      </c>
      <c r="W235">
        <v>2</v>
      </c>
      <c r="X235" t="s">
        <v>6020</v>
      </c>
      <c r="Y235" t="str">
        <f>HYPERLINK("http://dx.doi.org/10.1007/s13143-016-0019-7","http://dx.doi.org/10.1007/s13143-016-0019-7")</f>
        <v>http://dx.doi.org/10.1007/s13143-016-0019-7</v>
      </c>
      <c r="Z235" t="s">
        <v>3825</v>
      </c>
      <c r="AA235" t="s">
        <v>3826</v>
      </c>
      <c r="AB235" s="3">
        <v>45672</v>
      </c>
      <c r="AC235" t="s">
        <v>6021</v>
      </c>
      <c r="AD235" t="str">
        <f>HYPERLINK("https%3A%2F%2Fwww.webofscience.com%2Fwos%2Fwoscc%2Ffull-record%2FWOS:000376934700009","View Full Record in Web of Science")</f>
        <v>View Full Record in Web of Science</v>
      </c>
    </row>
    <row r="236" spans="1:30" x14ac:dyDescent="0.35">
      <c r="A236">
        <v>235</v>
      </c>
      <c r="B236" t="s">
        <v>3265</v>
      </c>
      <c r="C236" t="s">
        <v>6022</v>
      </c>
      <c r="D236" t="s">
        <v>3265</v>
      </c>
      <c r="E236" t="s">
        <v>2894</v>
      </c>
      <c r="F236" t="s">
        <v>3810</v>
      </c>
      <c r="G236" t="s">
        <v>6023</v>
      </c>
      <c r="H236" t="s">
        <v>6024</v>
      </c>
      <c r="I236" t="s">
        <v>6025</v>
      </c>
      <c r="K236" t="s">
        <v>3808</v>
      </c>
      <c r="L236">
        <v>27</v>
      </c>
      <c r="M236" t="s">
        <v>4252</v>
      </c>
      <c r="N236" t="s">
        <v>4355</v>
      </c>
      <c r="O236" t="s">
        <v>4356</v>
      </c>
      <c r="P236" t="s">
        <v>4255</v>
      </c>
      <c r="Q236" t="s">
        <v>4256</v>
      </c>
      <c r="R236" t="s">
        <v>4257</v>
      </c>
      <c r="S236" t="s">
        <v>4258</v>
      </c>
      <c r="T236" t="s">
        <v>3932</v>
      </c>
      <c r="U236">
        <v>2021</v>
      </c>
      <c r="V236">
        <v>144</v>
      </c>
      <c r="W236" t="s">
        <v>4268</v>
      </c>
      <c r="X236" t="s">
        <v>6026</v>
      </c>
      <c r="Y236" t="str">
        <f>HYPERLINK("http://dx.doi.org/10.1007/s00704-021-03606-z","http://dx.doi.org/10.1007/s00704-021-03606-z")</f>
        <v>http://dx.doi.org/10.1007/s00704-021-03606-z</v>
      </c>
      <c r="Z236" t="s">
        <v>3825</v>
      </c>
      <c r="AA236" t="s">
        <v>3826</v>
      </c>
      <c r="AB236" s="3">
        <v>45672</v>
      </c>
      <c r="AC236" t="s">
        <v>6027</v>
      </c>
      <c r="AD236" t="str">
        <f>HYPERLINK("https%3A%2F%2Fwww.webofscience.com%2Fwos%2Fwoscc%2Ffull-record%2FWOS:000639775200001","View Full Record in Web of Science")</f>
        <v>View Full Record in Web of Science</v>
      </c>
    </row>
    <row r="237" spans="1:30" x14ac:dyDescent="0.35">
      <c r="A237">
        <v>236</v>
      </c>
      <c r="B237" t="s">
        <v>3266</v>
      </c>
      <c r="C237" t="s">
        <v>6028</v>
      </c>
      <c r="D237" t="s">
        <v>3266</v>
      </c>
      <c r="E237" t="s">
        <v>2913</v>
      </c>
      <c r="F237" t="s">
        <v>3810</v>
      </c>
      <c r="G237" t="s">
        <v>6029</v>
      </c>
      <c r="H237" t="s">
        <v>6030</v>
      </c>
      <c r="I237" t="s">
        <v>6031</v>
      </c>
      <c r="J237" t="s">
        <v>6032</v>
      </c>
      <c r="K237" t="s">
        <v>6033</v>
      </c>
      <c r="L237">
        <v>3</v>
      </c>
      <c r="M237" t="s">
        <v>4377</v>
      </c>
      <c r="N237" t="s">
        <v>4378</v>
      </c>
      <c r="O237" t="s">
        <v>4379</v>
      </c>
      <c r="P237" t="s">
        <v>4691</v>
      </c>
      <c r="Q237" t="s">
        <v>3808</v>
      </c>
      <c r="R237" t="s">
        <v>2913</v>
      </c>
      <c r="S237" t="s">
        <v>2913</v>
      </c>
      <c r="T237" t="s">
        <v>3808</v>
      </c>
      <c r="U237">
        <v>2022</v>
      </c>
      <c r="V237">
        <v>18</v>
      </c>
      <c r="W237" t="s">
        <v>3808</v>
      </c>
      <c r="X237" t="s">
        <v>6034</v>
      </c>
      <c r="Y237" t="str">
        <f>HYPERLINK("http://dx.doi.org/10.2151/sola.2022-030","http://dx.doi.org/10.2151/sola.2022-030")</f>
        <v>http://dx.doi.org/10.2151/sola.2022-030</v>
      </c>
      <c r="Z237" t="s">
        <v>3825</v>
      </c>
      <c r="AA237" t="s">
        <v>3826</v>
      </c>
      <c r="AB237" s="3">
        <v>45672</v>
      </c>
      <c r="AC237" t="s">
        <v>6035</v>
      </c>
      <c r="AD237" t="str">
        <f>HYPERLINK("https%3A%2F%2Fwww.webofscience.com%2Fwos%2Fwoscc%2Ffull-record%2FWOS:000911658800027","View Full Record in Web of Science")</f>
        <v>View Full Record in Web of Science</v>
      </c>
    </row>
    <row r="238" spans="1:30" x14ac:dyDescent="0.35">
      <c r="A238">
        <v>237</v>
      </c>
      <c r="B238" t="s">
        <v>3267</v>
      </c>
      <c r="C238" t="s">
        <v>6036</v>
      </c>
      <c r="D238" t="s">
        <v>3267</v>
      </c>
      <c r="E238" t="s">
        <v>2926</v>
      </c>
      <c r="F238" t="s">
        <v>3810</v>
      </c>
      <c r="G238" t="s">
        <v>6037</v>
      </c>
      <c r="H238" t="s">
        <v>6038</v>
      </c>
      <c r="I238" t="s">
        <v>5026</v>
      </c>
      <c r="J238" t="s">
        <v>6039</v>
      </c>
      <c r="K238" t="s">
        <v>6040</v>
      </c>
      <c r="L238">
        <v>20</v>
      </c>
      <c r="M238" t="s">
        <v>3951</v>
      </c>
      <c r="N238" t="s">
        <v>3952</v>
      </c>
      <c r="O238" t="s">
        <v>3953</v>
      </c>
      <c r="P238" t="s">
        <v>5029</v>
      </c>
      <c r="Q238" t="s">
        <v>3808</v>
      </c>
      <c r="R238" t="s">
        <v>5030</v>
      </c>
      <c r="S238" t="s">
        <v>5031</v>
      </c>
      <c r="T238" t="s">
        <v>4163</v>
      </c>
      <c r="U238">
        <v>2021</v>
      </c>
      <c r="V238">
        <v>66</v>
      </c>
      <c r="W238" t="s">
        <v>3808</v>
      </c>
      <c r="X238" t="s">
        <v>6041</v>
      </c>
      <c r="Y238" t="str">
        <f>HYPERLINK("http://dx.doi.org/10.1016/j.ijdrr.2021.102602","http://dx.doi.org/10.1016/j.ijdrr.2021.102602")</f>
        <v>http://dx.doi.org/10.1016/j.ijdrr.2021.102602</v>
      </c>
      <c r="Z238" t="s">
        <v>3934</v>
      </c>
      <c r="AA238" t="s">
        <v>3826</v>
      </c>
      <c r="AB238" s="3">
        <v>45672</v>
      </c>
      <c r="AC238" t="s">
        <v>6042</v>
      </c>
      <c r="AD238" t="str">
        <f>HYPERLINK("https%3A%2F%2Fwww.webofscience.com%2Fwos%2Fwoscc%2Ffull-record%2FWOS:000703554100002","View Full Record in Web of Science")</f>
        <v>View Full Record in Web of Science</v>
      </c>
    </row>
    <row r="239" spans="1:30" x14ac:dyDescent="0.35">
      <c r="A239">
        <v>238</v>
      </c>
      <c r="B239" t="s">
        <v>3268</v>
      </c>
      <c r="C239" t="s">
        <v>6043</v>
      </c>
      <c r="D239" t="s">
        <v>3268</v>
      </c>
      <c r="E239" t="s">
        <v>2910</v>
      </c>
      <c r="F239" t="s">
        <v>3810</v>
      </c>
      <c r="G239" t="s">
        <v>6044</v>
      </c>
      <c r="H239" t="s">
        <v>6045</v>
      </c>
      <c r="I239" t="s">
        <v>6046</v>
      </c>
      <c r="J239" t="s">
        <v>6047</v>
      </c>
      <c r="K239" t="s">
        <v>6048</v>
      </c>
      <c r="L239">
        <v>6</v>
      </c>
      <c r="M239" t="s">
        <v>4555</v>
      </c>
      <c r="N239" t="s">
        <v>4556</v>
      </c>
      <c r="O239" t="s">
        <v>4557</v>
      </c>
      <c r="P239" t="s">
        <v>3808</v>
      </c>
      <c r="Q239" t="s">
        <v>4558</v>
      </c>
      <c r="R239" t="s">
        <v>4559</v>
      </c>
      <c r="S239" t="s">
        <v>4560</v>
      </c>
      <c r="T239" t="s">
        <v>6049</v>
      </c>
      <c r="U239">
        <v>2022</v>
      </c>
      <c r="V239">
        <v>9</v>
      </c>
      <c r="W239" t="s">
        <v>3808</v>
      </c>
      <c r="X239" t="s">
        <v>6050</v>
      </c>
      <c r="Y239" t="str">
        <f>HYPERLINK("http://dx.doi.org/10.3389/feart.2021.741670","http://dx.doi.org/10.3389/feart.2021.741670")</f>
        <v>http://dx.doi.org/10.3389/feart.2021.741670</v>
      </c>
      <c r="Z239" t="s">
        <v>4116</v>
      </c>
      <c r="AA239" t="s">
        <v>3826</v>
      </c>
      <c r="AB239" s="3">
        <v>45672</v>
      </c>
      <c r="AC239" t="s">
        <v>6051</v>
      </c>
      <c r="AD239" t="str">
        <f>HYPERLINK("https%3A%2F%2Fwww.webofscience.com%2Fwos%2Fwoscc%2Ffull-record%2FWOS:000759179300001","View Full Record in Web of Science")</f>
        <v>View Full Record in Web of Science</v>
      </c>
    </row>
    <row r="240" spans="1:30" x14ac:dyDescent="0.35">
      <c r="A240">
        <v>239</v>
      </c>
      <c r="B240" t="s">
        <v>3269</v>
      </c>
      <c r="C240" t="s">
        <v>6052</v>
      </c>
      <c r="D240" t="s">
        <v>3269</v>
      </c>
      <c r="E240" t="s">
        <v>2888</v>
      </c>
      <c r="F240" t="s">
        <v>3810</v>
      </c>
      <c r="G240" t="s">
        <v>6053</v>
      </c>
      <c r="H240" t="s">
        <v>6054</v>
      </c>
      <c r="I240" t="s">
        <v>6055</v>
      </c>
      <c r="J240" t="s">
        <v>6056</v>
      </c>
      <c r="K240" t="s">
        <v>6057</v>
      </c>
      <c r="L240">
        <v>66</v>
      </c>
      <c r="M240" t="s">
        <v>3951</v>
      </c>
      <c r="N240" t="s">
        <v>3952</v>
      </c>
      <c r="O240" t="s">
        <v>3953</v>
      </c>
      <c r="P240" t="s">
        <v>4198</v>
      </c>
      <c r="Q240" t="s">
        <v>4199</v>
      </c>
      <c r="R240" t="s">
        <v>4200</v>
      </c>
      <c r="S240" t="s">
        <v>4201</v>
      </c>
      <c r="T240" t="s">
        <v>5045</v>
      </c>
      <c r="U240">
        <v>2019</v>
      </c>
      <c r="V240">
        <v>175</v>
      </c>
      <c r="W240" t="s">
        <v>3808</v>
      </c>
      <c r="X240" t="s">
        <v>6058</v>
      </c>
      <c r="Y240" t="str">
        <f>HYPERLINK("http://dx.doi.org/10.1016/j.gloplacha.2019.01.021","http://dx.doi.org/10.1016/j.gloplacha.2019.01.021")</f>
        <v>http://dx.doi.org/10.1016/j.gloplacha.2019.01.021</v>
      </c>
      <c r="Z240" t="s">
        <v>4203</v>
      </c>
      <c r="AA240" t="s">
        <v>3826</v>
      </c>
      <c r="AB240" s="3">
        <v>45672</v>
      </c>
      <c r="AC240" t="s">
        <v>6059</v>
      </c>
      <c r="AD240" t="str">
        <f>HYPERLINK("https%3A%2F%2Fwww.webofscience.com%2Fwos%2Fwoscc%2Ffull-record%2FWOS:000463982700006","View Full Record in Web of Science")</f>
        <v>View Full Record in Web of Science</v>
      </c>
    </row>
    <row r="241" spans="1:30" x14ac:dyDescent="0.35">
      <c r="A241">
        <v>240</v>
      </c>
      <c r="B241" t="s">
        <v>3270</v>
      </c>
      <c r="C241" t="s">
        <v>6060</v>
      </c>
      <c r="D241" t="s">
        <v>3270</v>
      </c>
      <c r="E241" t="s">
        <v>2877</v>
      </c>
      <c r="F241" t="s">
        <v>3810</v>
      </c>
      <c r="G241" t="s">
        <v>6061</v>
      </c>
      <c r="H241" t="s">
        <v>6062</v>
      </c>
      <c r="I241" t="s">
        <v>6063</v>
      </c>
      <c r="J241" t="s">
        <v>6064</v>
      </c>
      <c r="K241" t="s">
        <v>6065</v>
      </c>
      <c r="L241">
        <v>58</v>
      </c>
      <c r="M241" t="s">
        <v>4033</v>
      </c>
      <c r="N241" t="s">
        <v>4034</v>
      </c>
      <c r="O241" t="s">
        <v>4035</v>
      </c>
      <c r="P241" t="s">
        <v>4036</v>
      </c>
      <c r="Q241" t="s">
        <v>4037</v>
      </c>
      <c r="R241" t="s">
        <v>4038</v>
      </c>
      <c r="S241" t="s">
        <v>4039</v>
      </c>
      <c r="T241" t="s">
        <v>4001</v>
      </c>
      <c r="U241">
        <v>2018</v>
      </c>
      <c r="V241">
        <v>31</v>
      </c>
      <c r="W241">
        <v>2</v>
      </c>
      <c r="X241" t="s">
        <v>6066</v>
      </c>
      <c r="Y241" t="str">
        <f>HYPERLINK("http://dx.doi.org/10.1175/JCLI-D-17-0325.1","http://dx.doi.org/10.1175/JCLI-D-17-0325.1")</f>
        <v>http://dx.doi.org/10.1175/JCLI-D-17-0325.1</v>
      </c>
      <c r="Z241" t="s">
        <v>3825</v>
      </c>
      <c r="AA241" t="s">
        <v>3826</v>
      </c>
      <c r="AB241" s="3">
        <v>45672</v>
      </c>
      <c r="AC241" t="s">
        <v>6067</v>
      </c>
      <c r="AD241" t="str">
        <f>HYPERLINK("https%3A%2F%2Fwww.webofscience.com%2Fwos%2Fwoscc%2Ffull-record%2FWOS:000425164800021","View Full Record in Web of Science")</f>
        <v>View Full Record in Web of Science</v>
      </c>
    </row>
    <row r="242" spans="1:30" x14ac:dyDescent="0.35">
      <c r="A242">
        <v>241</v>
      </c>
      <c r="B242" t="s">
        <v>3271</v>
      </c>
      <c r="C242" t="s">
        <v>6068</v>
      </c>
      <c r="D242" t="s">
        <v>3271</v>
      </c>
      <c r="E242" t="s">
        <v>2894</v>
      </c>
      <c r="F242" t="s">
        <v>3810</v>
      </c>
      <c r="G242" t="s">
        <v>6069</v>
      </c>
      <c r="H242" t="s">
        <v>6070</v>
      </c>
      <c r="I242" t="s">
        <v>6071</v>
      </c>
      <c r="J242" t="s">
        <v>3808</v>
      </c>
      <c r="K242" t="s">
        <v>3808</v>
      </c>
      <c r="L242">
        <v>55</v>
      </c>
      <c r="M242" t="s">
        <v>4252</v>
      </c>
      <c r="N242" t="s">
        <v>4355</v>
      </c>
      <c r="O242" t="s">
        <v>4356</v>
      </c>
      <c r="P242" t="s">
        <v>4255</v>
      </c>
      <c r="Q242" t="s">
        <v>4256</v>
      </c>
      <c r="R242" t="s">
        <v>4257</v>
      </c>
      <c r="S242" t="s">
        <v>4258</v>
      </c>
      <c r="T242" t="s">
        <v>3932</v>
      </c>
      <c r="U242">
        <v>2021</v>
      </c>
      <c r="V242">
        <v>144</v>
      </c>
      <c r="W242" t="s">
        <v>4268</v>
      </c>
      <c r="X242" t="s">
        <v>6072</v>
      </c>
      <c r="Y242" t="str">
        <f>HYPERLINK("http://dx.doi.org/10.1007/s00704-021-03574-4","http://dx.doi.org/10.1007/s00704-021-03574-4")</f>
        <v>http://dx.doi.org/10.1007/s00704-021-03574-4</v>
      </c>
      <c r="Z242" t="s">
        <v>3825</v>
      </c>
      <c r="AA242" t="s">
        <v>3826</v>
      </c>
      <c r="AB242" s="3">
        <v>45672</v>
      </c>
      <c r="AC242" t="s">
        <v>6073</v>
      </c>
      <c r="AD242" t="str">
        <f>HYPERLINK("https%3A%2F%2Fwww.webofscience.com%2Fwos%2Fwoscc%2Ffull-record%2FWOS:000623702000001","View Full Record in Web of Science")</f>
        <v>View Full Record in Web of Science</v>
      </c>
    </row>
    <row r="243" spans="1:30" x14ac:dyDescent="0.35">
      <c r="A243">
        <v>242</v>
      </c>
      <c r="B243" t="s">
        <v>3272</v>
      </c>
      <c r="C243" t="s">
        <v>6074</v>
      </c>
      <c r="D243" t="s">
        <v>3272</v>
      </c>
      <c r="E243" t="s">
        <v>2866</v>
      </c>
      <c r="F243" t="s">
        <v>3810</v>
      </c>
      <c r="G243" t="s">
        <v>6075</v>
      </c>
      <c r="H243" t="s">
        <v>6076</v>
      </c>
      <c r="I243" t="s">
        <v>3808</v>
      </c>
      <c r="J243" t="s">
        <v>3808</v>
      </c>
      <c r="K243" t="s">
        <v>3808</v>
      </c>
      <c r="L243">
        <v>66</v>
      </c>
      <c r="M243" t="s">
        <v>3850</v>
      </c>
      <c r="N243" t="s">
        <v>3851</v>
      </c>
      <c r="O243" t="s">
        <v>3852</v>
      </c>
      <c r="P243" t="s">
        <v>3853</v>
      </c>
      <c r="Q243" t="s">
        <v>3854</v>
      </c>
      <c r="R243" t="s">
        <v>3855</v>
      </c>
      <c r="S243" t="s">
        <v>3856</v>
      </c>
      <c r="T243" t="s">
        <v>4154</v>
      </c>
      <c r="U243">
        <v>2019</v>
      </c>
      <c r="V243">
        <v>39</v>
      </c>
      <c r="W243">
        <v>4</v>
      </c>
      <c r="X243" t="s">
        <v>6077</v>
      </c>
      <c r="Y243" t="str">
        <f>HYPERLINK("http://dx.doi.org/10.1002/joc.5959","http://dx.doi.org/10.1002/joc.5959")</f>
        <v>http://dx.doi.org/10.1002/joc.5959</v>
      </c>
      <c r="Z243" t="s">
        <v>3825</v>
      </c>
      <c r="AA243" t="s">
        <v>3826</v>
      </c>
      <c r="AB243" s="3">
        <v>45672</v>
      </c>
      <c r="AC243" t="s">
        <v>6078</v>
      </c>
      <c r="AD243" t="str">
        <f>HYPERLINK("https%3A%2F%2Fwww.webofscience.com%2Fwos%2Fwoscc%2Ffull-record%2FWOS:000465456400039","View Full Record in Web of Science")</f>
        <v>View Full Record in Web of Science</v>
      </c>
    </row>
    <row r="244" spans="1:30" x14ac:dyDescent="0.35">
      <c r="A244">
        <v>243</v>
      </c>
      <c r="B244" t="s">
        <v>3273</v>
      </c>
      <c r="C244" t="s">
        <v>6079</v>
      </c>
      <c r="D244" t="s">
        <v>3273</v>
      </c>
      <c r="E244" t="s">
        <v>2894</v>
      </c>
      <c r="F244" t="s">
        <v>3810</v>
      </c>
      <c r="G244" t="s">
        <v>6080</v>
      </c>
      <c r="H244" t="s">
        <v>6081</v>
      </c>
      <c r="I244" t="s">
        <v>4328</v>
      </c>
      <c r="K244" t="s">
        <v>3808</v>
      </c>
      <c r="L244">
        <v>2</v>
      </c>
      <c r="M244" t="s">
        <v>4252</v>
      </c>
      <c r="N244" t="s">
        <v>4253</v>
      </c>
      <c r="O244" t="s">
        <v>4254</v>
      </c>
      <c r="P244" t="s">
        <v>4255</v>
      </c>
      <c r="Q244" t="s">
        <v>4256</v>
      </c>
      <c r="R244" t="s">
        <v>4257</v>
      </c>
      <c r="S244" t="s">
        <v>4258</v>
      </c>
      <c r="T244" t="s">
        <v>3918</v>
      </c>
      <c r="U244">
        <v>2015</v>
      </c>
      <c r="V244">
        <v>121</v>
      </c>
      <c r="W244" t="s">
        <v>4259</v>
      </c>
      <c r="X244" t="s">
        <v>6082</v>
      </c>
      <c r="Y244" t="str">
        <f>HYPERLINK("http://dx.doi.org/10.1007/s00704-014-1221-0","http://dx.doi.org/10.1007/s00704-014-1221-0")</f>
        <v>http://dx.doi.org/10.1007/s00704-014-1221-0</v>
      </c>
      <c r="Z244" t="s">
        <v>3825</v>
      </c>
      <c r="AA244" t="s">
        <v>3826</v>
      </c>
      <c r="AB244" s="3">
        <v>45672</v>
      </c>
      <c r="AC244" t="s">
        <v>6083</v>
      </c>
      <c r="AD244" t="str">
        <f>HYPERLINK("https%3A%2F%2Fwww.webofscience.com%2Fwos%2Fwoscc%2Ffull-record%2FWOS:000356539300016","View Full Record in Web of Science")</f>
        <v>View Full Record in Web of Science</v>
      </c>
    </row>
    <row r="245" spans="1:30" x14ac:dyDescent="0.35">
      <c r="A245">
        <v>244</v>
      </c>
      <c r="B245" t="s">
        <v>3274</v>
      </c>
      <c r="C245" t="s">
        <v>6084</v>
      </c>
      <c r="D245" t="s">
        <v>3274</v>
      </c>
      <c r="E245" t="s">
        <v>2896</v>
      </c>
      <c r="F245" t="s">
        <v>3810</v>
      </c>
      <c r="G245" t="s">
        <v>6085</v>
      </c>
      <c r="H245" t="s">
        <v>6086</v>
      </c>
      <c r="I245" t="s">
        <v>6087</v>
      </c>
      <c r="J245" t="s">
        <v>6088</v>
      </c>
      <c r="K245" t="s">
        <v>6089</v>
      </c>
      <c r="L245">
        <v>19</v>
      </c>
      <c r="M245" t="s">
        <v>4277</v>
      </c>
      <c r="N245" t="s">
        <v>4278</v>
      </c>
      <c r="O245" t="s">
        <v>4279</v>
      </c>
      <c r="P245" t="s">
        <v>3808</v>
      </c>
      <c r="Q245" t="s">
        <v>4280</v>
      </c>
      <c r="R245" t="s">
        <v>2896</v>
      </c>
      <c r="S245" t="s">
        <v>4281</v>
      </c>
      <c r="T245" t="s">
        <v>3918</v>
      </c>
      <c r="U245">
        <v>2020</v>
      </c>
      <c r="V245">
        <v>8</v>
      </c>
      <c r="W245">
        <v>7</v>
      </c>
      <c r="X245" t="s">
        <v>6090</v>
      </c>
      <c r="Y245" t="str">
        <f>HYPERLINK("http://dx.doi.org/10.3390/cli8070082","http://dx.doi.org/10.3390/cli8070082")</f>
        <v>http://dx.doi.org/10.3390/cli8070082</v>
      </c>
      <c r="Z245" t="s">
        <v>3825</v>
      </c>
      <c r="AA245" t="s">
        <v>4117</v>
      </c>
      <c r="AB245" s="3">
        <v>45672</v>
      </c>
      <c r="AC245" t="s">
        <v>6091</v>
      </c>
      <c r="AD245" t="str">
        <f>HYPERLINK("https%3A%2F%2Fwww.webofscience.com%2Fwos%2Fwoscc%2Ffull-record%2FWOS:000554257600001","View Full Record in Web of Science")</f>
        <v>View Full Record in Web of Science</v>
      </c>
    </row>
    <row r="246" spans="1:30" x14ac:dyDescent="0.35">
      <c r="A246">
        <v>245</v>
      </c>
      <c r="B246" t="s">
        <v>3275</v>
      </c>
      <c r="C246" t="s">
        <v>6092</v>
      </c>
      <c r="D246" t="s">
        <v>3275</v>
      </c>
      <c r="E246" t="s">
        <v>2866</v>
      </c>
      <c r="F246" t="s">
        <v>3810</v>
      </c>
      <c r="G246" t="s">
        <v>6093</v>
      </c>
      <c r="H246" t="s">
        <v>6094</v>
      </c>
      <c r="I246" t="s">
        <v>6095</v>
      </c>
      <c r="J246" t="s">
        <v>6096</v>
      </c>
      <c r="K246" t="s">
        <v>6097</v>
      </c>
      <c r="L246">
        <v>5</v>
      </c>
      <c r="M246" t="s">
        <v>3850</v>
      </c>
      <c r="N246" t="s">
        <v>3851</v>
      </c>
      <c r="O246" t="s">
        <v>3852</v>
      </c>
      <c r="P246" t="s">
        <v>3853</v>
      </c>
      <c r="Q246" t="s">
        <v>3854</v>
      </c>
      <c r="R246" t="s">
        <v>3855</v>
      </c>
      <c r="S246" t="s">
        <v>3856</v>
      </c>
      <c r="T246" t="s">
        <v>3872</v>
      </c>
      <c r="U246">
        <v>2017</v>
      </c>
      <c r="V246">
        <v>37</v>
      </c>
      <c r="W246">
        <v>11</v>
      </c>
      <c r="X246" t="s">
        <v>6098</v>
      </c>
      <c r="Y246" t="str">
        <f>HYPERLINK("http://dx.doi.org/10.1002/joc.5062","http://dx.doi.org/10.1002/joc.5062")</f>
        <v>http://dx.doi.org/10.1002/joc.5062</v>
      </c>
      <c r="Z246" t="s">
        <v>3825</v>
      </c>
      <c r="AA246" t="s">
        <v>3826</v>
      </c>
      <c r="AB246" s="3">
        <v>45672</v>
      </c>
      <c r="AC246" t="s">
        <v>6099</v>
      </c>
      <c r="AD246" t="str">
        <f>HYPERLINK("https%3A%2F%2Fwww.webofscience.com%2Fwos%2Fwoscc%2Ffull-record%2FWOS:000409036800018","View Full Record in Web of Science")</f>
        <v>View Full Record in Web of Science</v>
      </c>
    </row>
    <row r="247" spans="1:30" x14ac:dyDescent="0.35">
      <c r="A247">
        <v>246</v>
      </c>
      <c r="B247" t="s">
        <v>3276</v>
      </c>
      <c r="C247" t="s">
        <v>6100</v>
      </c>
      <c r="D247" t="s">
        <v>3276</v>
      </c>
      <c r="E247" t="s">
        <v>2950</v>
      </c>
      <c r="F247" t="s">
        <v>3810</v>
      </c>
      <c r="G247" t="s">
        <v>6101</v>
      </c>
      <c r="H247" t="s">
        <v>6102</v>
      </c>
      <c r="I247" t="s">
        <v>6103</v>
      </c>
      <c r="K247" t="s">
        <v>3808</v>
      </c>
      <c r="L247">
        <v>19</v>
      </c>
      <c r="M247" t="s">
        <v>4061</v>
      </c>
      <c r="N247" t="s">
        <v>4062</v>
      </c>
      <c r="O247" t="s">
        <v>4063</v>
      </c>
      <c r="P247" t="s">
        <v>6104</v>
      </c>
      <c r="Q247" t="s">
        <v>6105</v>
      </c>
      <c r="R247" t="s">
        <v>6106</v>
      </c>
      <c r="S247" t="s">
        <v>6107</v>
      </c>
      <c r="T247" t="s">
        <v>4163</v>
      </c>
      <c r="U247">
        <v>2018</v>
      </c>
      <c r="V247">
        <v>68</v>
      </c>
      <c r="W247">
        <v>12</v>
      </c>
      <c r="X247" t="s">
        <v>6108</v>
      </c>
      <c r="Y247" t="str">
        <f>HYPERLINK("http://dx.doi.org/10.1007/s10236-018-1217-x","http://dx.doi.org/10.1007/s10236-018-1217-x")</f>
        <v>http://dx.doi.org/10.1007/s10236-018-1217-x</v>
      </c>
      <c r="Z247" t="s">
        <v>4055</v>
      </c>
      <c r="AA247" t="s">
        <v>3826</v>
      </c>
      <c r="AB247" s="3">
        <v>45672</v>
      </c>
      <c r="AC247" t="s">
        <v>6109</v>
      </c>
      <c r="AD247" t="str">
        <f>HYPERLINK("https%3A%2F%2Fwww.webofscience.com%2Fwos%2Fwoscc%2Ffull-record%2FWOS:000450845700003","View Full Record in Web of Science")</f>
        <v>View Full Record in Web of Science</v>
      </c>
    </row>
    <row r="248" spans="1:30" x14ac:dyDescent="0.35">
      <c r="A248">
        <v>247</v>
      </c>
      <c r="B248" t="s">
        <v>3277</v>
      </c>
      <c r="C248" t="s">
        <v>6110</v>
      </c>
      <c r="D248" t="s">
        <v>3277</v>
      </c>
      <c r="E248" t="s">
        <v>2894</v>
      </c>
      <c r="F248" t="s">
        <v>3810</v>
      </c>
      <c r="G248" t="s">
        <v>6111</v>
      </c>
      <c r="H248" t="s">
        <v>6112</v>
      </c>
      <c r="I248" t="s">
        <v>6113</v>
      </c>
      <c r="J248" t="s">
        <v>6114</v>
      </c>
      <c r="K248" t="s">
        <v>6115</v>
      </c>
      <c r="L248">
        <v>4</v>
      </c>
      <c r="M248" t="s">
        <v>4252</v>
      </c>
      <c r="N248" t="s">
        <v>4253</v>
      </c>
      <c r="O248" t="s">
        <v>4254</v>
      </c>
      <c r="P248" t="s">
        <v>4255</v>
      </c>
      <c r="Q248" t="s">
        <v>4256</v>
      </c>
      <c r="R248" t="s">
        <v>4257</v>
      </c>
      <c r="S248" t="s">
        <v>4258</v>
      </c>
      <c r="T248" t="s">
        <v>4016</v>
      </c>
      <c r="U248">
        <v>2018</v>
      </c>
      <c r="V248">
        <v>134</v>
      </c>
      <c r="W248" t="s">
        <v>4259</v>
      </c>
      <c r="X248" t="s">
        <v>6116</v>
      </c>
      <c r="Y248" t="str">
        <f>HYPERLINK("http://dx.doi.org/10.1007/s00704-017-2262-y","http://dx.doi.org/10.1007/s00704-017-2262-y")</f>
        <v>http://dx.doi.org/10.1007/s00704-017-2262-y</v>
      </c>
      <c r="Z248" t="s">
        <v>3825</v>
      </c>
      <c r="AA248" t="s">
        <v>3826</v>
      </c>
      <c r="AB248" s="3">
        <v>45672</v>
      </c>
      <c r="AC248" t="s">
        <v>6117</v>
      </c>
      <c r="AD248" t="str">
        <f>HYPERLINK("https%3A%2F%2Fwww.webofscience.com%2Fwos%2Fwoscc%2Ffull-record%2FWOS:000446552300009","View Full Record in Web of Science")</f>
        <v>View Full Record in Web of Science</v>
      </c>
    </row>
    <row r="249" spans="1:30" x14ac:dyDescent="0.35">
      <c r="A249">
        <v>248</v>
      </c>
      <c r="B249" t="s">
        <v>3278</v>
      </c>
      <c r="C249" t="s">
        <v>6118</v>
      </c>
      <c r="D249" t="s">
        <v>3278</v>
      </c>
      <c r="E249" t="s">
        <v>2894</v>
      </c>
      <c r="F249" t="s">
        <v>3810</v>
      </c>
      <c r="G249" t="s">
        <v>6119</v>
      </c>
      <c r="H249" t="s">
        <v>6120</v>
      </c>
      <c r="I249" t="s">
        <v>6121</v>
      </c>
      <c r="J249" t="s">
        <v>6122</v>
      </c>
      <c r="K249" t="s">
        <v>6123</v>
      </c>
      <c r="L249">
        <v>29</v>
      </c>
      <c r="M249" t="s">
        <v>4252</v>
      </c>
      <c r="N249" t="s">
        <v>4253</v>
      </c>
      <c r="O249" t="s">
        <v>4254</v>
      </c>
      <c r="P249" t="s">
        <v>4255</v>
      </c>
      <c r="Q249" t="s">
        <v>4256</v>
      </c>
      <c r="R249" t="s">
        <v>4257</v>
      </c>
      <c r="S249" t="s">
        <v>4258</v>
      </c>
      <c r="T249" t="s">
        <v>4137</v>
      </c>
      <c r="U249">
        <v>2015</v>
      </c>
      <c r="V249">
        <v>121</v>
      </c>
      <c r="W249" t="s">
        <v>4268</v>
      </c>
      <c r="X249" t="s">
        <v>6124</v>
      </c>
      <c r="Y249" t="str">
        <f>HYPERLINK("http://dx.doi.org/10.1007/s00704-014-1258-0","http://dx.doi.org/10.1007/s00704-014-1258-0")</f>
        <v>http://dx.doi.org/10.1007/s00704-014-1258-0</v>
      </c>
      <c r="Z249" t="s">
        <v>3825</v>
      </c>
      <c r="AA249" t="s">
        <v>3826</v>
      </c>
      <c r="AB249" s="3">
        <v>45672</v>
      </c>
      <c r="AC249" t="s">
        <v>6125</v>
      </c>
      <c r="AD249" t="str">
        <f>HYPERLINK("https%3A%2F%2Fwww.webofscience.com%2Fwos%2Fwoscc%2Ffull-record%2FWOS:000359055800021","View Full Record in Web of Science")</f>
        <v>View Full Record in Web of Science</v>
      </c>
    </row>
    <row r="250" spans="1:30" x14ac:dyDescent="0.35">
      <c r="A250">
        <v>249</v>
      </c>
      <c r="B250" t="s">
        <v>3279</v>
      </c>
      <c r="C250" t="s">
        <v>308</v>
      </c>
      <c r="D250" t="s">
        <v>3279</v>
      </c>
      <c r="E250" t="s">
        <v>2871</v>
      </c>
      <c r="F250" t="s">
        <v>3810</v>
      </c>
      <c r="G250" t="s">
        <v>6126</v>
      </c>
      <c r="H250" t="s">
        <v>6127</v>
      </c>
      <c r="I250" t="s">
        <v>3808</v>
      </c>
      <c r="K250" t="s">
        <v>3808</v>
      </c>
      <c r="L250">
        <v>0</v>
      </c>
      <c r="M250" t="s">
        <v>3866</v>
      </c>
      <c r="N250" t="s">
        <v>3817</v>
      </c>
      <c r="O250" t="s">
        <v>3867</v>
      </c>
      <c r="P250" t="s">
        <v>3928</v>
      </c>
      <c r="Q250" t="s">
        <v>3929</v>
      </c>
      <c r="R250" t="s">
        <v>3930</v>
      </c>
      <c r="S250" t="s">
        <v>3931</v>
      </c>
      <c r="T250" t="s">
        <v>5045</v>
      </c>
      <c r="U250">
        <v>2023</v>
      </c>
      <c r="V250">
        <v>116</v>
      </c>
      <c r="W250">
        <v>3</v>
      </c>
      <c r="X250" t="s">
        <v>6128</v>
      </c>
      <c r="Y250" t="str">
        <f>HYPERLINK("http://dx.doi.org/10.1007/s11069-022-05795-w","http://dx.doi.org/10.1007/s11069-022-05795-w")</f>
        <v>http://dx.doi.org/10.1007/s11069-022-05795-w</v>
      </c>
      <c r="Z250" t="s">
        <v>3934</v>
      </c>
      <c r="AA250" t="s">
        <v>3826</v>
      </c>
      <c r="AB250" s="3">
        <v>45672</v>
      </c>
      <c r="AC250" t="s">
        <v>6129</v>
      </c>
      <c r="AD250" t="str">
        <f>HYPERLINK("https%3A%2F%2Fwww.webofscience.com%2Fwos%2Fwoscc%2Ffull-record%2FWOS:000903830300001","View Full Record in Web of Science")</f>
        <v>View Full Record in Web of Science</v>
      </c>
    </row>
    <row r="251" spans="1:30" x14ac:dyDescent="0.35">
      <c r="A251">
        <v>250</v>
      </c>
      <c r="B251" t="s">
        <v>3280</v>
      </c>
      <c r="C251" t="s">
        <v>6130</v>
      </c>
      <c r="D251" t="s">
        <v>3280</v>
      </c>
      <c r="E251" t="s">
        <v>2913</v>
      </c>
      <c r="F251" t="s">
        <v>3810</v>
      </c>
      <c r="G251" t="s">
        <v>6131</v>
      </c>
      <c r="H251" t="s">
        <v>6132</v>
      </c>
      <c r="I251" t="s">
        <v>6133</v>
      </c>
      <c r="J251" t="s">
        <v>6134</v>
      </c>
      <c r="K251" t="s">
        <v>6135</v>
      </c>
      <c r="L251">
        <v>3</v>
      </c>
      <c r="M251" t="s">
        <v>4377</v>
      </c>
      <c r="N251" t="s">
        <v>4378</v>
      </c>
      <c r="O251" t="s">
        <v>4379</v>
      </c>
      <c r="P251" t="s">
        <v>4691</v>
      </c>
      <c r="Q251" t="s">
        <v>3808</v>
      </c>
      <c r="R251" t="s">
        <v>2913</v>
      </c>
      <c r="S251" t="s">
        <v>2913</v>
      </c>
      <c r="T251" t="s">
        <v>6136</v>
      </c>
      <c r="U251">
        <v>2021</v>
      </c>
      <c r="V251">
        <v>17</v>
      </c>
      <c r="W251" t="s">
        <v>3808</v>
      </c>
      <c r="X251" t="s">
        <v>6137</v>
      </c>
      <c r="Y251" t="str">
        <f>HYPERLINK("http://dx.doi.org/10.2151/sola.2021-031","http://dx.doi.org/10.2151/sola.2021-031")</f>
        <v>http://dx.doi.org/10.2151/sola.2021-031</v>
      </c>
      <c r="Z251" t="s">
        <v>3825</v>
      </c>
      <c r="AA251" t="s">
        <v>3826</v>
      </c>
      <c r="AB251" s="3">
        <v>45672</v>
      </c>
      <c r="AC251" t="s">
        <v>6138</v>
      </c>
      <c r="AD251" t="str">
        <f>HYPERLINK("https%3A%2F%2Fwww.webofscience.com%2Fwos%2Fwoscc%2Ffull-record%2FWOS:000753059400002","View Full Record in Web of Science")</f>
        <v>View Full Record in Web of Science</v>
      </c>
    </row>
    <row r="252" spans="1:30" x14ac:dyDescent="0.35">
      <c r="A252">
        <v>251</v>
      </c>
      <c r="B252" t="s">
        <v>3281</v>
      </c>
      <c r="C252" t="s">
        <v>6139</v>
      </c>
      <c r="D252" t="s">
        <v>3281</v>
      </c>
      <c r="E252" t="s">
        <v>2867</v>
      </c>
      <c r="F252" t="s">
        <v>3810</v>
      </c>
      <c r="G252" t="s">
        <v>6140</v>
      </c>
      <c r="H252" t="s">
        <v>6141</v>
      </c>
      <c r="I252" t="s">
        <v>6142</v>
      </c>
      <c r="J252" t="s">
        <v>6143</v>
      </c>
      <c r="K252" t="s">
        <v>6144</v>
      </c>
      <c r="L252">
        <v>80</v>
      </c>
      <c r="M252" t="s">
        <v>3866</v>
      </c>
      <c r="N252" t="s">
        <v>3817</v>
      </c>
      <c r="O252" t="s">
        <v>4290</v>
      </c>
      <c r="P252" t="s">
        <v>3868</v>
      </c>
      <c r="Q252" t="s">
        <v>3869</v>
      </c>
      <c r="R252" t="s">
        <v>3870</v>
      </c>
      <c r="S252" t="s">
        <v>3871</v>
      </c>
      <c r="T252" t="s">
        <v>4016</v>
      </c>
      <c r="U252">
        <v>2018</v>
      </c>
      <c r="V252">
        <v>51</v>
      </c>
      <c r="W252" t="s">
        <v>6145</v>
      </c>
      <c r="X252" t="s">
        <v>6146</v>
      </c>
      <c r="Y252" t="str">
        <f>HYPERLINK("http://dx.doi.org/10.1007/s00382-017-4028-8","http://dx.doi.org/10.1007/s00382-017-4028-8")</f>
        <v>http://dx.doi.org/10.1007/s00382-017-4028-8</v>
      </c>
      <c r="Z252" t="s">
        <v>3825</v>
      </c>
      <c r="AA252" t="s">
        <v>3826</v>
      </c>
      <c r="AB252" s="3">
        <v>45672</v>
      </c>
      <c r="AC252" t="s">
        <v>6147</v>
      </c>
      <c r="AD252" t="str">
        <f>HYPERLINK("https%3A%2F%2Fwww.webofscience.com%2Fwos%2Fwoscc%2Ffull-record%2FWOS:000444947600009","View Full Record in Web of Science")</f>
        <v>View Full Record in Web of Science</v>
      </c>
    </row>
    <row r="253" spans="1:30" x14ac:dyDescent="0.35">
      <c r="A253">
        <v>252</v>
      </c>
      <c r="B253" t="s">
        <v>3282</v>
      </c>
      <c r="C253" t="s">
        <v>6148</v>
      </c>
      <c r="D253" t="s">
        <v>3282</v>
      </c>
      <c r="E253" t="s">
        <v>2894</v>
      </c>
      <c r="F253" t="s">
        <v>3810</v>
      </c>
      <c r="G253" t="s">
        <v>6149</v>
      </c>
      <c r="H253" t="s">
        <v>6150</v>
      </c>
      <c r="I253" t="s">
        <v>6151</v>
      </c>
      <c r="J253" t="s">
        <v>6152</v>
      </c>
      <c r="K253" t="s">
        <v>6153</v>
      </c>
      <c r="L253">
        <v>25</v>
      </c>
      <c r="M253" t="s">
        <v>4252</v>
      </c>
      <c r="N253" t="s">
        <v>4253</v>
      </c>
      <c r="O253" t="s">
        <v>4254</v>
      </c>
      <c r="P253" t="s">
        <v>4255</v>
      </c>
      <c r="Q253" t="s">
        <v>4256</v>
      </c>
      <c r="R253" t="s">
        <v>4257</v>
      </c>
      <c r="S253" t="s">
        <v>4258</v>
      </c>
      <c r="T253" t="s">
        <v>4001</v>
      </c>
      <c r="U253">
        <v>2014</v>
      </c>
      <c r="V253">
        <v>115</v>
      </c>
      <c r="W253" t="s">
        <v>4259</v>
      </c>
      <c r="X253" t="s">
        <v>6154</v>
      </c>
      <c r="Y253" t="str">
        <f>HYPERLINK("http://dx.doi.org/10.1007/s00704-013-0873-5","http://dx.doi.org/10.1007/s00704-013-0873-5")</f>
        <v>http://dx.doi.org/10.1007/s00704-013-0873-5</v>
      </c>
      <c r="Z253" t="s">
        <v>3825</v>
      </c>
      <c r="AA253" t="s">
        <v>3826</v>
      </c>
      <c r="AB253" s="3">
        <v>45672</v>
      </c>
      <c r="AC253" t="s">
        <v>6155</v>
      </c>
      <c r="AD253" t="str">
        <f>HYPERLINK("https%3A%2F%2Fwww.webofscience.com%2Fwos%2Fwoscc%2Ffull-record%2FWOS:000329251800001","View Full Record in Web of Science")</f>
        <v>View Full Record in Web of Science</v>
      </c>
    </row>
    <row r="254" spans="1:30" x14ac:dyDescent="0.35">
      <c r="A254">
        <v>253</v>
      </c>
      <c r="B254" t="s">
        <v>3283</v>
      </c>
      <c r="C254" t="s">
        <v>6156</v>
      </c>
      <c r="D254" t="s">
        <v>3283</v>
      </c>
      <c r="E254" t="s">
        <v>2951</v>
      </c>
      <c r="F254" t="s">
        <v>3810</v>
      </c>
      <c r="G254" t="s">
        <v>6157</v>
      </c>
      <c r="H254" t="s">
        <v>6158</v>
      </c>
      <c r="I254" t="s">
        <v>5026</v>
      </c>
      <c r="K254" t="s">
        <v>3808</v>
      </c>
      <c r="L254">
        <v>11</v>
      </c>
      <c r="M254" t="s">
        <v>6159</v>
      </c>
      <c r="N254" t="s">
        <v>3952</v>
      </c>
      <c r="O254" t="s">
        <v>6160</v>
      </c>
      <c r="P254" t="s">
        <v>6161</v>
      </c>
      <c r="Q254" t="s">
        <v>6162</v>
      </c>
      <c r="R254" t="s">
        <v>6163</v>
      </c>
      <c r="S254" t="s">
        <v>6164</v>
      </c>
      <c r="T254" t="s">
        <v>3808</v>
      </c>
      <c r="U254">
        <v>2019</v>
      </c>
      <c r="V254">
        <v>5</v>
      </c>
      <c r="W254">
        <v>1</v>
      </c>
      <c r="X254" t="s">
        <v>6165</v>
      </c>
      <c r="Y254" t="str">
        <f>HYPERLINK("http://dx.doi.org/10.3233/JCC190001","http://dx.doi.org/10.3233/JCC190001")</f>
        <v>http://dx.doi.org/10.3233/JCC190001</v>
      </c>
      <c r="Z254" t="s">
        <v>3825</v>
      </c>
      <c r="AA254" t="s">
        <v>4117</v>
      </c>
      <c r="AB254" s="3">
        <v>45672</v>
      </c>
      <c r="AC254" t="s">
        <v>6166</v>
      </c>
      <c r="AD254" t="str">
        <f>HYPERLINK("https%3A%2F%2Fwww.webofscience.com%2Fwos%2Fwoscc%2Ffull-record%2FWOS:000460125200002","View Full Record in Web of Science")</f>
        <v>View Full Record in Web of Science</v>
      </c>
    </row>
    <row r="255" spans="1:30" x14ac:dyDescent="0.35">
      <c r="A255">
        <v>254</v>
      </c>
      <c r="B255" t="s">
        <v>3284</v>
      </c>
      <c r="C255" t="s">
        <v>6167</v>
      </c>
      <c r="D255" t="s">
        <v>3284</v>
      </c>
      <c r="E255" t="s">
        <v>2926</v>
      </c>
      <c r="F255" t="s">
        <v>3810</v>
      </c>
      <c r="G255" t="s">
        <v>6168</v>
      </c>
      <c r="H255" t="s">
        <v>6169</v>
      </c>
      <c r="I255" t="s">
        <v>5613</v>
      </c>
      <c r="J255" t="s">
        <v>6170</v>
      </c>
      <c r="K255" t="s">
        <v>6171</v>
      </c>
      <c r="L255">
        <v>53</v>
      </c>
      <c r="M255" t="s">
        <v>3951</v>
      </c>
      <c r="N255" t="s">
        <v>3952</v>
      </c>
      <c r="O255" t="s">
        <v>3953</v>
      </c>
      <c r="P255" t="s">
        <v>5029</v>
      </c>
      <c r="Q255" t="s">
        <v>3808</v>
      </c>
      <c r="R255" t="s">
        <v>5030</v>
      </c>
      <c r="S255" t="s">
        <v>5031</v>
      </c>
      <c r="T255" t="s">
        <v>4114</v>
      </c>
      <c r="U255">
        <v>2015</v>
      </c>
      <c r="V255">
        <v>11</v>
      </c>
      <c r="W255" t="s">
        <v>3808</v>
      </c>
      <c r="X255" t="s">
        <v>6172</v>
      </c>
      <c r="Y255" t="str">
        <f>HYPERLINK("http://dx.doi.org/10.1016/j.ijdrr.2014.11.002","http://dx.doi.org/10.1016/j.ijdrr.2014.11.002")</f>
        <v>http://dx.doi.org/10.1016/j.ijdrr.2014.11.002</v>
      </c>
      <c r="Z255" t="s">
        <v>3934</v>
      </c>
      <c r="AA255" t="s">
        <v>3826</v>
      </c>
      <c r="AB255" s="3">
        <v>45672</v>
      </c>
      <c r="AC255" t="s">
        <v>6173</v>
      </c>
      <c r="AD255" t="str">
        <f>HYPERLINK("https%3A%2F%2Fwww.webofscience.com%2Fwos%2Fwoscc%2Ffull-record%2FWOS:000357734400004","View Full Record in Web of Science")</f>
        <v>View Full Record in Web of Science</v>
      </c>
    </row>
    <row r="256" spans="1:30" x14ac:dyDescent="0.35">
      <c r="A256">
        <v>255</v>
      </c>
      <c r="B256" t="s">
        <v>3285</v>
      </c>
      <c r="C256" t="s">
        <v>6174</v>
      </c>
      <c r="D256" t="s">
        <v>3285</v>
      </c>
      <c r="E256" t="s">
        <v>2896</v>
      </c>
      <c r="F256" t="s">
        <v>3810</v>
      </c>
      <c r="G256" t="s">
        <v>6175</v>
      </c>
      <c r="H256" t="s">
        <v>6176</v>
      </c>
      <c r="I256" t="s">
        <v>6177</v>
      </c>
      <c r="J256" t="s">
        <v>6177</v>
      </c>
      <c r="K256" t="s">
        <v>6178</v>
      </c>
      <c r="L256">
        <v>26</v>
      </c>
      <c r="M256" t="s">
        <v>4277</v>
      </c>
      <c r="N256" t="s">
        <v>4278</v>
      </c>
      <c r="O256" t="s">
        <v>4279</v>
      </c>
      <c r="P256" t="s">
        <v>3808</v>
      </c>
      <c r="Q256" t="s">
        <v>4280</v>
      </c>
      <c r="R256" t="s">
        <v>2896</v>
      </c>
      <c r="S256" t="s">
        <v>4281</v>
      </c>
      <c r="T256" t="s">
        <v>3823</v>
      </c>
      <c r="U256">
        <v>2019</v>
      </c>
      <c r="V256">
        <v>7</v>
      </c>
      <c r="W256">
        <v>2</v>
      </c>
      <c r="X256" t="s">
        <v>6179</v>
      </c>
      <c r="Y256" t="str">
        <f>HYPERLINK("http://dx.doi.org/10.3390/cli7020034","http://dx.doi.org/10.3390/cli7020034")</f>
        <v>http://dx.doi.org/10.3390/cli7020034</v>
      </c>
      <c r="Z256" t="s">
        <v>3825</v>
      </c>
      <c r="AA256" t="s">
        <v>4117</v>
      </c>
      <c r="AB256" s="3">
        <v>45672</v>
      </c>
      <c r="AC256" t="s">
        <v>6180</v>
      </c>
      <c r="AD256" t="str">
        <f>HYPERLINK("https%3A%2F%2Fwww.webofscience.com%2Fwos%2Fwoscc%2Ffull-record%2FWOS:000460705300017","View Full Record in Web of Science")</f>
        <v>View Full Record in Web of Science</v>
      </c>
    </row>
    <row r="257" spans="1:30" x14ac:dyDescent="0.35">
      <c r="A257">
        <v>256</v>
      </c>
      <c r="B257" t="s">
        <v>3286</v>
      </c>
      <c r="C257" t="s">
        <v>6181</v>
      </c>
      <c r="D257" t="s">
        <v>3286</v>
      </c>
      <c r="E257" t="s">
        <v>2952</v>
      </c>
      <c r="F257" t="s">
        <v>3810</v>
      </c>
      <c r="G257" t="s">
        <v>6182</v>
      </c>
      <c r="H257" t="s">
        <v>6183</v>
      </c>
      <c r="I257" t="s">
        <v>6184</v>
      </c>
      <c r="J257" t="s">
        <v>6185</v>
      </c>
      <c r="K257" t="s">
        <v>6186</v>
      </c>
      <c r="L257">
        <v>34</v>
      </c>
      <c r="M257" t="s">
        <v>4339</v>
      </c>
      <c r="N257" t="s">
        <v>4340</v>
      </c>
      <c r="O257" t="s">
        <v>4341</v>
      </c>
      <c r="P257" t="s">
        <v>6187</v>
      </c>
      <c r="Q257" t="s">
        <v>6188</v>
      </c>
      <c r="R257" t="s">
        <v>6189</v>
      </c>
      <c r="S257" t="s">
        <v>6190</v>
      </c>
      <c r="T257" t="s">
        <v>6191</v>
      </c>
      <c r="U257">
        <v>2018</v>
      </c>
      <c r="V257">
        <v>14</v>
      </c>
      <c r="W257">
        <v>5</v>
      </c>
      <c r="X257" t="s">
        <v>6192</v>
      </c>
      <c r="Y257" t="str">
        <f>HYPERLINK("http://dx.doi.org/10.5194/os-14-1303-2018","http://dx.doi.org/10.5194/os-14-1303-2018")</f>
        <v>http://dx.doi.org/10.5194/os-14-1303-2018</v>
      </c>
      <c r="Z257" t="s">
        <v>6193</v>
      </c>
      <c r="AA257" t="s">
        <v>3826</v>
      </c>
      <c r="AB257" s="3">
        <v>45672</v>
      </c>
      <c r="AC257" t="s">
        <v>6194</v>
      </c>
      <c r="AD257" t="str">
        <f>HYPERLINK("https%3A%2F%2Fwww.webofscience.com%2Fwos%2Fwoscc%2Ffull-record%2FWOS:000448186200002","View Full Record in Web of Science")</f>
        <v>View Full Record in Web of Science</v>
      </c>
    </row>
    <row r="258" spans="1:30" x14ac:dyDescent="0.35">
      <c r="A258">
        <v>257</v>
      </c>
      <c r="B258" t="s">
        <v>3287</v>
      </c>
      <c r="C258" t="s">
        <v>6195</v>
      </c>
      <c r="D258" t="s">
        <v>3287</v>
      </c>
      <c r="E258" t="s">
        <v>2953</v>
      </c>
      <c r="F258" t="s">
        <v>3810</v>
      </c>
      <c r="G258" t="s">
        <v>6196</v>
      </c>
      <c r="H258" t="s">
        <v>6197</v>
      </c>
      <c r="I258" t="s">
        <v>6198</v>
      </c>
      <c r="J258" t="s">
        <v>6199</v>
      </c>
      <c r="K258" t="s">
        <v>6200</v>
      </c>
      <c r="L258">
        <v>5</v>
      </c>
      <c r="M258" t="s">
        <v>3850</v>
      </c>
      <c r="N258" t="s">
        <v>3851</v>
      </c>
      <c r="O258" t="s">
        <v>3852</v>
      </c>
      <c r="P258" t="s">
        <v>6201</v>
      </c>
      <c r="Q258" t="s">
        <v>6202</v>
      </c>
      <c r="R258" t="s">
        <v>6203</v>
      </c>
      <c r="S258" t="s">
        <v>6204</v>
      </c>
      <c r="T258" t="s">
        <v>5045</v>
      </c>
      <c r="U258">
        <v>2021</v>
      </c>
      <c r="V258">
        <v>36</v>
      </c>
      <c r="W258">
        <v>3</v>
      </c>
      <c r="X258" t="s">
        <v>6205</v>
      </c>
      <c r="Y258" t="str">
        <f>HYPERLINK("http://dx.doi.org/10.1002/jqs.3292","http://dx.doi.org/10.1002/jqs.3292")</f>
        <v>http://dx.doi.org/10.1002/jqs.3292</v>
      </c>
      <c r="Z258" t="s">
        <v>4203</v>
      </c>
      <c r="AA258" t="s">
        <v>3826</v>
      </c>
      <c r="AB258" s="3">
        <v>45672</v>
      </c>
      <c r="AC258" t="s">
        <v>6206</v>
      </c>
      <c r="AD258" t="str">
        <f>HYPERLINK("https%3A%2F%2Fwww.webofscience.com%2Fwos%2Fwoscc%2Ffull-record%2FWOS:000629248800001","View Full Record in Web of Science")</f>
        <v>View Full Record in Web of Science</v>
      </c>
    </row>
    <row r="259" spans="1:30" x14ac:dyDescent="0.35">
      <c r="A259">
        <v>258</v>
      </c>
      <c r="B259" t="s">
        <v>3288</v>
      </c>
      <c r="C259" t="s">
        <v>6207</v>
      </c>
      <c r="D259" t="s">
        <v>3288</v>
      </c>
      <c r="E259" t="s">
        <v>2871</v>
      </c>
      <c r="F259" t="s">
        <v>3810</v>
      </c>
      <c r="G259" t="s">
        <v>6208</v>
      </c>
      <c r="H259" t="s">
        <v>6209</v>
      </c>
      <c r="I259" t="s">
        <v>6210</v>
      </c>
      <c r="J259" t="s">
        <v>6211</v>
      </c>
      <c r="K259" t="s">
        <v>6212</v>
      </c>
      <c r="L259">
        <v>46</v>
      </c>
      <c r="M259" t="s">
        <v>3866</v>
      </c>
      <c r="N259" t="s">
        <v>3817</v>
      </c>
      <c r="O259" t="s">
        <v>3867</v>
      </c>
      <c r="P259" t="s">
        <v>3928</v>
      </c>
      <c r="Q259" t="s">
        <v>3929</v>
      </c>
      <c r="R259" t="s">
        <v>3930</v>
      </c>
      <c r="S259" t="s">
        <v>3931</v>
      </c>
      <c r="T259" t="s">
        <v>3872</v>
      </c>
      <c r="U259">
        <v>2020</v>
      </c>
      <c r="V259">
        <v>103</v>
      </c>
      <c r="W259">
        <v>2</v>
      </c>
      <c r="X259" t="s">
        <v>6213</v>
      </c>
      <c r="Y259" t="str">
        <f>HYPERLINK("http://dx.doi.org/10.1007/s11069-020-04072-y","http://dx.doi.org/10.1007/s11069-020-04072-y")</f>
        <v>http://dx.doi.org/10.1007/s11069-020-04072-y</v>
      </c>
      <c r="Z259" t="s">
        <v>3934</v>
      </c>
      <c r="AA259" t="s">
        <v>3826</v>
      </c>
      <c r="AB259" s="3">
        <v>45672</v>
      </c>
      <c r="AC259" t="s">
        <v>6214</v>
      </c>
      <c r="AD259" t="str">
        <f>HYPERLINK("https%3A%2F%2Fwww.webofscience.com%2Fwos%2Fwoscc%2Ffull-record%2FWOS:000534457300003","View Full Record in Web of Science")</f>
        <v>View Full Record in Web of Science</v>
      </c>
    </row>
    <row r="260" spans="1:30" x14ac:dyDescent="0.35">
      <c r="A260">
        <v>259</v>
      </c>
      <c r="B260" t="s">
        <v>3289</v>
      </c>
      <c r="C260" t="s">
        <v>6215</v>
      </c>
      <c r="D260" t="s">
        <v>3289</v>
      </c>
      <c r="E260" t="s">
        <v>2954</v>
      </c>
      <c r="F260" t="s">
        <v>3810</v>
      </c>
      <c r="G260" t="s">
        <v>6216</v>
      </c>
      <c r="H260" t="s">
        <v>6217</v>
      </c>
      <c r="I260" t="s">
        <v>6218</v>
      </c>
      <c r="K260" t="s">
        <v>3808</v>
      </c>
      <c r="L260">
        <v>0</v>
      </c>
      <c r="M260" t="s">
        <v>4046</v>
      </c>
      <c r="N260" t="s">
        <v>4047</v>
      </c>
      <c r="O260" t="s">
        <v>4048</v>
      </c>
      <c r="P260" t="s">
        <v>6219</v>
      </c>
      <c r="Q260" t="s">
        <v>6220</v>
      </c>
      <c r="R260" t="s">
        <v>6221</v>
      </c>
      <c r="S260" t="s">
        <v>6222</v>
      </c>
      <c r="T260" t="s">
        <v>4001</v>
      </c>
      <c r="U260">
        <v>2018</v>
      </c>
      <c r="V260">
        <v>167</v>
      </c>
      <c r="W260" t="s">
        <v>3808</v>
      </c>
      <c r="X260" t="s">
        <v>6223</v>
      </c>
      <c r="Y260" t="str">
        <f>HYPERLINK("http://dx.doi.org/10.1016/j.jastp.2017.12.005","http://dx.doi.org/10.1016/j.jastp.2017.12.005")</f>
        <v>http://dx.doi.org/10.1016/j.jastp.2017.12.005</v>
      </c>
      <c r="Z260" t="s">
        <v>5256</v>
      </c>
      <c r="AA260" t="s">
        <v>3826</v>
      </c>
      <c r="AB260" s="3">
        <v>45672</v>
      </c>
      <c r="AC260" t="s">
        <v>6224</v>
      </c>
      <c r="AD260" t="str">
        <f>HYPERLINK("https%3A%2F%2Fwww.webofscience.com%2Fwos%2Fwoscc%2Ffull-record%2FWOS:000424724100020","View Full Record in Web of Science")</f>
        <v>View Full Record in Web of Science</v>
      </c>
    </row>
    <row r="261" spans="1:30" x14ac:dyDescent="0.35">
      <c r="A261">
        <v>260</v>
      </c>
      <c r="B261" t="s">
        <v>3290</v>
      </c>
      <c r="C261" t="s">
        <v>6225</v>
      </c>
      <c r="D261" t="s">
        <v>3290</v>
      </c>
      <c r="E261" t="s">
        <v>2878</v>
      </c>
      <c r="F261" t="s">
        <v>3810</v>
      </c>
      <c r="G261" t="s">
        <v>6226</v>
      </c>
      <c r="H261" t="s">
        <v>6227</v>
      </c>
      <c r="I261" t="s">
        <v>6228</v>
      </c>
      <c r="J261" t="s">
        <v>6229</v>
      </c>
      <c r="K261" t="s">
        <v>6230</v>
      </c>
      <c r="L261">
        <v>16</v>
      </c>
      <c r="M261" t="s">
        <v>4046</v>
      </c>
      <c r="N261" t="s">
        <v>4047</v>
      </c>
      <c r="O261" t="s">
        <v>4048</v>
      </c>
      <c r="P261" t="s">
        <v>4049</v>
      </c>
      <c r="Q261" t="s">
        <v>4050</v>
      </c>
      <c r="R261" t="s">
        <v>4051</v>
      </c>
      <c r="S261" t="s">
        <v>4052</v>
      </c>
      <c r="T261" t="s">
        <v>4053</v>
      </c>
      <c r="U261">
        <v>2019</v>
      </c>
      <c r="V261">
        <v>184</v>
      </c>
      <c r="W261" t="s">
        <v>3808</v>
      </c>
      <c r="X261" t="s">
        <v>6231</v>
      </c>
      <c r="Y261" t="str">
        <f>HYPERLINK("http://dx.doi.org/10.1016/j.csr.2019.07.004","http://dx.doi.org/10.1016/j.csr.2019.07.004")</f>
        <v>http://dx.doi.org/10.1016/j.csr.2019.07.004</v>
      </c>
      <c r="Z261" t="s">
        <v>4055</v>
      </c>
      <c r="AA261" t="s">
        <v>3826</v>
      </c>
      <c r="AB261" s="3">
        <v>45672</v>
      </c>
      <c r="AC261" t="s">
        <v>6232</v>
      </c>
      <c r="AD261" t="str">
        <f>HYPERLINK("https%3A%2F%2Fwww.webofscience.com%2Fwos%2Fwoscc%2Ffull-record%2FWOS:000480377200002","View Full Record in Web of Science")</f>
        <v>View Full Record in Web of Science</v>
      </c>
    </row>
    <row r="262" spans="1:30" x14ac:dyDescent="0.35">
      <c r="A262">
        <v>261</v>
      </c>
      <c r="B262" t="s">
        <v>3291</v>
      </c>
      <c r="C262" t="s">
        <v>6233</v>
      </c>
      <c r="D262" t="s">
        <v>3291</v>
      </c>
      <c r="E262" t="s">
        <v>2862</v>
      </c>
      <c r="F262" t="s">
        <v>3810</v>
      </c>
      <c r="G262" t="s">
        <v>6234</v>
      </c>
      <c r="H262" t="s">
        <v>6235</v>
      </c>
      <c r="I262" t="s">
        <v>5763</v>
      </c>
      <c r="J262" t="s">
        <v>6236</v>
      </c>
      <c r="K262" t="s">
        <v>6237</v>
      </c>
      <c r="L262">
        <v>79</v>
      </c>
      <c r="M262" t="s">
        <v>3816</v>
      </c>
      <c r="N262" t="s">
        <v>3817</v>
      </c>
      <c r="O262" t="s">
        <v>6238</v>
      </c>
      <c r="P262" t="s">
        <v>3819</v>
      </c>
      <c r="Q262" t="s">
        <v>3820</v>
      </c>
      <c r="R262" t="s">
        <v>3821</v>
      </c>
      <c r="S262" t="s">
        <v>3822</v>
      </c>
      <c r="T262" t="s">
        <v>4636</v>
      </c>
      <c r="U262">
        <v>2018</v>
      </c>
      <c r="V262">
        <v>201</v>
      </c>
      <c r="W262" t="s">
        <v>3808</v>
      </c>
      <c r="X262" t="s">
        <v>6239</v>
      </c>
      <c r="Y262" t="str">
        <f>HYPERLINK("http://dx.doi.org/10.1016/j.atmosres.2017.10.014","http://dx.doi.org/10.1016/j.atmosres.2017.10.014")</f>
        <v>http://dx.doi.org/10.1016/j.atmosres.2017.10.014</v>
      </c>
      <c r="Z262" t="s">
        <v>3825</v>
      </c>
      <c r="AA262" t="s">
        <v>3826</v>
      </c>
      <c r="AB262" s="3">
        <v>45672</v>
      </c>
      <c r="AC262" t="s">
        <v>6240</v>
      </c>
      <c r="AD262" t="str">
        <f>HYPERLINK("https%3A%2F%2Fwww.webofscience.com%2Fwos%2Fwoscc%2Ffull-record%2FWOS:000418981500008","View Full Record in Web of Science")</f>
        <v>View Full Record in Web of Science</v>
      </c>
    </row>
    <row r="263" spans="1:30" x14ac:dyDescent="0.35">
      <c r="A263">
        <v>262</v>
      </c>
      <c r="B263" t="s">
        <v>3292</v>
      </c>
      <c r="C263" t="s">
        <v>1049</v>
      </c>
      <c r="D263" t="s">
        <v>3292</v>
      </c>
      <c r="E263" t="s">
        <v>2869</v>
      </c>
      <c r="F263" t="s">
        <v>3810</v>
      </c>
      <c r="G263" t="s">
        <v>6241</v>
      </c>
      <c r="H263" t="s">
        <v>6242</v>
      </c>
      <c r="I263" t="s">
        <v>6243</v>
      </c>
      <c r="J263" t="s">
        <v>3808</v>
      </c>
      <c r="K263" t="s">
        <v>3808</v>
      </c>
      <c r="L263">
        <v>9</v>
      </c>
      <c r="M263" t="s">
        <v>3880</v>
      </c>
      <c r="N263" t="s">
        <v>3881</v>
      </c>
      <c r="O263" t="s">
        <v>3882</v>
      </c>
      <c r="P263" t="s">
        <v>3897</v>
      </c>
      <c r="Q263" t="s">
        <v>3898</v>
      </c>
      <c r="R263" t="s">
        <v>3899</v>
      </c>
      <c r="S263" t="s">
        <v>3900</v>
      </c>
      <c r="T263" t="s">
        <v>4577</v>
      </c>
      <c r="U263">
        <v>2019</v>
      </c>
      <c r="V263">
        <v>40</v>
      </c>
      <c r="W263">
        <v>19</v>
      </c>
      <c r="X263" t="s">
        <v>6244</v>
      </c>
      <c r="Y263" t="str">
        <f>HYPERLINK("http://dx.doi.org/10.1080/01431161.2018.1508924","http://dx.doi.org/10.1080/01431161.2018.1508924")</f>
        <v>http://dx.doi.org/10.1080/01431161.2018.1508924</v>
      </c>
      <c r="Z263" t="s">
        <v>3903</v>
      </c>
      <c r="AA263" t="s">
        <v>3826</v>
      </c>
      <c r="AB263" s="3">
        <v>45672</v>
      </c>
      <c r="AC263" t="s">
        <v>6245</v>
      </c>
      <c r="AD263" t="str">
        <f>HYPERLINK("https%3A%2F%2Fwww.webofscience.com%2Fwos%2Fwoscc%2Ffull-record%2FWOS:000471955100006","View Full Record in Web of Science")</f>
        <v>View Full Record in Web of Science</v>
      </c>
    </row>
    <row r="264" spans="1:30" x14ac:dyDescent="0.35">
      <c r="A264">
        <v>263</v>
      </c>
      <c r="B264" t="s">
        <v>3293</v>
      </c>
      <c r="C264" t="s">
        <v>6246</v>
      </c>
      <c r="D264" t="s">
        <v>3293</v>
      </c>
      <c r="E264" t="s">
        <v>2955</v>
      </c>
      <c r="F264" t="s">
        <v>3810</v>
      </c>
      <c r="G264" t="s">
        <v>6247</v>
      </c>
      <c r="H264" t="s">
        <v>6248</v>
      </c>
      <c r="I264" t="s">
        <v>6249</v>
      </c>
      <c r="K264" t="s">
        <v>3808</v>
      </c>
      <c r="L264">
        <v>2</v>
      </c>
      <c r="M264" t="s">
        <v>4277</v>
      </c>
      <c r="N264" t="s">
        <v>4278</v>
      </c>
      <c r="O264" t="s">
        <v>4279</v>
      </c>
      <c r="P264" t="s">
        <v>3808</v>
      </c>
      <c r="Q264" t="s">
        <v>6250</v>
      </c>
      <c r="R264" t="s">
        <v>2955</v>
      </c>
      <c r="S264" t="s">
        <v>6251</v>
      </c>
      <c r="T264" t="s">
        <v>3958</v>
      </c>
      <c r="U264">
        <v>2023</v>
      </c>
      <c r="V264">
        <v>13</v>
      </c>
      <c r="W264">
        <v>11</v>
      </c>
      <c r="X264" t="s">
        <v>6252</v>
      </c>
      <c r="Y264" t="str">
        <f>HYPERLINK("http://dx.doi.org/10.3390/geosciences13110353","http://dx.doi.org/10.3390/geosciences13110353")</f>
        <v>http://dx.doi.org/10.3390/geosciences13110353</v>
      </c>
      <c r="Z264" t="s">
        <v>4116</v>
      </c>
      <c r="AA264" t="s">
        <v>4117</v>
      </c>
      <c r="AB264" s="3">
        <v>45672</v>
      </c>
      <c r="AC264" t="s">
        <v>6253</v>
      </c>
      <c r="AD264" t="str">
        <f>HYPERLINK("https%3A%2F%2Fwww.webofscience.com%2Fwos%2Fwoscc%2Ffull-record%2FWOS:001119719400001","View Full Record in Web of Science")</f>
        <v>View Full Record in Web of Science</v>
      </c>
    </row>
    <row r="265" spans="1:30" x14ac:dyDescent="0.35">
      <c r="A265">
        <v>264</v>
      </c>
      <c r="B265" t="s">
        <v>3294</v>
      </c>
      <c r="C265" t="s">
        <v>6254</v>
      </c>
      <c r="D265" t="s">
        <v>3294</v>
      </c>
      <c r="E265" t="s">
        <v>2926</v>
      </c>
      <c r="F265" t="s">
        <v>3810</v>
      </c>
      <c r="G265" t="s">
        <v>6255</v>
      </c>
      <c r="H265" t="s">
        <v>6256</v>
      </c>
      <c r="I265" t="s">
        <v>6257</v>
      </c>
      <c r="J265" t="s">
        <v>6258</v>
      </c>
      <c r="K265" t="s">
        <v>6258</v>
      </c>
      <c r="L265">
        <v>18</v>
      </c>
      <c r="M265" t="s">
        <v>3951</v>
      </c>
      <c r="N265" t="s">
        <v>3952</v>
      </c>
      <c r="O265" t="s">
        <v>3953</v>
      </c>
      <c r="P265" t="s">
        <v>5029</v>
      </c>
      <c r="Q265" t="s">
        <v>3808</v>
      </c>
      <c r="R265" t="s">
        <v>5030</v>
      </c>
      <c r="S265" t="s">
        <v>5031</v>
      </c>
      <c r="T265" t="s">
        <v>6259</v>
      </c>
      <c r="U265">
        <v>2022</v>
      </c>
      <c r="V265">
        <v>73</v>
      </c>
      <c r="W265" t="s">
        <v>3808</v>
      </c>
      <c r="X265" t="s">
        <v>6260</v>
      </c>
      <c r="Y265" t="str">
        <f>HYPERLINK("http://dx.doi.org/10.1016/j.ijdrr.2022.102860","http://dx.doi.org/10.1016/j.ijdrr.2022.102860")</f>
        <v>http://dx.doi.org/10.1016/j.ijdrr.2022.102860</v>
      </c>
      <c r="Z265" t="s">
        <v>3934</v>
      </c>
      <c r="AA265" t="s">
        <v>3826</v>
      </c>
      <c r="AB265" s="3">
        <v>45672</v>
      </c>
      <c r="AC265" t="s">
        <v>6261</v>
      </c>
      <c r="AD265" t="str">
        <f>HYPERLINK("https%3A%2F%2Fwww.webofscience.com%2Fwos%2Fwoscc%2Ffull-record%2FWOS:000782589300001","View Full Record in Web of Science")</f>
        <v>View Full Record in Web of Science</v>
      </c>
    </row>
    <row r="266" spans="1:30" x14ac:dyDescent="0.35">
      <c r="A266">
        <v>265</v>
      </c>
      <c r="B266" t="s">
        <v>3295</v>
      </c>
      <c r="C266" t="s">
        <v>6262</v>
      </c>
      <c r="D266" t="s">
        <v>3295</v>
      </c>
      <c r="E266" t="s">
        <v>2956</v>
      </c>
      <c r="F266" t="s">
        <v>3810</v>
      </c>
      <c r="G266" t="s">
        <v>6263</v>
      </c>
      <c r="H266" t="s">
        <v>6264</v>
      </c>
      <c r="I266" t="s">
        <v>6265</v>
      </c>
      <c r="J266" t="s">
        <v>6266</v>
      </c>
      <c r="K266" t="s">
        <v>6267</v>
      </c>
      <c r="L266">
        <v>38</v>
      </c>
      <c r="M266" t="s">
        <v>3850</v>
      </c>
      <c r="N266" t="s">
        <v>3851</v>
      </c>
      <c r="O266" t="s">
        <v>3852</v>
      </c>
      <c r="P266" t="s">
        <v>6268</v>
      </c>
      <c r="Q266" t="s">
        <v>6269</v>
      </c>
      <c r="R266" t="s">
        <v>6270</v>
      </c>
      <c r="S266" t="s">
        <v>6271</v>
      </c>
      <c r="T266" t="s">
        <v>3808</v>
      </c>
      <c r="U266">
        <v>2017</v>
      </c>
      <c r="V266">
        <v>29</v>
      </c>
      <c r="W266" t="s">
        <v>3823</v>
      </c>
      <c r="X266" t="s">
        <v>6272</v>
      </c>
      <c r="Y266" t="str">
        <f>HYPERLINK("http://dx.doi.org/10.1111/bre.12199","http://dx.doi.org/10.1111/bre.12199")</f>
        <v>http://dx.doi.org/10.1111/bre.12199</v>
      </c>
      <c r="Z266" t="s">
        <v>4116</v>
      </c>
      <c r="AA266" t="s">
        <v>3826</v>
      </c>
      <c r="AB266" s="3">
        <v>45672</v>
      </c>
      <c r="AC266" t="s">
        <v>6273</v>
      </c>
      <c r="AD266" t="str">
        <f>HYPERLINK("https%3A%2F%2Fwww.webofscience.com%2Fwos%2Fwoscc%2Ffull-record%2FWOS:000393612500031","View Full Record in Web of Science")</f>
        <v>View Full Record in Web of Science</v>
      </c>
    </row>
    <row r="267" spans="1:30" x14ac:dyDescent="0.35">
      <c r="A267">
        <v>266</v>
      </c>
      <c r="B267" t="s">
        <v>3296</v>
      </c>
      <c r="C267" t="s">
        <v>6274</v>
      </c>
      <c r="D267" t="s">
        <v>3296</v>
      </c>
      <c r="E267" t="s">
        <v>2927</v>
      </c>
      <c r="F267" t="s">
        <v>3810</v>
      </c>
      <c r="G267" t="s">
        <v>6275</v>
      </c>
      <c r="H267" t="s">
        <v>6276</v>
      </c>
      <c r="I267" t="s">
        <v>6277</v>
      </c>
      <c r="J267" t="s">
        <v>6278</v>
      </c>
      <c r="K267" t="s">
        <v>6279</v>
      </c>
      <c r="L267">
        <v>37</v>
      </c>
      <c r="M267" t="s">
        <v>4339</v>
      </c>
      <c r="N267" t="s">
        <v>4340</v>
      </c>
      <c r="O267" t="s">
        <v>4341</v>
      </c>
      <c r="P267" t="s">
        <v>5108</v>
      </c>
      <c r="Q267" t="s">
        <v>5109</v>
      </c>
      <c r="R267" t="s">
        <v>5110</v>
      </c>
      <c r="S267" t="s">
        <v>5111</v>
      </c>
      <c r="T267" t="s">
        <v>6280</v>
      </c>
      <c r="U267">
        <v>2018</v>
      </c>
      <c r="V267">
        <v>22</v>
      </c>
      <c r="W267">
        <v>1</v>
      </c>
      <c r="X267" t="s">
        <v>6281</v>
      </c>
      <c r="Y267" t="str">
        <f>HYPERLINK("http://dx.doi.org/10.5194/hess-22-547-2018","http://dx.doi.org/10.5194/hess-22-547-2018")</f>
        <v>http://dx.doi.org/10.5194/hess-22-547-2018</v>
      </c>
      <c r="Z267" t="s">
        <v>4231</v>
      </c>
      <c r="AA267" t="s">
        <v>3826</v>
      </c>
      <c r="AB267" s="3">
        <v>45672</v>
      </c>
      <c r="AC267" t="s">
        <v>6282</v>
      </c>
      <c r="AD267" t="str">
        <f>HYPERLINK("https%3A%2F%2Fwww.webofscience.com%2Fwos%2Fwoscc%2Ffull-record%2FWOS:000423233600001","View Full Record in Web of Science")</f>
        <v>View Full Record in Web of Science</v>
      </c>
    </row>
    <row r="268" spans="1:30" x14ac:dyDescent="0.35">
      <c r="A268">
        <v>267</v>
      </c>
      <c r="B268" t="s">
        <v>3297</v>
      </c>
      <c r="C268" t="s">
        <v>6283</v>
      </c>
      <c r="D268" t="s">
        <v>3297</v>
      </c>
      <c r="E268" t="s">
        <v>2957</v>
      </c>
      <c r="F268" t="s">
        <v>3810</v>
      </c>
      <c r="G268" t="s">
        <v>6284</v>
      </c>
      <c r="H268" t="s">
        <v>6285</v>
      </c>
      <c r="I268" t="s">
        <v>6286</v>
      </c>
      <c r="J268" t="s">
        <v>6287</v>
      </c>
      <c r="K268" t="s">
        <v>6288</v>
      </c>
      <c r="L268">
        <v>1</v>
      </c>
      <c r="M268" t="s">
        <v>3850</v>
      </c>
      <c r="N268" t="s">
        <v>3851</v>
      </c>
      <c r="O268" t="s">
        <v>3852</v>
      </c>
      <c r="P268" t="s">
        <v>6289</v>
      </c>
      <c r="Q268" t="s">
        <v>6290</v>
      </c>
      <c r="R268" t="s">
        <v>6291</v>
      </c>
      <c r="S268" t="s">
        <v>6292</v>
      </c>
      <c r="T268" t="s">
        <v>4016</v>
      </c>
      <c r="U268">
        <v>2022</v>
      </c>
      <c r="V268">
        <v>57</v>
      </c>
      <c r="W268">
        <v>10</v>
      </c>
      <c r="X268" t="s">
        <v>6293</v>
      </c>
      <c r="Y268" t="str">
        <f>HYPERLINK("http://dx.doi.org/10.1002/gj.4539","http://dx.doi.org/10.1002/gj.4539")</f>
        <v>http://dx.doi.org/10.1002/gj.4539</v>
      </c>
      <c r="Z268" t="s">
        <v>4116</v>
      </c>
      <c r="AA268" t="s">
        <v>3826</v>
      </c>
      <c r="AB268" s="3">
        <v>45672</v>
      </c>
      <c r="AC268" t="s">
        <v>6294</v>
      </c>
      <c r="AD268" t="str">
        <f>HYPERLINK("https%3A%2F%2Fwww.webofscience.com%2Fwos%2Fwoscc%2Ffull-record%2FWOS:000827851800001","View Full Record in Web of Science")</f>
        <v>View Full Record in Web of Science</v>
      </c>
    </row>
    <row r="269" spans="1:30" x14ac:dyDescent="0.35">
      <c r="A269">
        <v>268</v>
      </c>
      <c r="B269" t="s">
        <v>3298</v>
      </c>
      <c r="C269" t="s">
        <v>6295</v>
      </c>
      <c r="D269" t="s">
        <v>3298</v>
      </c>
      <c r="E269" t="s">
        <v>2915</v>
      </c>
      <c r="F269" t="s">
        <v>3810</v>
      </c>
      <c r="G269" t="s">
        <v>6296</v>
      </c>
      <c r="H269" t="s">
        <v>6297</v>
      </c>
      <c r="I269" t="s">
        <v>6298</v>
      </c>
      <c r="J269" t="s">
        <v>6299</v>
      </c>
      <c r="K269" t="s">
        <v>6300</v>
      </c>
      <c r="L269">
        <v>11</v>
      </c>
      <c r="M269" t="s">
        <v>4730</v>
      </c>
      <c r="N269" t="s">
        <v>4731</v>
      </c>
      <c r="O269" t="s">
        <v>4732</v>
      </c>
      <c r="P269" t="s">
        <v>4733</v>
      </c>
      <c r="Q269" t="s">
        <v>4734</v>
      </c>
      <c r="R269" t="s">
        <v>4735</v>
      </c>
      <c r="S269" t="s">
        <v>4736</v>
      </c>
      <c r="T269" t="s">
        <v>3808</v>
      </c>
      <c r="U269">
        <v>2022</v>
      </c>
      <c r="V269">
        <v>44</v>
      </c>
      <c r="W269">
        <v>1</v>
      </c>
      <c r="X269" t="s">
        <v>6301</v>
      </c>
      <c r="Y269" t="str">
        <f>HYPERLINK("http://dx.doi.org/10.15625/2615-9783/16942","http://dx.doi.org/10.15625/2615-9783/16942")</f>
        <v>http://dx.doi.org/10.15625/2615-9783/16942</v>
      </c>
      <c r="Z269" t="s">
        <v>4116</v>
      </c>
      <c r="AA269" t="s">
        <v>4117</v>
      </c>
      <c r="AB269" s="3">
        <v>45672</v>
      </c>
      <c r="AC269" t="s">
        <v>6302</v>
      </c>
      <c r="AD269" t="str">
        <f>HYPERLINK("https%3A%2F%2Fwww.webofscience.com%2Fwos%2Fwoscc%2Ffull-record%2FWOS:000767348300006","View Full Record in Web of Science")</f>
        <v>View Full Record in Web of Science</v>
      </c>
    </row>
    <row r="270" spans="1:30" x14ac:dyDescent="0.35">
      <c r="A270">
        <v>269</v>
      </c>
      <c r="B270" t="s">
        <v>3299</v>
      </c>
      <c r="C270" t="s">
        <v>6303</v>
      </c>
      <c r="D270" t="s">
        <v>3299</v>
      </c>
      <c r="E270" t="s">
        <v>2867</v>
      </c>
      <c r="F270" t="s">
        <v>3810</v>
      </c>
      <c r="G270" t="s">
        <v>6304</v>
      </c>
      <c r="H270" t="s">
        <v>6305</v>
      </c>
      <c r="I270" t="s">
        <v>6306</v>
      </c>
      <c r="J270" t="s">
        <v>6307</v>
      </c>
      <c r="K270" t="s">
        <v>6308</v>
      </c>
      <c r="L270">
        <v>21</v>
      </c>
      <c r="M270" t="s">
        <v>3866</v>
      </c>
      <c r="N270" t="s">
        <v>3817</v>
      </c>
      <c r="O270" t="s">
        <v>4290</v>
      </c>
      <c r="P270" t="s">
        <v>3868</v>
      </c>
      <c r="Q270" t="s">
        <v>3869</v>
      </c>
      <c r="R270" t="s">
        <v>3870</v>
      </c>
      <c r="S270" t="s">
        <v>3871</v>
      </c>
      <c r="T270" t="s">
        <v>3974</v>
      </c>
      <c r="U270">
        <v>2016</v>
      </c>
      <c r="V270">
        <v>46</v>
      </c>
      <c r="W270" t="s">
        <v>4483</v>
      </c>
      <c r="X270" t="s">
        <v>6309</v>
      </c>
      <c r="Y270" t="str">
        <f>HYPERLINK("http://dx.doi.org/10.1007/s00382-015-2808-6","http://dx.doi.org/10.1007/s00382-015-2808-6")</f>
        <v>http://dx.doi.org/10.1007/s00382-015-2808-6</v>
      </c>
      <c r="Z270" t="s">
        <v>3825</v>
      </c>
      <c r="AA270" t="s">
        <v>3826</v>
      </c>
      <c r="AB270" s="3">
        <v>45672</v>
      </c>
      <c r="AC270" t="s">
        <v>6310</v>
      </c>
      <c r="AD270" t="str">
        <f>HYPERLINK("https%3A%2F%2Fwww.webofscience.com%2Fwos%2Fwoscc%2Ffull-record%2FWOS:000381108600029","View Full Record in Web of Science")</f>
        <v>View Full Record in Web of Science</v>
      </c>
    </row>
    <row r="271" spans="1:30" x14ac:dyDescent="0.35">
      <c r="A271">
        <v>270</v>
      </c>
      <c r="B271" t="s">
        <v>3300</v>
      </c>
      <c r="C271" t="s">
        <v>6311</v>
      </c>
      <c r="D271" t="s">
        <v>3300</v>
      </c>
      <c r="E271" t="s">
        <v>2905</v>
      </c>
      <c r="F271" t="s">
        <v>3810</v>
      </c>
      <c r="G271" t="s">
        <v>6312</v>
      </c>
      <c r="H271" t="s">
        <v>6313</v>
      </c>
      <c r="I271" t="s">
        <v>6314</v>
      </c>
      <c r="J271" t="s">
        <v>6315</v>
      </c>
      <c r="K271" t="s">
        <v>6316</v>
      </c>
      <c r="L271">
        <v>19</v>
      </c>
      <c r="M271" t="s">
        <v>4339</v>
      </c>
      <c r="N271" t="s">
        <v>4340</v>
      </c>
      <c r="O271" t="s">
        <v>4341</v>
      </c>
      <c r="P271" t="s">
        <v>4449</v>
      </c>
      <c r="Q271" t="s">
        <v>4450</v>
      </c>
      <c r="R271" t="s">
        <v>4451</v>
      </c>
      <c r="S271" t="s">
        <v>4452</v>
      </c>
      <c r="T271" t="s">
        <v>3808</v>
      </c>
      <c r="U271">
        <v>2015</v>
      </c>
      <c r="V271">
        <v>11</v>
      </c>
      <c r="W271">
        <v>10</v>
      </c>
      <c r="X271" t="s">
        <v>6317</v>
      </c>
      <c r="Y271" t="str">
        <f>HYPERLINK("http://dx.doi.org/10.5194/cp-11-1325-2015","http://dx.doi.org/10.5194/cp-11-1325-2015")</f>
        <v>http://dx.doi.org/10.5194/cp-11-1325-2015</v>
      </c>
      <c r="Z271" t="s">
        <v>4455</v>
      </c>
      <c r="AA271" t="s">
        <v>3826</v>
      </c>
      <c r="AB271" s="3">
        <v>45672</v>
      </c>
      <c r="AC271" t="s">
        <v>6318</v>
      </c>
      <c r="AD271" t="str">
        <f>HYPERLINK("https%3A%2F%2Fwww.webofscience.com%2Fwos%2Fwoscc%2Ffull-record%2FWOS:000364324600004","View Full Record in Web of Science")</f>
        <v>View Full Record in Web of Science</v>
      </c>
    </row>
    <row r="272" spans="1:30" x14ac:dyDescent="0.35">
      <c r="A272">
        <v>271</v>
      </c>
      <c r="B272" t="s">
        <v>3301</v>
      </c>
      <c r="C272" t="s">
        <v>6319</v>
      </c>
      <c r="D272" t="s">
        <v>3301</v>
      </c>
      <c r="E272" t="s">
        <v>2870</v>
      </c>
      <c r="F272" t="s">
        <v>3810</v>
      </c>
      <c r="G272" t="s">
        <v>6320</v>
      </c>
      <c r="H272" t="s">
        <v>6321</v>
      </c>
      <c r="I272" t="s">
        <v>6322</v>
      </c>
      <c r="J272" t="s">
        <v>6323</v>
      </c>
      <c r="K272" t="s">
        <v>6324</v>
      </c>
      <c r="L272">
        <v>19</v>
      </c>
      <c r="M272" t="s">
        <v>3911</v>
      </c>
      <c r="N272" t="s">
        <v>3912</v>
      </c>
      <c r="O272" t="s">
        <v>3913</v>
      </c>
      <c r="P272" t="s">
        <v>3914</v>
      </c>
      <c r="Q272" t="s">
        <v>3915</v>
      </c>
      <c r="R272" t="s">
        <v>3916</v>
      </c>
      <c r="S272" t="s">
        <v>3917</v>
      </c>
      <c r="T272" t="s">
        <v>4001</v>
      </c>
      <c r="U272">
        <v>2021</v>
      </c>
      <c r="V272">
        <v>126</v>
      </c>
      <c r="W272">
        <v>1</v>
      </c>
      <c r="X272" t="s">
        <v>6325</v>
      </c>
      <c r="Y272" t="str">
        <f>HYPERLINK("http://dx.doi.org/10.1029/2020JB020988","http://dx.doi.org/10.1029/2020JB020988")</f>
        <v>http://dx.doi.org/10.1029/2020JB020988</v>
      </c>
      <c r="Z272" t="s">
        <v>3920</v>
      </c>
      <c r="AA272" t="s">
        <v>3826</v>
      </c>
      <c r="AB272" s="3">
        <v>45672</v>
      </c>
      <c r="AC272" t="s">
        <v>6326</v>
      </c>
      <c r="AD272" t="str">
        <f>HYPERLINK("https%3A%2F%2Fwww.webofscience.com%2Fwos%2Fwoscc%2Ffull-record%2FWOS:000617378900007","View Full Record in Web of Science")</f>
        <v>View Full Record in Web of Science</v>
      </c>
    </row>
    <row r="273" spans="1:30" x14ac:dyDescent="0.35">
      <c r="A273">
        <v>272</v>
      </c>
      <c r="B273" t="s">
        <v>3302</v>
      </c>
      <c r="C273" t="s">
        <v>6327</v>
      </c>
      <c r="D273" t="s">
        <v>3302</v>
      </c>
      <c r="E273" t="s">
        <v>2894</v>
      </c>
      <c r="F273" t="s">
        <v>3810</v>
      </c>
      <c r="G273" t="s">
        <v>6328</v>
      </c>
      <c r="H273" t="s">
        <v>6329</v>
      </c>
      <c r="I273" t="s">
        <v>4530</v>
      </c>
      <c r="J273" t="s">
        <v>6330</v>
      </c>
      <c r="K273" t="s">
        <v>6331</v>
      </c>
      <c r="L273">
        <v>10</v>
      </c>
      <c r="M273" t="s">
        <v>4252</v>
      </c>
      <c r="N273" t="s">
        <v>4253</v>
      </c>
      <c r="O273" t="s">
        <v>4254</v>
      </c>
      <c r="P273" t="s">
        <v>4255</v>
      </c>
      <c r="Q273" t="s">
        <v>4256</v>
      </c>
      <c r="R273" t="s">
        <v>4257</v>
      </c>
      <c r="S273" t="s">
        <v>4258</v>
      </c>
      <c r="T273" t="s">
        <v>3932</v>
      </c>
      <c r="U273">
        <v>2018</v>
      </c>
      <c r="V273">
        <v>132</v>
      </c>
      <c r="W273" t="s">
        <v>4268</v>
      </c>
      <c r="X273" t="s">
        <v>6332</v>
      </c>
      <c r="Y273" t="str">
        <f>HYPERLINK("http://dx.doi.org/10.1007/s00704-017-2132-7","http://dx.doi.org/10.1007/s00704-017-2132-7")</f>
        <v>http://dx.doi.org/10.1007/s00704-017-2132-7</v>
      </c>
      <c r="Z273" t="s">
        <v>3825</v>
      </c>
      <c r="AA273" t="s">
        <v>3826</v>
      </c>
      <c r="AB273" s="3">
        <v>45672</v>
      </c>
      <c r="AC273" t="s">
        <v>6333</v>
      </c>
      <c r="AD273" t="str">
        <f>HYPERLINK("https%3A%2F%2Fwww.webofscience.com%2Fwos%2Fwoscc%2Ffull-record%2FWOS:000430539000018","View Full Record in Web of Science")</f>
        <v>View Full Record in Web of Science</v>
      </c>
    </row>
    <row r="274" spans="1:30" x14ac:dyDescent="0.35">
      <c r="A274">
        <v>273</v>
      </c>
      <c r="B274" t="s">
        <v>3303</v>
      </c>
      <c r="C274" t="s">
        <v>6334</v>
      </c>
      <c r="D274" t="s">
        <v>3303</v>
      </c>
      <c r="E274" t="s">
        <v>2958</v>
      </c>
      <c r="F274" t="s">
        <v>3810</v>
      </c>
      <c r="G274" t="s">
        <v>6335</v>
      </c>
      <c r="H274" t="s">
        <v>6336</v>
      </c>
      <c r="I274" t="s">
        <v>6337</v>
      </c>
      <c r="J274" t="s">
        <v>6338</v>
      </c>
      <c r="K274" t="s">
        <v>6339</v>
      </c>
      <c r="L274">
        <v>42</v>
      </c>
      <c r="M274" t="s">
        <v>3911</v>
      </c>
      <c r="N274" t="s">
        <v>3912</v>
      </c>
      <c r="O274" t="s">
        <v>3913</v>
      </c>
      <c r="P274" t="s">
        <v>6340</v>
      </c>
      <c r="Q274" t="s">
        <v>6341</v>
      </c>
      <c r="R274" t="s">
        <v>6342</v>
      </c>
      <c r="S274" t="s">
        <v>6343</v>
      </c>
      <c r="T274" t="s">
        <v>4114</v>
      </c>
      <c r="U274">
        <v>2017</v>
      </c>
      <c r="V274">
        <v>122</v>
      </c>
      <c r="W274">
        <v>3</v>
      </c>
      <c r="X274" t="s">
        <v>6344</v>
      </c>
      <c r="Y274" t="str">
        <f>HYPERLINK("http://dx.doi.org/10.1002/2016JC012642","http://dx.doi.org/10.1002/2016JC012642")</f>
        <v>http://dx.doi.org/10.1002/2016JC012642</v>
      </c>
      <c r="Z274" t="s">
        <v>4055</v>
      </c>
      <c r="AA274" t="s">
        <v>3826</v>
      </c>
      <c r="AB274" s="3">
        <v>45672</v>
      </c>
      <c r="AC274" t="s">
        <v>6345</v>
      </c>
      <c r="AD274" t="str">
        <f>HYPERLINK("https%3A%2F%2Fwww.webofscience.com%2Fwos%2Fwoscc%2Ffull-record%2FWOS:000400678900002","View Full Record in Web of Science")</f>
        <v>View Full Record in Web of Science</v>
      </c>
    </row>
    <row r="275" spans="1:30" x14ac:dyDescent="0.35">
      <c r="A275">
        <v>274</v>
      </c>
      <c r="B275" t="s">
        <v>3304</v>
      </c>
      <c r="C275" t="s">
        <v>6346</v>
      </c>
      <c r="D275" t="s">
        <v>3304</v>
      </c>
      <c r="E275" t="s">
        <v>2881</v>
      </c>
      <c r="F275" t="s">
        <v>3810</v>
      </c>
      <c r="G275" t="s">
        <v>6347</v>
      </c>
      <c r="H275" t="s">
        <v>6348</v>
      </c>
      <c r="I275" t="s">
        <v>6349</v>
      </c>
      <c r="J275" t="s">
        <v>6350</v>
      </c>
      <c r="K275" t="s">
        <v>6351</v>
      </c>
      <c r="L275">
        <v>0</v>
      </c>
      <c r="M275" t="s">
        <v>4033</v>
      </c>
      <c r="N275" t="s">
        <v>4034</v>
      </c>
      <c r="O275" t="s">
        <v>5063</v>
      </c>
      <c r="P275" t="s">
        <v>4076</v>
      </c>
      <c r="Q275" t="s">
        <v>4077</v>
      </c>
      <c r="R275" t="s">
        <v>4078</v>
      </c>
      <c r="S275" t="s">
        <v>4079</v>
      </c>
      <c r="T275" t="s">
        <v>4016</v>
      </c>
      <c r="U275">
        <v>2022</v>
      </c>
      <c r="V275">
        <v>23</v>
      </c>
      <c r="W275">
        <v>10</v>
      </c>
      <c r="X275" t="s">
        <v>6352</v>
      </c>
      <c r="Y275" t="str">
        <f>HYPERLINK("http://dx.doi.org/10.1175/JHM-D-20-0245.1","http://dx.doi.org/10.1175/JHM-D-20-0245.1")</f>
        <v>http://dx.doi.org/10.1175/JHM-D-20-0245.1</v>
      </c>
      <c r="Z275" t="s">
        <v>3825</v>
      </c>
      <c r="AA275" t="s">
        <v>3826</v>
      </c>
      <c r="AB275" s="3">
        <v>45672</v>
      </c>
      <c r="AC275" t="s">
        <v>6353</v>
      </c>
      <c r="AD275" t="str">
        <f>HYPERLINK("https%3A%2F%2Fwww.webofscience.com%2Fwos%2Fwoscc%2Ffull-record%2FWOS:000879236000006","View Full Record in Web of Science")</f>
        <v>View Full Record in Web of Science</v>
      </c>
    </row>
    <row r="276" spans="1:30" x14ac:dyDescent="0.35">
      <c r="A276">
        <v>275</v>
      </c>
      <c r="B276" t="s">
        <v>3305</v>
      </c>
      <c r="C276" t="s">
        <v>6354</v>
      </c>
      <c r="D276" t="s">
        <v>3305</v>
      </c>
      <c r="E276" t="s">
        <v>2866</v>
      </c>
      <c r="F276" t="s">
        <v>3810</v>
      </c>
      <c r="G276" t="s">
        <v>6355</v>
      </c>
      <c r="H276" t="s">
        <v>6356</v>
      </c>
      <c r="I276" t="s">
        <v>5193</v>
      </c>
      <c r="J276" t="s">
        <v>6357</v>
      </c>
      <c r="K276" t="s">
        <v>6357</v>
      </c>
      <c r="L276">
        <v>8</v>
      </c>
      <c r="M276" t="s">
        <v>3850</v>
      </c>
      <c r="N276" t="s">
        <v>3851</v>
      </c>
      <c r="O276" t="s">
        <v>3852</v>
      </c>
      <c r="P276" t="s">
        <v>3853</v>
      </c>
      <c r="Q276" t="s">
        <v>3854</v>
      </c>
      <c r="R276" t="s">
        <v>3855</v>
      </c>
      <c r="S276" t="s">
        <v>3856</v>
      </c>
      <c r="T276" t="s">
        <v>4001</v>
      </c>
      <c r="U276">
        <v>2023</v>
      </c>
      <c r="V276">
        <v>43</v>
      </c>
      <c r="W276">
        <v>1</v>
      </c>
      <c r="X276" t="s">
        <v>6358</v>
      </c>
      <c r="Y276" t="str">
        <f>HYPERLINK("http://dx.doi.org/10.1002/joc.7744","http://dx.doi.org/10.1002/joc.7744")</f>
        <v>http://dx.doi.org/10.1002/joc.7744</v>
      </c>
      <c r="Z276" t="s">
        <v>3825</v>
      </c>
      <c r="AA276" t="s">
        <v>3826</v>
      </c>
      <c r="AB276" s="3">
        <v>45672</v>
      </c>
      <c r="AC276" t="s">
        <v>6359</v>
      </c>
      <c r="AD276" t="str">
        <f>HYPERLINK("https%3A%2F%2Fwww.webofscience.com%2Fwos%2Fwoscc%2Ffull-record%2FWOS:000810804600001","View Full Record in Web of Science")</f>
        <v>View Full Record in Web of Science</v>
      </c>
    </row>
    <row r="277" spans="1:30" x14ac:dyDescent="0.35">
      <c r="A277">
        <v>276</v>
      </c>
      <c r="B277" t="s">
        <v>3306</v>
      </c>
      <c r="C277" t="s">
        <v>6360</v>
      </c>
      <c r="D277" t="s">
        <v>3306</v>
      </c>
      <c r="E277" t="s">
        <v>2866</v>
      </c>
      <c r="F277" t="s">
        <v>3810</v>
      </c>
      <c r="G277" t="s">
        <v>6361</v>
      </c>
      <c r="H277" t="s">
        <v>6362</v>
      </c>
      <c r="I277" t="s">
        <v>6363</v>
      </c>
      <c r="J277" t="s">
        <v>6364</v>
      </c>
      <c r="K277" t="s">
        <v>6365</v>
      </c>
      <c r="L277">
        <v>5</v>
      </c>
      <c r="M277" t="s">
        <v>3850</v>
      </c>
      <c r="N277" t="s">
        <v>3851</v>
      </c>
      <c r="O277" t="s">
        <v>3852</v>
      </c>
      <c r="P277" t="s">
        <v>3853</v>
      </c>
      <c r="Q277" t="s">
        <v>3854</v>
      </c>
      <c r="R277" t="s">
        <v>3855</v>
      </c>
      <c r="S277" t="s">
        <v>3856</v>
      </c>
      <c r="T277" t="s">
        <v>3857</v>
      </c>
      <c r="U277">
        <v>2023</v>
      </c>
      <c r="V277">
        <v>43</v>
      </c>
      <c r="W277">
        <v>3</v>
      </c>
      <c r="X277" t="s">
        <v>6366</v>
      </c>
      <c r="Y277" t="str">
        <f>HYPERLINK("http://dx.doi.org/10.1002/joc.7938","http://dx.doi.org/10.1002/joc.7938")</f>
        <v>http://dx.doi.org/10.1002/joc.7938</v>
      </c>
      <c r="Z277" t="s">
        <v>3825</v>
      </c>
      <c r="AA277" t="s">
        <v>3826</v>
      </c>
      <c r="AB277" s="3">
        <v>45672</v>
      </c>
      <c r="AC277" t="s">
        <v>6367</v>
      </c>
      <c r="AD277" t="str">
        <f>HYPERLINK("https%3A%2F%2Fwww.webofscience.com%2Fwos%2Fwoscc%2Ffull-record%2FWOS:000895880100001","View Full Record in Web of Science")</f>
        <v>View Full Record in Web of Science</v>
      </c>
    </row>
    <row r="278" spans="1:30" x14ac:dyDescent="0.35">
      <c r="A278">
        <v>277</v>
      </c>
      <c r="B278" t="s">
        <v>3307</v>
      </c>
      <c r="C278" t="s">
        <v>6368</v>
      </c>
      <c r="D278" t="s">
        <v>3307</v>
      </c>
      <c r="E278" t="s">
        <v>2906</v>
      </c>
      <c r="F278" t="s">
        <v>3810</v>
      </c>
      <c r="G278" t="s">
        <v>6369</v>
      </c>
      <c r="H278" t="s">
        <v>6370</v>
      </c>
      <c r="I278" t="s">
        <v>6371</v>
      </c>
      <c r="K278" t="s">
        <v>3808</v>
      </c>
      <c r="L278">
        <v>0</v>
      </c>
      <c r="M278" t="s">
        <v>4468</v>
      </c>
      <c r="N278" t="s">
        <v>2907</v>
      </c>
      <c r="O278" t="s">
        <v>4469</v>
      </c>
      <c r="P278" t="s">
        <v>4470</v>
      </c>
      <c r="Q278" t="s">
        <v>4471</v>
      </c>
      <c r="R278" t="s">
        <v>4472</v>
      </c>
      <c r="S278" t="s">
        <v>4473</v>
      </c>
      <c r="T278" t="s">
        <v>4137</v>
      </c>
      <c r="U278">
        <v>2022</v>
      </c>
      <c r="V278">
        <v>30</v>
      </c>
      <c r="W278">
        <v>4</v>
      </c>
      <c r="X278" t="s">
        <v>6372</v>
      </c>
      <c r="Y278" t="str">
        <f>HYPERLINK("http://dx.doi.org/10.1007/s41324-022-00435-8","http://dx.doi.org/10.1007/s41324-022-00435-8")</f>
        <v>http://dx.doi.org/10.1007/s41324-022-00435-8</v>
      </c>
      <c r="Z278" t="s">
        <v>4475</v>
      </c>
      <c r="AA278" t="s">
        <v>4117</v>
      </c>
      <c r="AB278" s="3">
        <v>45672</v>
      </c>
      <c r="AC278" t="s">
        <v>6373</v>
      </c>
      <c r="AD278" t="str">
        <f>HYPERLINK("https%3A%2F%2Fwww.webofscience.com%2Fwos%2Fwoscc%2Ffull-record%2FWOS:000781278800001","View Full Record in Web of Science")</f>
        <v>View Full Record in Web of Science</v>
      </c>
    </row>
    <row r="279" spans="1:30" x14ac:dyDescent="0.35">
      <c r="A279">
        <v>278</v>
      </c>
      <c r="B279" t="s">
        <v>3308</v>
      </c>
      <c r="C279" t="s">
        <v>6374</v>
      </c>
      <c r="D279" t="s">
        <v>3308</v>
      </c>
      <c r="E279" t="s">
        <v>2862</v>
      </c>
      <c r="F279" t="s">
        <v>3810</v>
      </c>
      <c r="G279" t="s">
        <v>6375</v>
      </c>
      <c r="H279" t="s">
        <v>6376</v>
      </c>
      <c r="I279" t="s">
        <v>6377</v>
      </c>
      <c r="J279" t="s">
        <v>6378</v>
      </c>
      <c r="K279" t="s">
        <v>6379</v>
      </c>
      <c r="L279">
        <v>20</v>
      </c>
      <c r="M279" t="s">
        <v>3816</v>
      </c>
      <c r="N279" t="s">
        <v>3817</v>
      </c>
      <c r="O279" t="s">
        <v>3818</v>
      </c>
      <c r="P279" t="s">
        <v>3819</v>
      </c>
      <c r="Q279" t="s">
        <v>3820</v>
      </c>
      <c r="R279" t="s">
        <v>3821</v>
      </c>
      <c r="S279" t="s">
        <v>3822</v>
      </c>
      <c r="T279" t="s">
        <v>4773</v>
      </c>
      <c r="U279">
        <v>2020</v>
      </c>
      <c r="V279">
        <v>246</v>
      </c>
      <c r="W279" t="s">
        <v>3808</v>
      </c>
      <c r="X279" t="s">
        <v>6380</v>
      </c>
      <c r="Y279" t="str">
        <f>HYPERLINK("http://dx.doi.org/10.1016/j.atmosres.2020.105155","http://dx.doi.org/10.1016/j.atmosres.2020.105155")</f>
        <v>http://dx.doi.org/10.1016/j.atmosres.2020.105155</v>
      </c>
      <c r="Z279" t="s">
        <v>3825</v>
      </c>
      <c r="AA279" t="s">
        <v>3826</v>
      </c>
      <c r="AB279" s="3">
        <v>45672</v>
      </c>
      <c r="AC279" t="s">
        <v>6381</v>
      </c>
      <c r="AD279" t="str">
        <f>HYPERLINK("https%3A%2F%2Fwww.webofscience.com%2Fwos%2Fwoscc%2Ffull-record%2FWOS:000581845700032","View Full Record in Web of Science")</f>
        <v>View Full Record in Web of Science</v>
      </c>
    </row>
    <row r="280" spans="1:30" x14ac:dyDescent="0.35">
      <c r="A280">
        <v>279</v>
      </c>
      <c r="B280" t="s">
        <v>3309</v>
      </c>
      <c r="C280" t="s">
        <v>6382</v>
      </c>
      <c r="D280" t="s">
        <v>3309</v>
      </c>
      <c r="E280" t="s">
        <v>2887</v>
      </c>
      <c r="F280" t="s">
        <v>3810</v>
      </c>
      <c r="G280" t="s">
        <v>6383</v>
      </c>
      <c r="H280" t="s">
        <v>6384</v>
      </c>
      <c r="I280" t="s">
        <v>6385</v>
      </c>
      <c r="J280" t="s">
        <v>6386</v>
      </c>
      <c r="K280" t="s">
        <v>6387</v>
      </c>
      <c r="L280">
        <v>61</v>
      </c>
      <c r="M280" t="s">
        <v>3850</v>
      </c>
      <c r="N280" t="s">
        <v>3851</v>
      </c>
      <c r="O280" t="s">
        <v>3852</v>
      </c>
      <c r="P280" t="s">
        <v>4188</v>
      </c>
      <c r="Q280" t="s">
        <v>4189</v>
      </c>
      <c r="R280" t="s">
        <v>4190</v>
      </c>
      <c r="S280" t="s">
        <v>4191</v>
      </c>
      <c r="T280" t="s">
        <v>4016</v>
      </c>
      <c r="U280">
        <v>2019</v>
      </c>
      <c r="V280">
        <v>26</v>
      </c>
      <c r="W280">
        <v>4</v>
      </c>
      <c r="X280" t="s">
        <v>6388</v>
      </c>
      <c r="Y280" t="str">
        <f>HYPERLINK("http://dx.doi.org/10.1002/met.1792","http://dx.doi.org/10.1002/met.1792")</f>
        <v>http://dx.doi.org/10.1002/met.1792</v>
      </c>
      <c r="Z280" t="s">
        <v>3825</v>
      </c>
      <c r="AA280" t="s">
        <v>3826</v>
      </c>
      <c r="AB280" s="3">
        <v>45672</v>
      </c>
      <c r="AC280" t="s">
        <v>6389</v>
      </c>
      <c r="AD280" t="str">
        <f>HYPERLINK("https%3A%2F%2Fwww.webofscience.com%2Fwos%2Fwoscc%2Ffull-record%2FWOS:000525751800012","View Full Record in Web of Science")</f>
        <v>View Full Record in Web of Science</v>
      </c>
    </row>
    <row r="281" spans="1:30" x14ac:dyDescent="0.35">
      <c r="A281">
        <v>280</v>
      </c>
      <c r="B281" t="s">
        <v>3310</v>
      </c>
      <c r="C281" t="s">
        <v>6390</v>
      </c>
      <c r="D281" t="s">
        <v>3310</v>
      </c>
      <c r="E281" t="s">
        <v>2959</v>
      </c>
      <c r="F281" t="s">
        <v>3810</v>
      </c>
      <c r="G281" t="s">
        <v>6391</v>
      </c>
      <c r="H281" t="s">
        <v>6392</v>
      </c>
      <c r="I281" t="s">
        <v>5164</v>
      </c>
      <c r="J281" t="s">
        <v>5631</v>
      </c>
      <c r="K281" t="s">
        <v>6393</v>
      </c>
      <c r="L281">
        <v>62</v>
      </c>
      <c r="M281" t="s">
        <v>5326</v>
      </c>
      <c r="N281" t="s">
        <v>4047</v>
      </c>
      <c r="O281" t="s">
        <v>5327</v>
      </c>
      <c r="P281" t="s">
        <v>6394</v>
      </c>
      <c r="Q281" t="s">
        <v>6395</v>
      </c>
      <c r="R281" t="s">
        <v>6396</v>
      </c>
      <c r="S281" t="s">
        <v>6397</v>
      </c>
      <c r="T281" t="s">
        <v>4411</v>
      </c>
      <c r="U281">
        <v>2014</v>
      </c>
      <c r="V281">
        <v>54</v>
      </c>
      <c r="W281">
        <v>4</v>
      </c>
      <c r="X281" t="s">
        <v>6398</v>
      </c>
      <c r="Y281" t="str">
        <f>HYPERLINK("http://dx.doi.org/10.1016/j.asr.2014.02.012","http://dx.doi.org/10.1016/j.asr.2014.02.012")</f>
        <v>http://dx.doi.org/10.1016/j.asr.2014.02.012</v>
      </c>
      <c r="Z281" t="s">
        <v>6399</v>
      </c>
      <c r="AA281" t="s">
        <v>3826</v>
      </c>
      <c r="AB281" s="3">
        <v>45672</v>
      </c>
      <c r="AC281" t="s">
        <v>6400</v>
      </c>
      <c r="AD281" t="str">
        <f>HYPERLINK("https%3A%2F%2Fwww.webofscience.com%2Fwos%2Fwoscc%2Ffull-record%2FWOS:000339692800008","View Full Record in Web of Science")</f>
        <v>View Full Record in Web of Science</v>
      </c>
    </row>
    <row r="282" spans="1:30" x14ac:dyDescent="0.35">
      <c r="A282">
        <v>281</v>
      </c>
      <c r="B282" t="s">
        <v>3311</v>
      </c>
      <c r="C282" t="s">
        <v>6401</v>
      </c>
      <c r="D282" t="s">
        <v>3311</v>
      </c>
      <c r="E282" t="s">
        <v>2899</v>
      </c>
      <c r="F282" t="s">
        <v>3810</v>
      </c>
      <c r="G282" t="s">
        <v>6402</v>
      </c>
      <c r="H282" t="s">
        <v>6403</v>
      </c>
      <c r="I282" t="s">
        <v>6404</v>
      </c>
      <c r="J282" t="s">
        <v>6405</v>
      </c>
      <c r="K282" t="s">
        <v>6406</v>
      </c>
      <c r="L282">
        <v>151</v>
      </c>
      <c r="M282" t="s">
        <v>4252</v>
      </c>
      <c r="N282" t="s">
        <v>4253</v>
      </c>
      <c r="O282" t="s">
        <v>4254</v>
      </c>
      <c r="P282" t="s">
        <v>4319</v>
      </c>
      <c r="Q282" t="s">
        <v>4320</v>
      </c>
      <c r="R282" t="s">
        <v>4321</v>
      </c>
      <c r="S282" t="s">
        <v>4322</v>
      </c>
      <c r="T282" t="s">
        <v>3974</v>
      </c>
      <c r="U282">
        <v>2019</v>
      </c>
      <c r="V282">
        <v>131</v>
      </c>
      <c r="W282">
        <v>3</v>
      </c>
      <c r="X282" t="s">
        <v>6407</v>
      </c>
      <c r="Y282" t="str">
        <f>HYPERLINK("http://dx.doi.org/10.1007/s00703-017-0564-3","http://dx.doi.org/10.1007/s00703-017-0564-3")</f>
        <v>http://dx.doi.org/10.1007/s00703-017-0564-3</v>
      </c>
      <c r="Z282" t="s">
        <v>3825</v>
      </c>
      <c r="AA282" t="s">
        <v>3826</v>
      </c>
      <c r="AB282" s="3">
        <v>45672</v>
      </c>
      <c r="AC282" t="s">
        <v>6408</v>
      </c>
      <c r="AD282" t="str">
        <f>HYPERLINK("https%3A%2F%2Fwww.webofscience.com%2Fwos%2Fwoscc%2Ffull-record%2FWOS:000473164300001","View Full Record in Web of Science")</f>
        <v>View Full Record in Web of Science</v>
      </c>
    </row>
    <row r="283" spans="1:30" x14ac:dyDescent="0.35">
      <c r="A283">
        <v>282</v>
      </c>
      <c r="B283" t="s">
        <v>3312</v>
      </c>
      <c r="C283" t="s">
        <v>6409</v>
      </c>
      <c r="D283" t="s">
        <v>3312</v>
      </c>
      <c r="E283" t="s">
        <v>2960</v>
      </c>
      <c r="F283" t="s">
        <v>3810</v>
      </c>
      <c r="G283" t="s">
        <v>6410</v>
      </c>
      <c r="H283" t="s">
        <v>6411</v>
      </c>
      <c r="I283" t="s">
        <v>6412</v>
      </c>
      <c r="J283" t="s">
        <v>6413</v>
      </c>
      <c r="K283" t="s">
        <v>6414</v>
      </c>
      <c r="L283">
        <v>15</v>
      </c>
      <c r="M283" t="s">
        <v>4277</v>
      </c>
      <c r="N283" t="s">
        <v>4278</v>
      </c>
      <c r="O283" t="s">
        <v>4279</v>
      </c>
      <c r="P283" t="s">
        <v>3808</v>
      </c>
      <c r="Q283" t="s">
        <v>6415</v>
      </c>
      <c r="R283" t="s">
        <v>6416</v>
      </c>
      <c r="S283" t="s">
        <v>6417</v>
      </c>
      <c r="T283" t="s">
        <v>4016</v>
      </c>
      <c r="U283">
        <v>2020</v>
      </c>
      <c r="V283">
        <v>10</v>
      </c>
      <c r="W283">
        <v>10</v>
      </c>
      <c r="X283" t="s">
        <v>6418</v>
      </c>
      <c r="Y283" t="str">
        <f>HYPERLINK("http://dx.doi.org/10.3390/min10100915","http://dx.doi.org/10.3390/min10100915")</f>
        <v>http://dx.doi.org/10.3390/min10100915</v>
      </c>
      <c r="Z283" t="s">
        <v>6419</v>
      </c>
      <c r="AA283" t="s">
        <v>3826</v>
      </c>
      <c r="AB283" s="3">
        <v>45672</v>
      </c>
      <c r="AC283" t="s">
        <v>6420</v>
      </c>
      <c r="AD283" t="str">
        <f>HYPERLINK("https%3A%2F%2Fwww.webofscience.com%2Fwos%2Fwoscc%2Ffull-record%2FWOS:000585241700001","View Full Record in Web of Science")</f>
        <v>View Full Record in Web of Science</v>
      </c>
    </row>
    <row r="284" spans="1:30" x14ac:dyDescent="0.35">
      <c r="A284">
        <v>283</v>
      </c>
      <c r="B284" t="s">
        <v>3313</v>
      </c>
      <c r="C284" t="s">
        <v>6421</v>
      </c>
      <c r="D284" t="s">
        <v>3313</v>
      </c>
      <c r="E284" t="s">
        <v>2961</v>
      </c>
      <c r="F284" t="s">
        <v>3810</v>
      </c>
      <c r="G284" t="s">
        <v>6422</v>
      </c>
      <c r="H284" t="s">
        <v>6423</v>
      </c>
      <c r="I284" t="s">
        <v>6424</v>
      </c>
      <c r="J284" t="s">
        <v>6425</v>
      </c>
      <c r="K284" t="s">
        <v>6426</v>
      </c>
      <c r="L284">
        <v>14</v>
      </c>
      <c r="M284" t="s">
        <v>3880</v>
      </c>
      <c r="N284" t="s">
        <v>3881</v>
      </c>
      <c r="O284" t="s">
        <v>3882</v>
      </c>
      <c r="P284" t="s">
        <v>6427</v>
      </c>
      <c r="Q284" t="s">
        <v>6428</v>
      </c>
      <c r="R284" t="s">
        <v>6429</v>
      </c>
      <c r="S284" t="s">
        <v>6430</v>
      </c>
      <c r="T284" t="s">
        <v>6431</v>
      </c>
      <c r="U284">
        <v>2019</v>
      </c>
      <c r="V284">
        <v>12</v>
      </c>
      <c r="W284">
        <v>3</v>
      </c>
      <c r="X284" t="s">
        <v>6432</v>
      </c>
      <c r="Y284" t="str">
        <f>HYPERLINK("http://dx.doi.org/10.1080/17538947.2018.1426647","http://dx.doi.org/10.1080/17538947.2018.1426647")</f>
        <v>http://dx.doi.org/10.1080/17538947.2018.1426647</v>
      </c>
      <c r="Z284" t="s">
        <v>3889</v>
      </c>
      <c r="AA284" t="s">
        <v>3826</v>
      </c>
      <c r="AB284" s="3">
        <v>45672</v>
      </c>
      <c r="AC284" t="s">
        <v>6433</v>
      </c>
      <c r="AD284" t="str">
        <f>HYPERLINK("https%3A%2F%2Fwww.webofscience.com%2Fwos%2Fwoscc%2Ffull-record%2FWOS:000457412600004","View Full Record in Web of Science")</f>
        <v>View Full Record in Web of Science</v>
      </c>
    </row>
    <row r="285" spans="1:30" x14ac:dyDescent="0.35">
      <c r="A285">
        <v>284</v>
      </c>
      <c r="B285" t="s">
        <v>3314</v>
      </c>
      <c r="C285" t="s">
        <v>6434</v>
      </c>
      <c r="D285" t="s">
        <v>3314</v>
      </c>
      <c r="E285" t="s">
        <v>2866</v>
      </c>
      <c r="F285" t="s">
        <v>3810</v>
      </c>
      <c r="G285" t="s">
        <v>6435</v>
      </c>
      <c r="H285" t="s">
        <v>6436</v>
      </c>
      <c r="I285" t="s">
        <v>6437</v>
      </c>
      <c r="J285" t="s">
        <v>6438</v>
      </c>
      <c r="K285" t="s">
        <v>6439</v>
      </c>
      <c r="L285">
        <v>12</v>
      </c>
      <c r="M285" t="s">
        <v>3850</v>
      </c>
      <c r="N285" t="s">
        <v>3851</v>
      </c>
      <c r="O285" t="s">
        <v>3852</v>
      </c>
      <c r="P285" t="s">
        <v>3853</v>
      </c>
      <c r="Q285" t="s">
        <v>3854</v>
      </c>
      <c r="R285" t="s">
        <v>3855</v>
      </c>
      <c r="S285" t="s">
        <v>3856</v>
      </c>
      <c r="T285" t="s">
        <v>6440</v>
      </c>
      <c r="U285">
        <v>2022</v>
      </c>
      <c r="V285">
        <v>42</v>
      </c>
      <c r="W285">
        <v>16</v>
      </c>
      <c r="X285" t="s">
        <v>6441</v>
      </c>
      <c r="Y285" t="str">
        <f>HYPERLINK("http://dx.doi.org/10.1002/joc.7862","http://dx.doi.org/10.1002/joc.7862")</f>
        <v>http://dx.doi.org/10.1002/joc.7862</v>
      </c>
      <c r="Z285" t="s">
        <v>3825</v>
      </c>
      <c r="AA285" t="s">
        <v>3826</v>
      </c>
      <c r="AB285" s="3">
        <v>45672</v>
      </c>
      <c r="AC285" t="s">
        <v>6442</v>
      </c>
      <c r="AD285" t="str">
        <f>HYPERLINK("https%3A%2F%2Fwww.webofscience.com%2Fwos%2Fwoscc%2Ffull-record%2FWOS:000877420600001","View Full Record in Web of Science")</f>
        <v>View Full Record in Web of Science</v>
      </c>
    </row>
    <row r="286" spans="1:30" x14ac:dyDescent="0.35">
      <c r="A286">
        <v>285</v>
      </c>
      <c r="B286" t="s">
        <v>3315</v>
      </c>
      <c r="C286" t="s">
        <v>4527</v>
      </c>
      <c r="D286" t="s">
        <v>3315</v>
      </c>
      <c r="E286" t="s">
        <v>2894</v>
      </c>
      <c r="F286" t="s">
        <v>3810</v>
      </c>
      <c r="G286" t="s">
        <v>6443</v>
      </c>
      <c r="H286" t="s">
        <v>6444</v>
      </c>
      <c r="I286" t="s">
        <v>4530</v>
      </c>
      <c r="J286" t="s">
        <v>3808</v>
      </c>
      <c r="K286" t="s">
        <v>3808</v>
      </c>
      <c r="L286">
        <v>24</v>
      </c>
      <c r="M286" t="s">
        <v>4252</v>
      </c>
      <c r="N286" t="s">
        <v>4253</v>
      </c>
      <c r="O286" t="s">
        <v>4254</v>
      </c>
      <c r="P286" t="s">
        <v>4255</v>
      </c>
      <c r="Q286" t="s">
        <v>4256</v>
      </c>
      <c r="R286" t="s">
        <v>4257</v>
      </c>
      <c r="S286" t="s">
        <v>4258</v>
      </c>
      <c r="T286" t="s">
        <v>4016</v>
      </c>
      <c r="U286">
        <v>2016</v>
      </c>
      <c r="V286">
        <v>126</v>
      </c>
      <c r="W286" t="s">
        <v>4259</v>
      </c>
      <c r="X286" t="s">
        <v>6445</v>
      </c>
      <c r="Y286" t="str">
        <f>HYPERLINK("http://dx.doi.org/10.1007/s00704-015-1557-0","http://dx.doi.org/10.1007/s00704-015-1557-0")</f>
        <v>http://dx.doi.org/10.1007/s00704-015-1557-0</v>
      </c>
      <c r="Z286" t="s">
        <v>3825</v>
      </c>
      <c r="AA286" t="s">
        <v>3826</v>
      </c>
      <c r="AB286" s="3">
        <v>45672</v>
      </c>
      <c r="AC286" t="s">
        <v>6446</v>
      </c>
      <c r="AD286" t="str">
        <f>HYPERLINK("https%3A%2F%2Fwww.webofscience.com%2Fwos%2Fwoscc%2Ffull-record%2FWOS:000385256300014","View Full Record in Web of Science")</f>
        <v>View Full Record in Web of Science</v>
      </c>
    </row>
    <row r="287" spans="1:30" x14ac:dyDescent="0.35">
      <c r="A287">
        <v>286</v>
      </c>
      <c r="B287" t="s">
        <v>3316</v>
      </c>
      <c r="C287" t="s">
        <v>6447</v>
      </c>
      <c r="D287" t="s">
        <v>3316</v>
      </c>
      <c r="E287" t="s">
        <v>2871</v>
      </c>
      <c r="F287" t="s">
        <v>3810</v>
      </c>
      <c r="G287" t="s">
        <v>6448</v>
      </c>
      <c r="H287" t="s">
        <v>6449</v>
      </c>
      <c r="I287" t="s">
        <v>4530</v>
      </c>
      <c r="K287" t="s">
        <v>3808</v>
      </c>
      <c r="L287">
        <v>21</v>
      </c>
      <c r="M287" t="s">
        <v>3866</v>
      </c>
      <c r="N287" t="s">
        <v>3817</v>
      </c>
      <c r="O287" t="s">
        <v>3867</v>
      </c>
      <c r="P287" t="s">
        <v>3928</v>
      </c>
      <c r="Q287" t="s">
        <v>3929</v>
      </c>
      <c r="R287" t="s">
        <v>3930</v>
      </c>
      <c r="S287" t="s">
        <v>3931</v>
      </c>
      <c r="T287" t="s">
        <v>3823</v>
      </c>
      <c r="U287">
        <v>2017</v>
      </c>
      <c r="V287">
        <v>85</v>
      </c>
      <c r="W287">
        <v>3</v>
      </c>
      <c r="X287" t="s">
        <v>6450</v>
      </c>
      <c r="Y287" t="str">
        <f>HYPERLINK("http://dx.doi.org/10.1007/s11069-016-2670-9","http://dx.doi.org/10.1007/s11069-016-2670-9")</f>
        <v>http://dx.doi.org/10.1007/s11069-016-2670-9</v>
      </c>
      <c r="Z287" t="s">
        <v>3934</v>
      </c>
      <c r="AA287" t="s">
        <v>3826</v>
      </c>
      <c r="AB287" s="3">
        <v>45672</v>
      </c>
      <c r="AC287" t="s">
        <v>6451</v>
      </c>
      <c r="AD287" t="str">
        <f>HYPERLINK("https%3A%2F%2Fwww.webofscience.com%2Fwos%2Fwoscc%2Ffull-record%2FWOS:000392302700027","View Full Record in Web of Science")</f>
        <v>View Full Record in Web of Science</v>
      </c>
    </row>
    <row r="288" spans="1:30" x14ac:dyDescent="0.35">
      <c r="A288">
        <v>287</v>
      </c>
      <c r="B288" t="s">
        <v>3317</v>
      </c>
      <c r="C288" t="s">
        <v>6452</v>
      </c>
      <c r="D288" t="s">
        <v>3317</v>
      </c>
      <c r="E288" t="s">
        <v>2867</v>
      </c>
      <c r="F288" t="s">
        <v>3810</v>
      </c>
      <c r="G288" t="s">
        <v>6453</v>
      </c>
      <c r="H288" t="s">
        <v>6454</v>
      </c>
      <c r="I288" t="s">
        <v>6455</v>
      </c>
      <c r="J288" t="s">
        <v>6456</v>
      </c>
      <c r="K288" t="s">
        <v>6457</v>
      </c>
      <c r="L288">
        <v>31</v>
      </c>
      <c r="M288" t="s">
        <v>3866</v>
      </c>
      <c r="N288" t="s">
        <v>3817</v>
      </c>
      <c r="O288" t="s">
        <v>4290</v>
      </c>
      <c r="P288" t="s">
        <v>3868</v>
      </c>
      <c r="Q288" t="s">
        <v>3869</v>
      </c>
      <c r="R288" t="s">
        <v>3870</v>
      </c>
      <c r="S288" t="s">
        <v>3871</v>
      </c>
      <c r="T288" t="s">
        <v>3823</v>
      </c>
      <c r="U288">
        <v>2017</v>
      </c>
      <c r="V288">
        <v>48</v>
      </c>
      <c r="W288" t="s">
        <v>4268</v>
      </c>
      <c r="X288" t="s">
        <v>6458</v>
      </c>
      <c r="Y288" t="str">
        <f>HYPERLINK("http://dx.doi.org/10.1007/s00382-016-3131-6","http://dx.doi.org/10.1007/s00382-016-3131-6")</f>
        <v>http://dx.doi.org/10.1007/s00382-016-3131-6</v>
      </c>
      <c r="Z288" t="s">
        <v>3825</v>
      </c>
      <c r="AA288" t="s">
        <v>3826</v>
      </c>
      <c r="AB288" s="3">
        <v>45672</v>
      </c>
      <c r="AC288" t="s">
        <v>6459</v>
      </c>
      <c r="AD288" t="str">
        <f>HYPERLINK("https%3A%2F%2Fwww.webofscience.com%2Fwos%2Fwoscc%2Ffull-record%2FWOS:000394150500024","View Full Record in Web of Science")</f>
        <v>View Full Record in Web of Science</v>
      </c>
    </row>
    <row r="289" spans="1:30" x14ac:dyDescent="0.35">
      <c r="A289">
        <v>288</v>
      </c>
      <c r="B289" t="s">
        <v>3318</v>
      </c>
      <c r="C289" t="s">
        <v>6460</v>
      </c>
      <c r="D289" t="s">
        <v>3318</v>
      </c>
      <c r="E289" t="s">
        <v>2867</v>
      </c>
      <c r="F289" t="s">
        <v>3810</v>
      </c>
      <c r="G289" t="s">
        <v>6461</v>
      </c>
      <c r="H289" t="s">
        <v>6462</v>
      </c>
      <c r="I289" t="s">
        <v>6463</v>
      </c>
      <c r="J289" t="s">
        <v>5599</v>
      </c>
      <c r="K289" t="s">
        <v>6464</v>
      </c>
      <c r="L289">
        <v>3</v>
      </c>
      <c r="M289" t="s">
        <v>3866</v>
      </c>
      <c r="N289" t="s">
        <v>3817</v>
      </c>
      <c r="O289" t="s">
        <v>3867</v>
      </c>
      <c r="P289" t="s">
        <v>3868</v>
      </c>
      <c r="Q289" t="s">
        <v>3869</v>
      </c>
      <c r="R289" t="s">
        <v>3870</v>
      </c>
      <c r="S289" t="s">
        <v>3871</v>
      </c>
      <c r="T289" t="s">
        <v>3958</v>
      </c>
      <c r="U289">
        <v>2022</v>
      </c>
      <c r="V289">
        <v>59</v>
      </c>
      <c r="W289" t="s">
        <v>5232</v>
      </c>
      <c r="X289" t="s">
        <v>6465</v>
      </c>
      <c r="Y289" t="str">
        <f>HYPERLINK("http://dx.doi.org/10.1007/s00382-022-06246-9","http://dx.doi.org/10.1007/s00382-022-06246-9")</f>
        <v>http://dx.doi.org/10.1007/s00382-022-06246-9</v>
      </c>
      <c r="Z289" t="s">
        <v>3825</v>
      </c>
      <c r="AA289" t="s">
        <v>3826</v>
      </c>
      <c r="AB289" s="3">
        <v>45672</v>
      </c>
      <c r="AC289" t="s">
        <v>6466</v>
      </c>
      <c r="AD289" t="str">
        <f>HYPERLINK("https%3A%2F%2Fwww.webofscience.com%2Fwos%2Fwoscc%2Ffull-record%2FWOS:000776916200002","View Full Record in Web of Science")</f>
        <v>View Full Record in Web of Science</v>
      </c>
    </row>
    <row r="290" spans="1:30" x14ac:dyDescent="0.35">
      <c r="A290">
        <v>289</v>
      </c>
      <c r="B290" t="s">
        <v>3319</v>
      </c>
      <c r="C290" t="s">
        <v>6467</v>
      </c>
      <c r="D290" t="s">
        <v>3319</v>
      </c>
      <c r="E290" t="s">
        <v>2896</v>
      </c>
      <c r="F290" t="s">
        <v>3810</v>
      </c>
      <c r="G290" t="s">
        <v>6468</v>
      </c>
      <c r="H290" t="s">
        <v>6469</v>
      </c>
      <c r="I290" t="s">
        <v>6470</v>
      </c>
      <c r="J290" t="s">
        <v>6471</v>
      </c>
      <c r="K290" t="s">
        <v>6472</v>
      </c>
      <c r="L290">
        <v>3</v>
      </c>
      <c r="M290" t="s">
        <v>4277</v>
      </c>
      <c r="N290" t="s">
        <v>4278</v>
      </c>
      <c r="O290" t="s">
        <v>4279</v>
      </c>
      <c r="P290" t="s">
        <v>3808</v>
      </c>
      <c r="Q290" t="s">
        <v>4280</v>
      </c>
      <c r="R290" t="s">
        <v>2896</v>
      </c>
      <c r="S290" t="s">
        <v>4281</v>
      </c>
      <c r="T290" t="s">
        <v>6473</v>
      </c>
      <c r="U290">
        <v>2023</v>
      </c>
      <c r="V290">
        <v>11</v>
      </c>
      <c r="W290">
        <v>5</v>
      </c>
      <c r="X290" t="s">
        <v>6474</v>
      </c>
      <c r="Y290" t="str">
        <f>HYPERLINK("http://dx.doi.org/10.3390/cli11050100","http://dx.doi.org/10.3390/cli11050100")</f>
        <v>http://dx.doi.org/10.3390/cli11050100</v>
      </c>
      <c r="Z290" t="s">
        <v>3825</v>
      </c>
      <c r="AA290" t="s">
        <v>4117</v>
      </c>
      <c r="AB290" s="3">
        <v>45672</v>
      </c>
      <c r="AC290" t="s">
        <v>6475</v>
      </c>
      <c r="AD290" t="str">
        <f>HYPERLINK("https%3A%2F%2Fwww.webofscience.com%2Fwos%2Fwoscc%2Ffull-record%2FWOS:000996800200001","View Full Record in Web of Science")</f>
        <v>View Full Record in Web of Science</v>
      </c>
    </row>
    <row r="291" spans="1:30" x14ac:dyDescent="0.35">
      <c r="A291">
        <v>290</v>
      </c>
      <c r="B291" t="s">
        <v>3320</v>
      </c>
      <c r="C291" t="s">
        <v>6476</v>
      </c>
      <c r="D291" t="s">
        <v>3320</v>
      </c>
      <c r="E291" t="s">
        <v>2889</v>
      </c>
      <c r="F291" t="s">
        <v>3810</v>
      </c>
      <c r="G291" t="s">
        <v>6477</v>
      </c>
      <c r="H291" t="s">
        <v>6478</v>
      </c>
      <c r="I291" t="s">
        <v>6479</v>
      </c>
      <c r="J291" t="s">
        <v>6480</v>
      </c>
      <c r="K291" t="s">
        <v>6481</v>
      </c>
      <c r="L291">
        <v>32</v>
      </c>
      <c r="M291" t="s">
        <v>3951</v>
      </c>
      <c r="N291" t="s">
        <v>3952</v>
      </c>
      <c r="O291" t="s">
        <v>3953</v>
      </c>
      <c r="P291" t="s">
        <v>4213</v>
      </c>
      <c r="Q291" t="s">
        <v>4214</v>
      </c>
      <c r="R291" t="s">
        <v>4215</v>
      </c>
      <c r="S291" t="s">
        <v>4216</v>
      </c>
      <c r="T291" t="s">
        <v>3958</v>
      </c>
      <c r="U291">
        <v>2018</v>
      </c>
      <c r="V291">
        <v>102</v>
      </c>
      <c r="W291" t="s">
        <v>3808</v>
      </c>
      <c r="X291" t="s">
        <v>6482</v>
      </c>
      <c r="Y291" t="str">
        <f>HYPERLINK("http://dx.doi.org/10.1016/j.oregeorev.2018.09.002","http://dx.doi.org/10.1016/j.oregeorev.2018.09.002")</f>
        <v>http://dx.doi.org/10.1016/j.oregeorev.2018.09.002</v>
      </c>
      <c r="Z291" t="s">
        <v>4218</v>
      </c>
      <c r="AA291" t="s">
        <v>3826</v>
      </c>
      <c r="AB291" s="3">
        <v>45672</v>
      </c>
      <c r="AC291" t="s">
        <v>6483</v>
      </c>
      <c r="AD291" t="str">
        <f>HYPERLINK("https%3A%2F%2Fwww.webofscience.com%2Fwos%2Fwoscc%2Ffull-record%2FWOS:000453493100020","View Full Record in Web of Science")</f>
        <v>View Full Record in Web of Science</v>
      </c>
    </row>
    <row r="292" spans="1:30" x14ac:dyDescent="0.35">
      <c r="A292">
        <v>291</v>
      </c>
      <c r="B292" t="s">
        <v>3321</v>
      </c>
      <c r="C292" t="s">
        <v>6484</v>
      </c>
      <c r="D292" t="s">
        <v>3321</v>
      </c>
      <c r="E292" t="s">
        <v>2943</v>
      </c>
      <c r="F292" t="s">
        <v>3810</v>
      </c>
      <c r="G292" t="s">
        <v>6485</v>
      </c>
      <c r="H292" t="s">
        <v>6486</v>
      </c>
      <c r="I292" t="s">
        <v>4336</v>
      </c>
      <c r="J292" t="s">
        <v>6487</v>
      </c>
      <c r="K292" t="s">
        <v>6488</v>
      </c>
      <c r="L292">
        <v>24</v>
      </c>
      <c r="M292" t="s">
        <v>5750</v>
      </c>
      <c r="N292" t="s">
        <v>5751</v>
      </c>
      <c r="O292" t="s">
        <v>5752</v>
      </c>
      <c r="P292" t="s">
        <v>5753</v>
      </c>
      <c r="Q292" t="s">
        <v>5754</v>
      </c>
      <c r="R292" t="s">
        <v>5755</v>
      </c>
      <c r="S292" t="s">
        <v>5756</v>
      </c>
      <c r="T292" t="s">
        <v>3958</v>
      </c>
      <c r="U292">
        <v>2016</v>
      </c>
      <c r="V292">
        <v>9</v>
      </c>
      <c r="W292">
        <v>11</v>
      </c>
      <c r="X292" t="s">
        <v>6489</v>
      </c>
      <c r="Y292" t="str">
        <f>HYPERLINK("http://dx.doi.org/10.1109/JSTARS.2016.2574941","http://dx.doi.org/10.1109/JSTARS.2016.2574941")</f>
        <v>http://dx.doi.org/10.1109/JSTARS.2016.2574941</v>
      </c>
      <c r="Z292" t="s">
        <v>5758</v>
      </c>
      <c r="AA292" t="s">
        <v>3826</v>
      </c>
      <c r="AB292" s="3">
        <v>45672</v>
      </c>
      <c r="AC292" t="s">
        <v>6490</v>
      </c>
      <c r="AD292" t="str">
        <f>HYPERLINK("https%3A%2F%2Fwww.webofscience.com%2Fwos%2Fwoscc%2Ffull-record%2FWOS:000388871500017","View Full Record in Web of Science")</f>
        <v>View Full Record in Web of Science</v>
      </c>
    </row>
    <row r="293" spans="1:30" x14ac:dyDescent="0.35">
      <c r="A293">
        <v>292</v>
      </c>
      <c r="B293" t="s">
        <v>3322</v>
      </c>
      <c r="C293" t="s">
        <v>6491</v>
      </c>
      <c r="D293" t="s">
        <v>3322</v>
      </c>
      <c r="E293" t="s">
        <v>2962</v>
      </c>
      <c r="F293" t="s">
        <v>3810</v>
      </c>
      <c r="G293" t="s">
        <v>6492</v>
      </c>
      <c r="H293" t="s">
        <v>6493</v>
      </c>
      <c r="I293" t="s">
        <v>6494</v>
      </c>
      <c r="J293" t="s">
        <v>6495</v>
      </c>
      <c r="K293" t="s">
        <v>6496</v>
      </c>
      <c r="L293">
        <v>24</v>
      </c>
      <c r="M293" t="s">
        <v>3850</v>
      </c>
      <c r="N293" t="s">
        <v>3851</v>
      </c>
      <c r="O293" t="s">
        <v>3852</v>
      </c>
      <c r="P293" t="s">
        <v>6497</v>
      </c>
      <c r="Q293" t="s">
        <v>6498</v>
      </c>
      <c r="R293" t="s">
        <v>6499</v>
      </c>
      <c r="S293" t="s">
        <v>6500</v>
      </c>
      <c r="T293" t="s">
        <v>4154</v>
      </c>
      <c r="U293">
        <v>2016</v>
      </c>
      <c r="V293">
        <v>41</v>
      </c>
      <c r="W293">
        <v>4</v>
      </c>
      <c r="X293" t="s">
        <v>6501</v>
      </c>
      <c r="Y293" t="str">
        <f>HYPERLINK("http://dx.doi.org/10.1002/esp.3873","http://dx.doi.org/10.1002/esp.3873")</f>
        <v>http://dx.doi.org/10.1002/esp.3873</v>
      </c>
      <c r="Z293" t="s">
        <v>4203</v>
      </c>
      <c r="AA293" t="s">
        <v>3826</v>
      </c>
      <c r="AB293" s="3">
        <v>45672</v>
      </c>
      <c r="AC293" t="s">
        <v>6502</v>
      </c>
      <c r="AD293" t="str">
        <f>HYPERLINK("https%3A%2F%2Fwww.webofscience.com%2Fwos%2Fwoscc%2Ffull-record%2FWOS:000373135900010","View Full Record in Web of Science")</f>
        <v>View Full Record in Web of Science</v>
      </c>
    </row>
    <row r="294" spans="1:30" x14ac:dyDescent="0.35">
      <c r="A294">
        <v>293</v>
      </c>
      <c r="B294" t="s">
        <v>3323</v>
      </c>
      <c r="C294" t="s">
        <v>6503</v>
      </c>
      <c r="D294" t="s">
        <v>3323</v>
      </c>
      <c r="E294" t="s">
        <v>2948</v>
      </c>
      <c r="F294" t="s">
        <v>3810</v>
      </c>
      <c r="G294" t="s">
        <v>6504</v>
      </c>
      <c r="H294" t="s">
        <v>6505</v>
      </c>
      <c r="I294" t="s">
        <v>6506</v>
      </c>
      <c r="J294" t="s">
        <v>6507</v>
      </c>
      <c r="K294" t="s">
        <v>6508</v>
      </c>
      <c r="L294">
        <v>3</v>
      </c>
      <c r="M294" t="s">
        <v>4033</v>
      </c>
      <c r="N294" t="s">
        <v>4034</v>
      </c>
      <c r="O294" t="s">
        <v>5063</v>
      </c>
      <c r="P294" t="s">
        <v>5973</v>
      </c>
      <c r="Q294" t="s">
        <v>5974</v>
      </c>
      <c r="R294" t="s">
        <v>5975</v>
      </c>
      <c r="S294" t="s">
        <v>5976</v>
      </c>
      <c r="T294" t="s">
        <v>4137</v>
      </c>
      <c r="U294">
        <v>2022</v>
      </c>
      <c r="V294">
        <v>150</v>
      </c>
      <c r="W294">
        <v>8</v>
      </c>
      <c r="X294" t="s">
        <v>6509</v>
      </c>
      <c r="Y294" t="str">
        <f>HYPERLINK("http://dx.doi.org/10.1175/MWR-D-21-0112.1","http://dx.doi.org/10.1175/MWR-D-21-0112.1")</f>
        <v>http://dx.doi.org/10.1175/MWR-D-21-0112.1</v>
      </c>
      <c r="Z294" t="s">
        <v>3825</v>
      </c>
      <c r="AA294" t="s">
        <v>3826</v>
      </c>
      <c r="AB294" s="3">
        <v>45672</v>
      </c>
      <c r="AC294" t="s">
        <v>6510</v>
      </c>
      <c r="AD294" t="str">
        <f>HYPERLINK("https%3A%2F%2Fwww.webofscience.com%2Fwos%2Fwoscc%2Ffull-record%2FWOS:000862937300005","View Full Record in Web of Science")</f>
        <v>View Full Record in Web of Science</v>
      </c>
    </row>
    <row r="295" spans="1:30" x14ac:dyDescent="0.35">
      <c r="A295">
        <v>294</v>
      </c>
      <c r="B295" t="s">
        <v>3324</v>
      </c>
      <c r="C295" t="s">
        <v>6511</v>
      </c>
      <c r="D295" t="s">
        <v>3324</v>
      </c>
      <c r="E295" t="s">
        <v>2871</v>
      </c>
      <c r="F295" t="s">
        <v>3810</v>
      </c>
      <c r="G295" t="s">
        <v>6512</v>
      </c>
      <c r="H295" t="s">
        <v>6513</v>
      </c>
      <c r="I295" t="s">
        <v>6514</v>
      </c>
      <c r="J295" t="s">
        <v>6515</v>
      </c>
      <c r="K295" t="s">
        <v>6516</v>
      </c>
      <c r="L295">
        <v>91</v>
      </c>
      <c r="M295" t="s">
        <v>3866</v>
      </c>
      <c r="N295" t="s">
        <v>3817</v>
      </c>
      <c r="O295" t="s">
        <v>3867</v>
      </c>
      <c r="P295" t="s">
        <v>3928</v>
      </c>
      <c r="Q295" t="s">
        <v>3929</v>
      </c>
      <c r="R295" t="s">
        <v>3930</v>
      </c>
      <c r="S295" t="s">
        <v>3931</v>
      </c>
      <c r="T295" t="s">
        <v>4114</v>
      </c>
      <c r="U295">
        <v>2016</v>
      </c>
      <c r="V295">
        <v>81</v>
      </c>
      <c r="W295">
        <v>1</v>
      </c>
      <c r="X295" t="s">
        <v>6517</v>
      </c>
      <c r="Y295" t="str">
        <f>HYPERLINK("http://dx.doi.org/10.1007/s11069-015-2098-7","http://dx.doi.org/10.1007/s11069-015-2098-7")</f>
        <v>http://dx.doi.org/10.1007/s11069-015-2098-7</v>
      </c>
      <c r="Z295" t="s">
        <v>3934</v>
      </c>
      <c r="AA295" t="s">
        <v>3826</v>
      </c>
      <c r="AB295" s="3">
        <v>45672</v>
      </c>
      <c r="AC295" t="s">
        <v>6518</v>
      </c>
      <c r="AD295" t="str">
        <f>HYPERLINK("https%3A%2F%2Fwww.webofscience.com%2Fwos%2Fwoscc%2Ffull-record%2FWOS:000370068400029","View Full Record in Web of Science")</f>
        <v>View Full Record in Web of Science</v>
      </c>
    </row>
    <row r="296" spans="1:30" x14ac:dyDescent="0.35">
      <c r="A296">
        <v>295</v>
      </c>
      <c r="B296" t="s">
        <v>3325</v>
      </c>
      <c r="C296" t="s">
        <v>6519</v>
      </c>
      <c r="D296" t="s">
        <v>3325</v>
      </c>
      <c r="E296" t="s">
        <v>2866</v>
      </c>
      <c r="F296" t="s">
        <v>3810</v>
      </c>
      <c r="G296" t="s">
        <v>6520</v>
      </c>
      <c r="H296" t="s">
        <v>6521</v>
      </c>
      <c r="I296" t="s">
        <v>6522</v>
      </c>
      <c r="K296" t="s">
        <v>3808</v>
      </c>
      <c r="L296">
        <v>50</v>
      </c>
      <c r="M296" t="s">
        <v>3850</v>
      </c>
      <c r="N296" t="s">
        <v>3851</v>
      </c>
      <c r="O296" t="s">
        <v>3852</v>
      </c>
      <c r="P296" t="s">
        <v>3853</v>
      </c>
      <c r="Q296" t="s">
        <v>3854</v>
      </c>
      <c r="R296" t="s">
        <v>3855</v>
      </c>
      <c r="S296" t="s">
        <v>3856</v>
      </c>
      <c r="T296" t="s">
        <v>3974</v>
      </c>
      <c r="U296">
        <v>2014</v>
      </c>
      <c r="V296">
        <v>34</v>
      </c>
      <c r="W296">
        <v>7</v>
      </c>
      <c r="X296" t="s">
        <v>6523</v>
      </c>
      <c r="Y296" t="str">
        <f>HYPERLINK("http://dx.doi.org/10.1002/joc.3846","http://dx.doi.org/10.1002/joc.3846")</f>
        <v>http://dx.doi.org/10.1002/joc.3846</v>
      </c>
      <c r="Z296" t="s">
        <v>3825</v>
      </c>
      <c r="AA296" t="s">
        <v>3826</v>
      </c>
      <c r="AB296" s="3">
        <v>45672</v>
      </c>
      <c r="AC296" t="s">
        <v>6524</v>
      </c>
      <c r="AD296" t="str">
        <f>HYPERLINK("https%3A%2F%2Fwww.webofscience.com%2Fwos%2Fwoscc%2Ffull-record%2FWOS:000337558200021","View Full Record in Web of Science")</f>
        <v>View Full Record in Web of Science</v>
      </c>
    </row>
    <row r="297" spans="1:30" x14ac:dyDescent="0.35">
      <c r="A297">
        <v>296</v>
      </c>
      <c r="B297" t="s">
        <v>3326</v>
      </c>
      <c r="C297" t="s">
        <v>5720</v>
      </c>
      <c r="D297" t="s">
        <v>3326</v>
      </c>
      <c r="E297" t="s">
        <v>2872</v>
      </c>
      <c r="F297" t="s">
        <v>3810</v>
      </c>
      <c r="G297" t="s">
        <v>6525</v>
      </c>
      <c r="H297" t="s">
        <v>6526</v>
      </c>
      <c r="I297" t="s">
        <v>5723</v>
      </c>
      <c r="J297" t="s">
        <v>5724</v>
      </c>
      <c r="K297" t="s">
        <v>6527</v>
      </c>
      <c r="L297">
        <v>4</v>
      </c>
      <c r="M297" t="s">
        <v>3951</v>
      </c>
      <c r="N297" t="s">
        <v>3952</v>
      </c>
      <c r="O297" t="s">
        <v>3953</v>
      </c>
      <c r="P297" t="s">
        <v>3954</v>
      </c>
      <c r="Q297" t="s">
        <v>3955</v>
      </c>
      <c r="R297" t="s">
        <v>3956</v>
      </c>
      <c r="S297" t="s">
        <v>3957</v>
      </c>
      <c r="T297" t="s">
        <v>3932</v>
      </c>
      <c r="U297">
        <v>2015</v>
      </c>
      <c r="V297">
        <v>524</v>
      </c>
      <c r="W297" t="s">
        <v>3808</v>
      </c>
      <c r="X297" t="s">
        <v>6528</v>
      </c>
      <c r="Y297" t="str">
        <f>HYPERLINK("http://dx.doi.org/10.1016/j.jhydrol.2015.02.043","http://dx.doi.org/10.1016/j.jhydrol.2015.02.043")</f>
        <v>http://dx.doi.org/10.1016/j.jhydrol.2015.02.043</v>
      </c>
      <c r="Z297" t="s">
        <v>3960</v>
      </c>
      <c r="AA297" t="s">
        <v>3826</v>
      </c>
      <c r="AB297" s="3">
        <v>45672</v>
      </c>
      <c r="AC297" t="s">
        <v>6529</v>
      </c>
      <c r="AD297" t="str">
        <f>HYPERLINK("https%3A%2F%2Fwww.webofscience.com%2Fwos%2Fwoscc%2Ffull-record%2FWOS:000354503300021","View Full Record in Web of Science")</f>
        <v>View Full Record in Web of Science</v>
      </c>
    </row>
    <row r="298" spans="1:30" x14ac:dyDescent="0.35">
      <c r="A298">
        <v>297</v>
      </c>
      <c r="B298" t="s">
        <v>3327</v>
      </c>
      <c r="C298" t="s">
        <v>6530</v>
      </c>
      <c r="D298" t="s">
        <v>3327</v>
      </c>
      <c r="E298" t="s">
        <v>2866</v>
      </c>
      <c r="F298" t="s">
        <v>3810</v>
      </c>
      <c r="G298" t="s">
        <v>6531</v>
      </c>
      <c r="H298" t="s">
        <v>6532</v>
      </c>
      <c r="I298" t="s">
        <v>6533</v>
      </c>
      <c r="J298" t="s">
        <v>6534</v>
      </c>
      <c r="K298" t="s">
        <v>6535</v>
      </c>
      <c r="L298">
        <v>15</v>
      </c>
      <c r="M298" t="s">
        <v>3850</v>
      </c>
      <c r="N298" t="s">
        <v>3851</v>
      </c>
      <c r="O298" t="s">
        <v>3852</v>
      </c>
      <c r="P298" t="s">
        <v>3853</v>
      </c>
      <c r="Q298" t="s">
        <v>3854</v>
      </c>
      <c r="R298" t="s">
        <v>3855</v>
      </c>
      <c r="S298" t="s">
        <v>3856</v>
      </c>
      <c r="T298" t="s">
        <v>4154</v>
      </c>
      <c r="U298">
        <v>2022</v>
      </c>
      <c r="V298">
        <v>42</v>
      </c>
      <c r="W298">
        <v>4</v>
      </c>
      <c r="X298" t="s">
        <v>6536</v>
      </c>
      <c r="Y298" t="str">
        <f>HYPERLINK("http://dx.doi.org/10.1002/joc.7377","http://dx.doi.org/10.1002/joc.7377")</f>
        <v>http://dx.doi.org/10.1002/joc.7377</v>
      </c>
      <c r="Z298" t="s">
        <v>3825</v>
      </c>
      <c r="AA298" t="s">
        <v>3826</v>
      </c>
      <c r="AB298" s="3">
        <v>45672</v>
      </c>
      <c r="AC298" t="s">
        <v>6537</v>
      </c>
      <c r="AD298" t="str">
        <f>HYPERLINK("https%3A%2F%2Fwww.webofscience.com%2Fwos%2Fwoscc%2Ffull-record%2FWOS:000695692800001","View Full Record in Web of Science")</f>
        <v>View Full Record in Web of Science</v>
      </c>
    </row>
    <row r="299" spans="1:30" x14ac:dyDescent="0.35">
      <c r="A299">
        <v>298</v>
      </c>
      <c r="B299" t="s">
        <v>3328</v>
      </c>
      <c r="C299" t="s">
        <v>6538</v>
      </c>
      <c r="D299" t="s">
        <v>3328</v>
      </c>
      <c r="E299" t="s">
        <v>2871</v>
      </c>
      <c r="F299" t="s">
        <v>3810</v>
      </c>
      <c r="G299" t="s">
        <v>6539</v>
      </c>
      <c r="H299" t="s">
        <v>6540</v>
      </c>
      <c r="I299" t="s">
        <v>6541</v>
      </c>
      <c r="J299" t="s">
        <v>6542</v>
      </c>
      <c r="K299" t="s">
        <v>6543</v>
      </c>
      <c r="L299">
        <v>8</v>
      </c>
      <c r="M299" t="s">
        <v>3866</v>
      </c>
      <c r="N299" t="s">
        <v>3817</v>
      </c>
      <c r="O299" t="s">
        <v>3867</v>
      </c>
      <c r="P299" t="s">
        <v>3928</v>
      </c>
      <c r="Q299" t="s">
        <v>3929</v>
      </c>
      <c r="R299" t="s">
        <v>3930</v>
      </c>
      <c r="S299" t="s">
        <v>3931</v>
      </c>
      <c r="T299" t="s">
        <v>3872</v>
      </c>
      <c r="U299">
        <v>2023</v>
      </c>
      <c r="V299">
        <v>118</v>
      </c>
      <c r="W299">
        <v>3</v>
      </c>
      <c r="X299" t="s">
        <v>6544</v>
      </c>
      <c r="Y299" t="str">
        <f>HYPERLINK("http://dx.doi.org/10.1007/s11069-023-06098-4","http://dx.doi.org/10.1007/s11069-023-06098-4")</f>
        <v>http://dx.doi.org/10.1007/s11069-023-06098-4</v>
      </c>
      <c r="Z299" t="s">
        <v>3934</v>
      </c>
      <c r="AA299" t="s">
        <v>3826</v>
      </c>
      <c r="AB299" s="3">
        <v>45672</v>
      </c>
      <c r="AC299" t="s">
        <v>6545</v>
      </c>
      <c r="AD299" t="str">
        <f>HYPERLINK("https%3A%2F%2Fwww.webofscience.com%2Fwos%2Fwoscc%2Ffull-record%2FWOS:001045756300001","View Full Record in Web of Science")</f>
        <v>View Full Record in Web of Science</v>
      </c>
    </row>
    <row r="300" spans="1:30" x14ac:dyDescent="0.35">
      <c r="A300">
        <v>299</v>
      </c>
      <c r="B300" t="s">
        <v>3329</v>
      </c>
      <c r="C300" t="s">
        <v>6546</v>
      </c>
      <c r="D300" t="s">
        <v>3329</v>
      </c>
      <c r="E300" t="s">
        <v>2903</v>
      </c>
      <c r="F300" t="s">
        <v>3810</v>
      </c>
      <c r="G300" t="s">
        <v>6547</v>
      </c>
      <c r="H300" t="s">
        <v>6548</v>
      </c>
      <c r="I300" t="s">
        <v>6549</v>
      </c>
      <c r="K300" t="s">
        <v>3808</v>
      </c>
      <c r="L300">
        <v>15</v>
      </c>
      <c r="M300" t="s">
        <v>4406</v>
      </c>
      <c r="N300" t="s">
        <v>3835</v>
      </c>
      <c r="O300" t="s">
        <v>4407</v>
      </c>
      <c r="P300" t="s">
        <v>4408</v>
      </c>
      <c r="Q300" t="s">
        <v>3808</v>
      </c>
      <c r="R300" t="s">
        <v>4409</v>
      </c>
      <c r="S300" t="s">
        <v>4410</v>
      </c>
      <c r="T300" t="s">
        <v>6550</v>
      </c>
      <c r="U300">
        <v>2018</v>
      </c>
      <c r="V300">
        <v>5</v>
      </c>
      <c r="W300" t="s">
        <v>3808</v>
      </c>
      <c r="X300" t="s">
        <v>6551</v>
      </c>
      <c r="Y300" t="str">
        <f>HYPERLINK("http://dx.doi.org/10.1186/s40645-018-0185-6","http://dx.doi.org/10.1186/s40645-018-0185-6")</f>
        <v>http://dx.doi.org/10.1186/s40645-018-0185-6</v>
      </c>
      <c r="Z300" t="s">
        <v>4116</v>
      </c>
      <c r="AA300" t="s">
        <v>3826</v>
      </c>
      <c r="AB300" s="3">
        <v>45672</v>
      </c>
      <c r="AC300" t="s">
        <v>6552</v>
      </c>
      <c r="AD300" t="str">
        <f>HYPERLINK("https%3A%2F%2Fwww.webofscience.com%2Fwos%2Fwoscc%2Ffull-record%2FWOS:000431944600001","View Full Record in Web of Science")</f>
        <v>View Full Record in Web of Science</v>
      </c>
    </row>
    <row r="301" spans="1:30" x14ac:dyDescent="0.35">
      <c r="A301">
        <v>300</v>
      </c>
      <c r="B301" t="s">
        <v>3330</v>
      </c>
      <c r="C301" t="s">
        <v>6553</v>
      </c>
      <c r="D301" t="s">
        <v>3330</v>
      </c>
      <c r="E301" t="s">
        <v>2875</v>
      </c>
      <c r="F301" t="s">
        <v>3810</v>
      </c>
      <c r="G301" t="s">
        <v>6554</v>
      </c>
      <c r="H301" t="s">
        <v>6555</v>
      </c>
      <c r="I301" t="s">
        <v>6556</v>
      </c>
      <c r="J301" t="s">
        <v>6557</v>
      </c>
      <c r="K301" t="s">
        <v>6558</v>
      </c>
      <c r="L301">
        <v>55</v>
      </c>
      <c r="M301" t="s">
        <v>3968</v>
      </c>
      <c r="N301" t="s">
        <v>3969</v>
      </c>
      <c r="O301" t="s">
        <v>3970</v>
      </c>
      <c r="P301" t="s">
        <v>3971</v>
      </c>
      <c r="Q301" t="s">
        <v>3972</v>
      </c>
      <c r="R301" t="s">
        <v>2875</v>
      </c>
      <c r="S301" t="s">
        <v>3973</v>
      </c>
      <c r="T301" t="s">
        <v>3872</v>
      </c>
      <c r="U301">
        <v>2022</v>
      </c>
      <c r="V301">
        <v>50</v>
      </c>
      <c r="W301">
        <v>9</v>
      </c>
      <c r="X301" t="s">
        <v>6559</v>
      </c>
      <c r="Y301" t="str">
        <f>HYPERLINK("http://dx.doi.org/10.1130/G50183.1","http://dx.doi.org/10.1130/G50183.1")</f>
        <v>http://dx.doi.org/10.1130/G50183.1</v>
      </c>
      <c r="Z301" t="s">
        <v>3973</v>
      </c>
      <c r="AA301" t="s">
        <v>3826</v>
      </c>
      <c r="AB301" s="3">
        <v>45672</v>
      </c>
      <c r="AC301" t="s">
        <v>6560</v>
      </c>
      <c r="AD301" t="str">
        <f>HYPERLINK("https%3A%2F%2Fwww.webofscience.com%2Fwos%2Fwoscc%2Ffull-record%2FWOS:000864681300022","View Full Record in Web of Science")</f>
        <v>View Full Record in Web of Science</v>
      </c>
    </row>
    <row r="302" spans="1:30" x14ac:dyDescent="0.35">
      <c r="A302">
        <v>301</v>
      </c>
      <c r="B302" t="s">
        <v>3331</v>
      </c>
      <c r="C302" t="s">
        <v>6561</v>
      </c>
      <c r="D302" t="s">
        <v>3331</v>
      </c>
      <c r="E302" t="s">
        <v>2951</v>
      </c>
      <c r="F302" t="s">
        <v>3810</v>
      </c>
      <c r="G302" t="s">
        <v>6562</v>
      </c>
      <c r="H302" t="s">
        <v>6563</v>
      </c>
      <c r="I302" t="s">
        <v>6564</v>
      </c>
      <c r="K302" t="s">
        <v>3808</v>
      </c>
      <c r="L302">
        <v>0</v>
      </c>
      <c r="M302" t="s">
        <v>6159</v>
      </c>
      <c r="N302" t="s">
        <v>3952</v>
      </c>
      <c r="O302" t="s">
        <v>6160</v>
      </c>
      <c r="P302" t="s">
        <v>6161</v>
      </c>
      <c r="Q302" t="s">
        <v>6162</v>
      </c>
      <c r="R302" t="s">
        <v>6163</v>
      </c>
      <c r="S302" t="s">
        <v>6164</v>
      </c>
      <c r="T302" t="s">
        <v>3808</v>
      </c>
      <c r="U302">
        <v>2023</v>
      </c>
      <c r="V302">
        <v>9</v>
      </c>
      <c r="W302">
        <v>3</v>
      </c>
      <c r="X302" t="s">
        <v>6565</v>
      </c>
      <c r="Y302" t="str">
        <f>HYPERLINK("http://dx.doi.org/10.3233/JCC230018","http://dx.doi.org/10.3233/JCC230018")</f>
        <v>http://dx.doi.org/10.3233/JCC230018</v>
      </c>
      <c r="Z302" t="s">
        <v>3825</v>
      </c>
      <c r="AA302" t="s">
        <v>4117</v>
      </c>
      <c r="AB302" s="3">
        <v>45672</v>
      </c>
      <c r="AC302" t="s">
        <v>6566</v>
      </c>
      <c r="AD302" t="str">
        <f>HYPERLINK("https%3A%2F%2Fwww.webofscience.com%2Fwos%2Fwoscc%2Ffull-record%2FWOS:001064161100002","View Full Record in Web of Science")</f>
        <v>View Full Record in Web of Science</v>
      </c>
    </row>
    <row r="303" spans="1:30" x14ac:dyDescent="0.35">
      <c r="A303">
        <v>302</v>
      </c>
      <c r="B303" t="s">
        <v>3332</v>
      </c>
      <c r="C303" t="s">
        <v>6567</v>
      </c>
      <c r="D303" t="s">
        <v>3332</v>
      </c>
      <c r="E303" t="s">
        <v>2894</v>
      </c>
      <c r="F303" t="s">
        <v>3810</v>
      </c>
      <c r="G303" t="s">
        <v>6568</v>
      </c>
      <c r="H303" t="s">
        <v>6569</v>
      </c>
      <c r="I303" t="s">
        <v>6570</v>
      </c>
      <c r="J303" t="s">
        <v>6571</v>
      </c>
      <c r="K303" t="s">
        <v>6572</v>
      </c>
      <c r="L303">
        <v>11</v>
      </c>
      <c r="M303" t="s">
        <v>4252</v>
      </c>
      <c r="N303" t="s">
        <v>4355</v>
      </c>
      <c r="O303" t="s">
        <v>4356</v>
      </c>
      <c r="P303" t="s">
        <v>4255</v>
      </c>
      <c r="Q303" t="s">
        <v>4256</v>
      </c>
      <c r="R303" t="s">
        <v>4257</v>
      </c>
      <c r="S303" t="s">
        <v>4258</v>
      </c>
      <c r="T303" t="s">
        <v>4137</v>
      </c>
      <c r="U303">
        <v>2021</v>
      </c>
      <c r="V303">
        <v>145</v>
      </c>
      <c r="W303" t="s">
        <v>4268</v>
      </c>
      <c r="X303" t="s">
        <v>6573</v>
      </c>
      <c r="Y303" t="str">
        <f>HYPERLINK("http://dx.doi.org/10.1007/s00704-021-03685-y","http://dx.doi.org/10.1007/s00704-021-03685-y")</f>
        <v>http://dx.doi.org/10.1007/s00704-021-03685-y</v>
      </c>
      <c r="Z303" t="s">
        <v>3825</v>
      </c>
      <c r="AA303" t="s">
        <v>3826</v>
      </c>
      <c r="AB303" s="3">
        <v>45672</v>
      </c>
      <c r="AC303" t="s">
        <v>6574</v>
      </c>
      <c r="AD303" t="str">
        <f>HYPERLINK("https%3A%2F%2Fwww.webofscience.com%2Fwos%2Fwoscc%2Ffull-record%2FWOS:000659878400002","View Full Record in Web of Science")</f>
        <v>View Full Record in Web of Science</v>
      </c>
    </row>
    <row r="304" spans="1:30" x14ac:dyDescent="0.35">
      <c r="A304">
        <v>303</v>
      </c>
      <c r="B304" t="s">
        <v>3333</v>
      </c>
      <c r="C304" t="s">
        <v>6575</v>
      </c>
      <c r="D304" t="s">
        <v>3333</v>
      </c>
      <c r="E304" t="s">
        <v>2901</v>
      </c>
      <c r="F304" t="s">
        <v>3810</v>
      </c>
      <c r="G304" t="s">
        <v>6576</v>
      </c>
      <c r="H304" t="s">
        <v>6577</v>
      </c>
      <c r="I304" t="s">
        <v>6578</v>
      </c>
      <c r="J304" t="s">
        <v>6579</v>
      </c>
      <c r="K304" t="s">
        <v>6580</v>
      </c>
      <c r="L304">
        <v>0</v>
      </c>
      <c r="M304" t="s">
        <v>4377</v>
      </c>
      <c r="N304" t="s">
        <v>4378</v>
      </c>
      <c r="O304" t="s">
        <v>4379</v>
      </c>
      <c r="P304" t="s">
        <v>4380</v>
      </c>
      <c r="Q304" t="s">
        <v>4381</v>
      </c>
      <c r="R304" t="s">
        <v>4382</v>
      </c>
      <c r="S304" t="s">
        <v>4383</v>
      </c>
      <c r="T304" t="s">
        <v>4137</v>
      </c>
      <c r="U304">
        <v>2021</v>
      </c>
      <c r="V304">
        <v>99</v>
      </c>
      <c r="W304">
        <v>4</v>
      </c>
      <c r="X304" t="s">
        <v>6581</v>
      </c>
      <c r="Y304" t="str">
        <f>HYPERLINK("http://dx.doi.org/10.2151/jmsj.2021-042","http://dx.doi.org/10.2151/jmsj.2021-042")</f>
        <v>http://dx.doi.org/10.2151/jmsj.2021-042</v>
      </c>
      <c r="Z304" t="s">
        <v>3825</v>
      </c>
      <c r="AA304" t="s">
        <v>3826</v>
      </c>
      <c r="AB304" s="3">
        <v>45672</v>
      </c>
      <c r="AC304" t="s">
        <v>6582</v>
      </c>
      <c r="AD304" t="str">
        <f>HYPERLINK("https%3A%2F%2Fwww.webofscience.com%2Fwos%2Fwoscc%2Ffull-record%2FWOS:000686549400002","View Full Record in Web of Science")</f>
        <v>View Full Record in Web of Science</v>
      </c>
    </row>
    <row r="305" spans="1:30" x14ac:dyDescent="0.35">
      <c r="A305">
        <v>304</v>
      </c>
      <c r="B305" t="s">
        <v>3334</v>
      </c>
      <c r="C305" t="s">
        <v>6583</v>
      </c>
      <c r="D305" t="s">
        <v>3334</v>
      </c>
      <c r="E305" t="s">
        <v>2877</v>
      </c>
      <c r="F305" t="s">
        <v>3810</v>
      </c>
      <c r="G305" t="s">
        <v>6584</v>
      </c>
      <c r="H305" t="s">
        <v>6585</v>
      </c>
      <c r="I305" t="s">
        <v>6586</v>
      </c>
      <c r="J305" t="s">
        <v>6587</v>
      </c>
      <c r="K305" t="s">
        <v>6588</v>
      </c>
      <c r="L305">
        <v>178</v>
      </c>
      <c r="M305" t="s">
        <v>4033</v>
      </c>
      <c r="N305" t="s">
        <v>4034</v>
      </c>
      <c r="O305" t="s">
        <v>4035</v>
      </c>
      <c r="P305" t="s">
        <v>4036</v>
      </c>
      <c r="Q305" t="s">
        <v>4037</v>
      </c>
      <c r="R305" t="s">
        <v>4038</v>
      </c>
      <c r="S305" t="s">
        <v>4039</v>
      </c>
      <c r="T305" t="s">
        <v>5045</v>
      </c>
      <c r="U305">
        <v>2014</v>
      </c>
      <c r="V305">
        <v>27</v>
      </c>
      <c r="W305">
        <v>7</v>
      </c>
      <c r="X305" t="s">
        <v>6589</v>
      </c>
      <c r="Y305" t="str">
        <f>HYPERLINK("http://dx.doi.org/10.1175/JCLI-D-13-00015.1","http://dx.doi.org/10.1175/JCLI-D-13-00015.1")</f>
        <v>http://dx.doi.org/10.1175/JCLI-D-13-00015.1</v>
      </c>
      <c r="Z305" t="s">
        <v>3825</v>
      </c>
      <c r="AA305" t="s">
        <v>3826</v>
      </c>
      <c r="AB305" s="3">
        <v>45672</v>
      </c>
      <c r="AC305" t="s">
        <v>6590</v>
      </c>
      <c r="AD305" t="str">
        <f>HYPERLINK("https%3A%2F%2Fwww.webofscience.com%2Fwos%2Fwoscc%2Ffull-record%2FWOS:000333382100014","View Full Record in Web of Science")</f>
        <v>View Full Record in Web of Science</v>
      </c>
    </row>
    <row r="306" spans="1:30" x14ac:dyDescent="0.35">
      <c r="A306">
        <v>305</v>
      </c>
      <c r="B306" t="s">
        <v>3335</v>
      </c>
      <c r="C306" t="s">
        <v>6591</v>
      </c>
      <c r="D306" t="s">
        <v>3335</v>
      </c>
      <c r="E306" t="s">
        <v>2877</v>
      </c>
      <c r="F306" t="s">
        <v>3810</v>
      </c>
      <c r="G306" t="s">
        <v>6592</v>
      </c>
      <c r="H306" t="s">
        <v>6593</v>
      </c>
      <c r="I306" t="s">
        <v>6594</v>
      </c>
      <c r="J306" t="s">
        <v>6595</v>
      </c>
      <c r="K306" t="s">
        <v>6596</v>
      </c>
      <c r="L306">
        <v>38</v>
      </c>
      <c r="M306" t="s">
        <v>4033</v>
      </c>
      <c r="N306" t="s">
        <v>4034</v>
      </c>
      <c r="O306" t="s">
        <v>4035</v>
      </c>
      <c r="P306" t="s">
        <v>4036</v>
      </c>
      <c r="Q306" t="s">
        <v>4037</v>
      </c>
      <c r="R306" t="s">
        <v>4038</v>
      </c>
      <c r="S306" t="s">
        <v>4039</v>
      </c>
      <c r="T306" t="s">
        <v>3932</v>
      </c>
      <c r="U306">
        <v>2015</v>
      </c>
      <c r="V306">
        <v>28</v>
      </c>
      <c r="W306">
        <v>10</v>
      </c>
      <c r="X306" t="s">
        <v>6597</v>
      </c>
      <c r="Y306" t="str">
        <f>HYPERLINK("http://dx.doi.org/10.1175/JCLI-D-14-00331.1","http://dx.doi.org/10.1175/JCLI-D-14-00331.1")</f>
        <v>http://dx.doi.org/10.1175/JCLI-D-14-00331.1</v>
      </c>
      <c r="Z306" t="s">
        <v>3825</v>
      </c>
      <c r="AA306" t="s">
        <v>3826</v>
      </c>
      <c r="AB306" s="3">
        <v>45672</v>
      </c>
      <c r="AC306" t="s">
        <v>6598</v>
      </c>
      <c r="AD306" t="str">
        <f>HYPERLINK("https%3A%2F%2Fwww.webofscience.com%2Fwos%2Fwoscc%2Ffull-record%2FWOS:000354370100016","View Full Record in Web of Science")</f>
        <v>View Full Record in Web of Science</v>
      </c>
    </row>
    <row r="307" spans="1:30" x14ac:dyDescent="0.35">
      <c r="A307">
        <v>306</v>
      </c>
      <c r="B307" t="s">
        <v>3336</v>
      </c>
      <c r="C307" t="s">
        <v>6599</v>
      </c>
      <c r="D307" t="s">
        <v>3336</v>
      </c>
      <c r="E307" t="s">
        <v>2963</v>
      </c>
      <c r="F307" t="s">
        <v>3810</v>
      </c>
      <c r="G307" t="s">
        <v>6600</v>
      </c>
      <c r="H307" t="s">
        <v>6601</v>
      </c>
      <c r="I307" t="s">
        <v>6602</v>
      </c>
      <c r="J307" t="s">
        <v>6603</v>
      </c>
      <c r="K307" t="s">
        <v>6604</v>
      </c>
      <c r="L307">
        <v>65</v>
      </c>
      <c r="M307" t="s">
        <v>3911</v>
      </c>
      <c r="N307" t="s">
        <v>3912</v>
      </c>
      <c r="O307" t="s">
        <v>3913</v>
      </c>
      <c r="P307" t="s">
        <v>3808</v>
      </c>
      <c r="Q307" t="s">
        <v>6605</v>
      </c>
      <c r="R307" t="s">
        <v>6606</v>
      </c>
      <c r="S307" t="s">
        <v>6607</v>
      </c>
      <c r="T307" t="s">
        <v>4137</v>
      </c>
      <c r="U307">
        <v>2019</v>
      </c>
      <c r="V307">
        <v>6</v>
      </c>
      <c r="W307">
        <v>8</v>
      </c>
      <c r="X307" t="s">
        <v>6608</v>
      </c>
      <c r="Y307" t="str">
        <f>HYPERLINK("http://dx.doi.org/10.1029/2018EA000503","http://dx.doi.org/10.1029/2018EA000503")</f>
        <v>http://dx.doi.org/10.1029/2018EA000503</v>
      </c>
      <c r="Z307" t="s">
        <v>6609</v>
      </c>
      <c r="AA307" t="s">
        <v>3826</v>
      </c>
      <c r="AB307" s="3">
        <v>45672</v>
      </c>
      <c r="AC307" t="s">
        <v>6610</v>
      </c>
      <c r="AD307" t="str">
        <f>HYPERLINK("https%3A%2F%2Fwww.webofscience.com%2Fwos%2Fwoscc%2Ffull-record%2FWOS:000490955600001","View Full Record in Web of Science")</f>
        <v>View Full Record in Web of Science</v>
      </c>
    </row>
    <row r="308" spans="1:30" x14ac:dyDescent="0.35">
      <c r="A308">
        <v>307</v>
      </c>
      <c r="B308" t="s">
        <v>3337</v>
      </c>
      <c r="C308" t="s">
        <v>6611</v>
      </c>
      <c r="D308" t="s">
        <v>3337</v>
      </c>
      <c r="E308" t="s">
        <v>2910</v>
      </c>
      <c r="F308" t="s">
        <v>3810</v>
      </c>
      <c r="G308" t="s">
        <v>6612</v>
      </c>
      <c r="H308" t="s">
        <v>6613</v>
      </c>
      <c r="I308" t="s">
        <v>6614</v>
      </c>
      <c r="J308" t="s">
        <v>6615</v>
      </c>
      <c r="K308" t="s">
        <v>6616</v>
      </c>
      <c r="L308">
        <v>1</v>
      </c>
      <c r="M308" t="s">
        <v>4555</v>
      </c>
      <c r="N308" t="s">
        <v>4556</v>
      </c>
      <c r="O308" t="s">
        <v>4557</v>
      </c>
      <c r="P308" t="s">
        <v>3808</v>
      </c>
      <c r="Q308" t="s">
        <v>4558</v>
      </c>
      <c r="R308" t="s">
        <v>4559</v>
      </c>
      <c r="S308" t="s">
        <v>4560</v>
      </c>
      <c r="T308" t="s">
        <v>6617</v>
      </c>
      <c r="U308">
        <v>2022</v>
      </c>
      <c r="V308">
        <v>10</v>
      </c>
      <c r="W308" t="s">
        <v>3808</v>
      </c>
      <c r="X308" t="s">
        <v>6618</v>
      </c>
      <c r="Y308" t="str">
        <f>HYPERLINK("http://dx.doi.org/10.3389/feart.2022.835001","http://dx.doi.org/10.3389/feart.2022.835001")</f>
        <v>http://dx.doi.org/10.3389/feart.2022.835001</v>
      </c>
      <c r="Z308" t="s">
        <v>4116</v>
      </c>
      <c r="AA308" t="s">
        <v>3826</v>
      </c>
      <c r="AB308" s="3">
        <v>45672</v>
      </c>
      <c r="AC308" t="s">
        <v>6619</v>
      </c>
      <c r="AD308" t="str">
        <f>HYPERLINK("https%3A%2F%2Fwww.webofscience.com%2Fwos%2Fwoscc%2Ffull-record%2FWOS:000760666800001","View Full Record in Web of Science")</f>
        <v>View Full Record in Web of Science</v>
      </c>
    </row>
    <row r="309" spans="1:30" x14ac:dyDescent="0.35">
      <c r="A309">
        <v>308</v>
      </c>
      <c r="B309" t="s">
        <v>3338</v>
      </c>
      <c r="C309" t="s">
        <v>6620</v>
      </c>
      <c r="D309" t="s">
        <v>3338</v>
      </c>
      <c r="E309" t="s">
        <v>2877</v>
      </c>
      <c r="F309" t="s">
        <v>3810</v>
      </c>
      <c r="G309" t="s">
        <v>6621</v>
      </c>
      <c r="H309" t="s">
        <v>6622</v>
      </c>
      <c r="I309" t="s">
        <v>6623</v>
      </c>
      <c r="J309" t="s">
        <v>6624</v>
      </c>
      <c r="K309" t="s">
        <v>6625</v>
      </c>
      <c r="L309">
        <v>4</v>
      </c>
      <c r="M309" t="s">
        <v>4033</v>
      </c>
      <c r="N309" t="s">
        <v>4034</v>
      </c>
      <c r="O309" t="s">
        <v>4035</v>
      </c>
      <c r="P309" t="s">
        <v>4036</v>
      </c>
      <c r="Q309" t="s">
        <v>4037</v>
      </c>
      <c r="R309" t="s">
        <v>4038</v>
      </c>
      <c r="S309" t="s">
        <v>4039</v>
      </c>
      <c r="T309" t="s">
        <v>3932</v>
      </c>
      <c r="U309">
        <v>2021</v>
      </c>
      <c r="V309">
        <v>34</v>
      </c>
      <c r="W309">
        <v>9</v>
      </c>
      <c r="X309" t="s">
        <v>6626</v>
      </c>
      <c r="Y309" t="str">
        <f>HYPERLINK("http://dx.doi.org/10.1175/JCLI-D-20-0480.1","http://dx.doi.org/10.1175/JCLI-D-20-0480.1")</f>
        <v>http://dx.doi.org/10.1175/JCLI-D-20-0480.1</v>
      </c>
      <c r="Z309" t="s">
        <v>3825</v>
      </c>
      <c r="AA309" t="s">
        <v>3826</v>
      </c>
      <c r="AB309" s="3">
        <v>45672</v>
      </c>
      <c r="AC309" t="s">
        <v>6627</v>
      </c>
      <c r="AD309" t="str">
        <f>HYPERLINK("https%3A%2F%2Fwww.webofscience.com%2Fwos%2Fwoscc%2Ffull-record%2FWOS:000644149900014","View Full Record in Web of Science")</f>
        <v>View Full Record in Web of Science</v>
      </c>
    </row>
    <row r="310" spans="1:30" x14ac:dyDescent="0.35">
      <c r="A310">
        <v>309</v>
      </c>
      <c r="B310" t="s">
        <v>3339</v>
      </c>
      <c r="C310" t="s">
        <v>6628</v>
      </c>
      <c r="D310" t="s">
        <v>3339</v>
      </c>
      <c r="E310" t="s">
        <v>2862</v>
      </c>
      <c r="F310" t="s">
        <v>3810</v>
      </c>
      <c r="G310" t="s">
        <v>6629</v>
      </c>
      <c r="H310" t="s">
        <v>6630</v>
      </c>
      <c r="I310" t="s">
        <v>6631</v>
      </c>
      <c r="J310" t="s">
        <v>6632</v>
      </c>
      <c r="K310" t="s">
        <v>6633</v>
      </c>
      <c r="L310">
        <v>15</v>
      </c>
      <c r="M310" t="s">
        <v>3816</v>
      </c>
      <c r="N310" t="s">
        <v>3817</v>
      </c>
      <c r="O310" t="s">
        <v>3818</v>
      </c>
      <c r="P310" t="s">
        <v>3819</v>
      </c>
      <c r="Q310" t="s">
        <v>3820</v>
      </c>
      <c r="R310" t="s">
        <v>3821</v>
      </c>
      <c r="S310" t="s">
        <v>3822</v>
      </c>
      <c r="T310" t="s">
        <v>6634</v>
      </c>
      <c r="U310">
        <v>2022</v>
      </c>
      <c r="V310">
        <v>270</v>
      </c>
      <c r="W310" t="s">
        <v>3808</v>
      </c>
      <c r="X310" t="s">
        <v>6635</v>
      </c>
      <c r="Y310" t="str">
        <f>HYPERLINK("http://dx.doi.org/10.1016/j.atmosres.2022.106070","http://dx.doi.org/10.1016/j.atmosres.2022.106070")</f>
        <v>http://dx.doi.org/10.1016/j.atmosres.2022.106070</v>
      </c>
      <c r="Z310" t="s">
        <v>3825</v>
      </c>
      <c r="AA310" t="s">
        <v>3826</v>
      </c>
      <c r="AB310" s="3">
        <v>45672</v>
      </c>
      <c r="AC310" t="s">
        <v>6636</v>
      </c>
      <c r="AD310" t="str">
        <f>HYPERLINK("https%3A%2F%2Fwww.webofscience.com%2Fwos%2Fwoscc%2Ffull-record%2FWOS:000819867600003","View Full Record in Web of Science")</f>
        <v>View Full Record in Web of Science</v>
      </c>
    </row>
    <row r="311" spans="1:30" x14ac:dyDescent="0.35">
      <c r="A311">
        <v>310</v>
      </c>
      <c r="B311" t="s">
        <v>3340</v>
      </c>
      <c r="C311" t="s">
        <v>6637</v>
      </c>
      <c r="D311" t="s">
        <v>3340</v>
      </c>
      <c r="E311" t="s">
        <v>2867</v>
      </c>
      <c r="F311" t="s">
        <v>3810</v>
      </c>
      <c r="G311" t="s">
        <v>6638</v>
      </c>
      <c r="H311" t="s">
        <v>6639</v>
      </c>
      <c r="I311" t="s">
        <v>6640</v>
      </c>
      <c r="J311" t="s">
        <v>6641</v>
      </c>
      <c r="K311" t="s">
        <v>6642</v>
      </c>
      <c r="L311">
        <v>2</v>
      </c>
      <c r="M311" t="s">
        <v>3866</v>
      </c>
      <c r="N311" t="s">
        <v>3817</v>
      </c>
      <c r="O311" t="s">
        <v>3867</v>
      </c>
      <c r="P311" t="s">
        <v>3868</v>
      </c>
      <c r="Q311" t="s">
        <v>3869</v>
      </c>
      <c r="R311" t="s">
        <v>3870</v>
      </c>
      <c r="S311" t="s">
        <v>3871</v>
      </c>
      <c r="T311" t="s">
        <v>3958</v>
      </c>
      <c r="U311">
        <v>2023</v>
      </c>
      <c r="V311">
        <v>61</v>
      </c>
      <c r="W311" t="s">
        <v>5232</v>
      </c>
      <c r="X311" t="s">
        <v>6643</v>
      </c>
      <c r="Y311" t="str">
        <f>HYPERLINK("http://dx.doi.org/10.1007/s00382-023-06826-3","http://dx.doi.org/10.1007/s00382-023-06826-3")</f>
        <v>http://dx.doi.org/10.1007/s00382-023-06826-3</v>
      </c>
      <c r="Z311" t="s">
        <v>3825</v>
      </c>
      <c r="AA311" t="s">
        <v>3826</v>
      </c>
      <c r="AB311" s="3">
        <v>45672</v>
      </c>
      <c r="AC311" t="s">
        <v>6644</v>
      </c>
      <c r="AD311" t="str">
        <f>HYPERLINK("https%3A%2F%2Fwww.webofscience.com%2Fwos%2Fwoscc%2Ffull-record%2FWOS:000992418300001","View Full Record in Web of Science")</f>
        <v>View Full Record in Web of Science</v>
      </c>
    </row>
    <row r="312" spans="1:30" x14ac:dyDescent="0.35">
      <c r="A312">
        <v>311</v>
      </c>
      <c r="B312" t="s">
        <v>3341</v>
      </c>
      <c r="C312" t="s">
        <v>6645</v>
      </c>
      <c r="D312" t="s">
        <v>3341</v>
      </c>
      <c r="E312" t="s">
        <v>2951</v>
      </c>
      <c r="F312" t="s">
        <v>3810</v>
      </c>
      <c r="G312" t="s">
        <v>6646</v>
      </c>
      <c r="H312" t="s">
        <v>6647</v>
      </c>
      <c r="I312" t="s">
        <v>6648</v>
      </c>
      <c r="J312" t="s">
        <v>6649</v>
      </c>
      <c r="K312" t="s">
        <v>6650</v>
      </c>
      <c r="L312">
        <v>1</v>
      </c>
      <c r="M312" t="s">
        <v>6159</v>
      </c>
      <c r="N312" t="s">
        <v>3952</v>
      </c>
      <c r="O312" t="s">
        <v>6160</v>
      </c>
      <c r="P312" t="s">
        <v>6161</v>
      </c>
      <c r="Q312" t="s">
        <v>6162</v>
      </c>
      <c r="R312" t="s">
        <v>6163</v>
      </c>
      <c r="S312" t="s">
        <v>6164</v>
      </c>
      <c r="T312" t="s">
        <v>3808</v>
      </c>
      <c r="U312">
        <v>2022</v>
      </c>
      <c r="V312">
        <v>8</v>
      </c>
      <c r="W312">
        <v>4</v>
      </c>
      <c r="X312" t="s">
        <v>6651</v>
      </c>
      <c r="Y312" t="str">
        <f>HYPERLINK("http://dx.doi.org/10.3233/JCC220027","http://dx.doi.org/10.3233/JCC220027")</f>
        <v>http://dx.doi.org/10.3233/JCC220027</v>
      </c>
      <c r="Z312" t="s">
        <v>3825</v>
      </c>
      <c r="AA312" t="s">
        <v>4117</v>
      </c>
      <c r="AB312" s="3">
        <v>45672</v>
      </c>
      <c r="AC312" t="s">
        <v>6652</v>
      </c>
      <c r="AD312" t="str">
        <f>HYPERLINK("https%3A%2F%2Fwww.webofscience.com%2Fwos%2Fwoscc%2Ffull-record%2FWOS:000893242400005","View Full Record in Web of Science")</f>
        <v>View Full Record in Web of Science</v>
      </c>
    </row>
    <row r="313" spans="1:30" x14ac:dyDescent="0.35">
      <c r="A313">
        <v>312</v>
      </c>
      <c r="B313" t="s">
        <v>3342</v>
      </c>
      <c r="C313" t="s">
        <v>6653</v>
      </c>
      <c r="D313" t="s">
        <v>3342</v>
      </c>
      <c r="E313" t="s">
        <v>2932</v>
      </c>
      <c r="F313" t="s">
        <v>3810</v>
      </c>
      <c r="G313" t="s">
        <v>6654</v>
      </c>
      <c r="H313" t="s">
        <v>6655</v>
      </c>
      <c r="I313" t="s">
        <v>4122</v>
      </c>
      <c r="J313" t="s">
        <v>6656</v>
      </c>
      <c r="K313" t="s">
        <v>6657</v>
      </c>
      <c r="L313">
        <v>2</v>
      </c>
      <c r="M313" t="s">
        <v>4922</v>
      </c>
      <c r="N313" t="s">
        <v>4109</v>
      </c>
      <c r="O313" t="s">
        <v>4923</v>
      </c>
      <c r="P313" t="s">
        <v>5241</v>
      </c>
      <c r="Q313" t="s">
        <v>5242</v>
      </c>
      <c r="R313" t="s">
        <v>5243</v>
      </c>
      <c r="S313" t="s">
        <v>5244</v>
      </c>
      <c r="T313" t="s">
        <v>4016</v>
      </c>
      <c r="U313">
        <v>2023</v>
      </c>
      <c r="V313">
        <v>40</v>
      </c>
      <c r="W313">
        <v>10</v>
      </c>
      <c r="X313" t="s">
        <v>6658</v>
      </c>
      <c r="Y313" t="str">
        <f>HYPERLINK("http://dx.doi.org/10.1007/s00376-023-2318-0","http://dx.doi.org/10.1007/s00376-023-2318-0")</f>
        <v>http://dx.doi.org/10.1007/s00376-023-2318-0</v>
      </c>
      <c r="Z313" t="s">
        <v>3825</v>
      </c>
      <c r="AA313" t="s">
        <v>3826</v>
      </c>
      <c r="AB313" s="3">
        <v>45672</v>
      </c>
      <c r="AC313" t="s">
        <v>6659</v>
      </c>
      <c r="AD313" t="str">
        <f>HYPERLINK("https%3A%2F%2Fwww.webofscience.com%2Fwos%2Fwoscc%2Ffull-record%2FWOS:001009183800002","View Full Record in Web of Science")</f>
        <v>View Full Record in Web of Science</v>
      </c>
    </row>
    <row r="314" spans="1:30" x14ac:dyDescent="0.35">
      <c r="A314">
        <v>313</v>
      </c>
      <c r="B314" t="s">
        <v>3343</v>
      </c>
      <c r="C314" t="s">
        <v>6660</v>
      </c>
      <c r="D314" t="s">
        <v>3343</v>
      </c>
      <c r="E314" t="s">
        <v>2877</v>
      </c>
      <c r="F314" t="s">
        <v>3810</v>
      </c>
      <c r="G314" t="s">
        <v>6661</v>
      </c>
      <c r="H314" t="s">
        <v>6662</v>
      </c>
      <c r="I314" t="s">
        <v>6663</v>
      </c>
      <c r="J314" t="s">
        <v>6664</v>
      </c>
      <c r="K314" t="s">
        <v>6665</v>
      </c>
      <c r="L314">
        <v>98</v>
      </c>
      <c r="M314" t="s">
        <v>4033</v>
      </c>
      <c r="N314" t="s">
        <v>4034</v>
      </c>
      <c r="O314" t="s">
        <v>5063</v>
      </c>
      <c r="P314" t="s">
        <v>4036</v>
      </c>
      <c r="Q314" t="s">
        <v>4037</v>
      </c>
      <c r="R314" t="s">
        <v>4038</v>
      </c>
      <c r="S314" t="s">
        <v>4039</v>
      </c>
      <c r="T314" t="s">
        <v>4636</v>
      </c>
      <c r="U314">
        <v>2015</v>
      </c>
      <c r="V314">
        <v>28</v>
      </c>
      <c r="W314">
        <v>5</v>
      </c>
      <c r="X314" t="s">
        <v>6666</v>
      </c>
      <c r="Y314" t="str">
        <f>HYPERLINK("http://dx.doi.org/10.1175/JCLI-D-14-00531.1","http://dx.doi.org/10.1175/JCLI-D-14-00531.1")</f>
        <v>http://dx.doi.org/10.1175/JCLI-D-14-00531.1</v>
      </c>
      <c r="Z314" t="s">
        <v>3825</v>
      </c>
      <c r="AA314" t="s">
        <v>3826</v>
      </c>
      <c r="AB314" s="3">
        <v>45672</v>
      </c>
      <c r="AC314" t="s">
        <v>6667</v>
      </c>
      <c r="AD314" t="str">
        <f>HYPERLINK("https%3A%2F%2Fwww.webofscience.com%2Fwos%2Fwoscc%2Ffull-record%2FWOS:000350839300010","View Full Record in Web of Science")</f>
        <v>View Full Record in Web of Science</v>
      </c>
    </row>
    <row r="315" spans="1:30" x14ac:dyDescent="0.35">
      <c r="A315">
        <v>314</v>
      </c>
      <c r="B315" t="s">
        <v>3344</v>
      </c>
      <c r="C315" t="s">
        <v>6668</v>
      </c>
      <c r="D315" t="s">
        <v>3344</v>
      </c>
      <c r="E315" t="s">
        <v>2871</v>
      </c>
      <c r="F315" t="s">
        <v>3810</v>
      </c>
      <c r="G315" t="s">
        <v>6669</v>
      </c>
      <c r="H315" t="s">
        <v>6670</v>
      </c>
      <c r="I315" t="s">
        <v>6671</v>
      </c>
      <c r="J315" t="s">
        <v>6672</v>
      </c>
      <c r="K315" t="s">
        <v>6673</v>
      </c>
      <c r="L315">
        <v>2</v>
      </c>
      <c r="M315" t="s">
        <v>3866</v>
      </c>
      <c r="N315" t="s">
        <v>3817</v>
      </c>
      <c r="O315" t="s">
        <v>3867</v>
      </c>
      <c r="P315" t="s">
        <v>3928</v>
      </c>
      <c r="Q315" t="s">
        <v>3929</v>
      </c>
      <c r="R315" t="s">
        <v>3930</v>
      </c>
      <c r="S315" t="s">
        <v>3931</v>
      </c>
      <c r="T315" t="s">
        <v>5045</v>
      </c>
      <c r="U315">
        <v>2022</v>
      </c>
      <c r="V315">
        <v>111</v>
      </c>
      <c r="W315">
        <v>3</v>
      </c>
      <c r="X315" t="s">
        <v>6674</v>
      </c>
      <c r="Y315" t="str">
        <f>HYPERLINK("http://dx.doi.org/10.1007/s11069-021-05133-6","http://dx.doi.org/10.1007/s11069-021-05133-6")</f>
        <v>http://dx.doi.org/10.1007/s11069-021-05133-6</v>
      </c>
      <c r="Z315" t="s">
        <v>3934</v>
      </c>
      <c r="AA315" t="s">
        <v>3826</v>
      </c>
      <c r="AB315" s="3">
        <v>45672</v>
      </c>
      <c r="AC315" t="s">
        <v>6675</v>
      </c>
      <c r="AD315" t="str">
        <f>HYPERLINK("https%3A%2F%2Fwww.webofscience.com%2Fwos%2Fwoscc%2Ffull-record%2FWOS:000741639400001","View Full Record in Web of Science")</f>
        <v>View Full Record in Web of Science</v>
      </c>
    </row>
    <row r="316" spans="1:30" x14ac:dyDescent="0.35">
      <c r="A316">
        <v>315</v>
      </c>
      <c r="B316" t="s">
        <v>3345</v>
      </c>
      <c r="C316" t="s">
        <v>1252</v>
      </c>
      <c r="D316" t="s">
        <v>3345</v>
      </c>
      <c r="E316" t="s">
        <v>2964</v>
      </c>
      <c r="F316" t="s">
        <v>3810</v>
      </c>
      <c r="G316" t="s">
        <v>6676</v>
      </c>
      <c r="H316" t="s">
        <v>6677</v>
      </c>
      <c r="I316" t="s">
        <v>6678</v>
      </c>
      <c r="J316" t="s">
        <v>6679</v>
      </c>
      <c r="K316" t="s">
        <v>6679</v>
      </c>
      <c r="L316">
        <v>4</v>
      </c>
      <c r="M316" t="s">
        <v>6680</v>
      </c>
      <c r="N316" t="s">
        <v>6681</v>
      </c>
      <c r="O316" t="s">
        <v>6682</v>
      </c>
      <c r="P316" t="s">
        <v>6683</v>
      </c>
      <c r="Q316" t="s">
        <v>6684</v>
      </c>
      <c r="R316" t="s">
        <v>6685</v>
      </c>
      <c r="S316" t="s">
        <v>6686</v>
      </c>
      <c r="T316" t="s">
        <v>4163</v>
      </c>
      <c r="U316">
        <v>2023</v>
      </c>
      <c r="V316">
        <v>71</v>
      </c>
      <c r="W316">
        <v>6</v>
      </c>
      <c r="X316" t="s">
        <v>6687</v>
      </c>
      <c r="Y316" t="str">
        <f>HYPERLINK("http://dx.doi.org/10.1007/s11600-023-01165-7","http://dx.doi.org/10.1007/s11600-023-01165-7")</f>
        <v>http://dx.doi.org/10.1007/s11600-023-01165-7</v>
      </c>
      <c r="Z316" t="s">
        <v>3920</v>
      </c>
      <c r="AA316" t="s">
        <v>3826</v>
      </c>
      <c r="AB316" s="3">
        <v>45672</v>
      </c>
      <c r="AC316" t="s">
        <v>6688</v>
      </c>
      <c r="AD316" t="str">
        <f>HYPERLINK("https%3A%2F%2Fwww.webofscience.com%2Fwos%2Fwoscc%2Ffull-record%2FWOS:001063912300001","View Full Record in Web of Science")</f>
        <v>View Full Record in Web of Science</v>
      </c>
    </row>
    <row r="317" spans="1:30" x14ac:dyDescent="0.35">
      <c r="A317">
        <v>316</v>
      </c>
      <c r="B317" t="s">
        <v>3346</v>
      </c>
      <c r="C317" t="s">
        <v>6689</v>
      </c>
      <c r="D317" t="s">
        <v>3346</v>
      </c>
      <c r="E317" t="s">
        <v>2931</v>
      </c>
      <c r="F317" t="s">
        <v>3810</v>
      </c>
      <c r="G317" t="s">
        <v>6690</v>
      </c>
      <c r="H317" t="s">
        <v>6691</v>
      </c>
      <c r="I317" t="s">
        <v>6692</v>
      </c>
      <c r="J317" t="s">
        <v>6693</v>
      </c>
      <c r="K317" t="s">
        <v>6694</v>
      </c>
      <c r="L317">
        <v>1</v>
      </c>
      <c r="M317" t="s">
        <v>4277</v>
      </c>
      <c r="N317" t="s">
        <v>4278</v>
      </c>
      <c r="O317" t="s">
        <v>4279</v>
      </c>
      <c r="P317" t="s">
        <v>3808</v>
      </c>
      <c r="Q317" t="s">
        <v>5212</v>
      </c>
      <c r="R317" t="s">
        <v>5213</v>
      </c>
      <c r="S317" t="s">
        <v>5214</v>
      </c>
      <c r="T317" t="s">
        <v>4016</v>
      </c>
      <c r="U317">
        <v>2022</v>
      </c>
      <c r="V317">
        <v>11</v>
      </c>
      <c r="W317">
        <v>10</v>
      </c>
      <c r="X317" t="s">
        <v>6695</v>
      </c>
      <c r="Y317" t="str">
        <f>HYPERLINK("http://dx.doi.org/10.3390/ijgi11100510","http://dx.doi.org/10.3390/ijgi11100510")</f>
        <v>http://dx.doi.org/10.3390/ijgi11100510</v>
      </c>
      <c r="Z317" t="s">
        <v>5216</v>
      </c>
      <c r="AA317" t="s">
        <v>3826</v>
      </c>
      <c r="AB317" s="3">
        <v>45672</v>
      </c>
      <c r="AC317" t="s">
        <v>6696</v>
      </c>
      <c r="AD317" t="str">
        <f>HYPERLINK("https%3A%2F%2Fwww.webofscience.com%2Fwos%2Fwoscc%2Ffull-record%2FWOS:000873092400001","View Full Record in Web of Science")</f>
        <v>View Full Record in Web of Science</v>
      </c>
    </row>
    <row r="318" spans="1:30" x14ac:dyDescent="0.35">
      <c r="A318">
        <v>317</v>
      </c>
      <c r="B318" t="s">
        <v>3347</v>
      </c>
      <c r="C318" t="s">
        <v>1256</v>
      </c>
      <c r="D318" t="s">
        <v>3347</v>
      </c>
      <c r="E318" t="s">
        <v>2910</v>
      </c>
      <c r="F318" t="s">
        <v>3810</v>
      </c>
      <c r="G318" t="s">
        <v>6697</v>
      </c>
      <c r="H318" t="s">
        <v>6698</v>
      </c>
      <c r="I318" t="s">
        <v>3808</v>
      </c>
      <c r="J318" t="s">
        <v>4544</v>
      </c>
      <c r="K318" t="s">
        <v>6699</v>
      </c>
      <c r="L318">
        <v>1</v>
      </c>
      <c r="M318" t="s">
        <v>4555</v>
      </c>
      <c r="N318" t="s">
        <v>4556</v>
      </c>
      <c r="O318" t="s">
        <v>4557</v>
      </c>
      <c r="P318" t="s">
        <v>3808</v>
      </c>
      <c r="Q318" t="s">
        <v>4558</v>
      </c>
      <c r="R318" t="s">
        <v>4559</v>
      </c>
      <c r="S318" t="s">
        <v>4560</v>
      </c>
      <c r="T318" t="s">
        <v>6700</v>
      </c>
      <c r="U318">
        <v>2021</v>
      </c>
      <c r="V318">
        <v>8</v>
      </c>
      <c r="W318" t="s">
        <v>3808</v>
      </c>
      <c r="X318" t="s">
        <v>6701</v>
      </c>
      <c r="Y318" t="str">
        <f>HYPERLINK("http://dx.doi.org/10.3389/feart.2020.601666","http://dx.doi.org/10.3389/feart.2020.601666")</f>
        <v>http://dx.doi.org/10.3389/feart.2020.601666</v>
      </c>
      <c r="Z318" t="s">
        <v>4116</v>
      </c>
      <c r="AA318" t="s">
        <v>3826</v>
      </c>
      <c r="AB318" s="3">
        <v>45672</v>
      </c>
      <c r="AC318" t="s">
        <v>6702</v>
      </c>
      <c r="AD318" t="str">
        <f>HYPERLINK("https%3A%2F%2Fwww.webofscience.com%2Fwos%2Fwoscc%2Ffull-record%2FWOS:000618221900001","View Full Record in Web of Science")</f>
        <v>View Full Record in Web of Science</v>
      </c>
    </row>
    <row r="319" spans="1:30" x14ac:dyDescent="0.35">
      <c r="A319">
        <v>318</v>
      </c>
      <c r="B319" t="s">
        <v>3348</v>
      </c>
      <c r="C319" t="s">
        <v>6703</v>
      </c>
      <c r="D319" t="s">
        <v>3348</v>
      </c>
      <c r="E319" t="s">
        <v>2876</v>
      </c>
      <c r="F319" t="s">
        <v>3810</v>
      </c>
      <c r="G319" t="s">
        <v>6704</v>
      </c>
      <c r="H319" t="s">
        <v>6705</v>
      </c>
      <c r="I319" t="s">
        <v>6706</v>
      </c>
      <c r="J319" t="s">
        <v>6707</v>
      </c>
      <c r="K319" t="s">
        <v>6708</v>
      </c>
      <c r="L319">
        <v>40</v>
      </c>
      <c r="M319" t="s">
        <v>3951</v>
      </c>
      <c r="N319" t="s">
        <v>3952</v>
      </c>
      <c r="O319" t="s">
        <v>3953</v>
      </c>
      <c r="P319" t="s">
        <v>3981</v>
      </c>
      <c r="Q319" t="s">
        <v>3808</v>
      </c>
      <c r="R319" t="s">
        <v>3982</v>
      </c>
      <c r="S319" t="s">
        <v>3983</v>
      </c>
      <c r="T319" t="s">
        <v>3872</v>
      </c>
      <c r="U319">
        <v>2018</v>
      </c>
      <c r="V319">
        <v>21</v>
      </c>
      <c r="W319" t="s">
        <v>3808</v>
      </c>
      <c r="X319" t="s">
        <v>6709</v>
      </c>
      <c r="Y319" t="str">
        <f>HYPERLINK("http://dx.doi.org/10.1016/j.wace.2018.08.002","http://dx.doi.org/10.1016/j.wace.2018.08.002")</f>
        <v>http://dx.doi.org/10.1016/j.wace.2018.08.002</v>
      </c>
      <c r="Z319" t="s">
        <v>3825</v>
      </c>
      <c r="AA319" t="s">
        <v>3826</v>
      </c>
      <c r="AB319" s="3">
        <v>45672</v>
      </c>
      <c r="AC319" t="s">
        <v>6710</v>
      </c>
      <c r="AD319" t="str">
        <f>HYPERLINK("https%3A%2F%2Fwww.webofscience.com%2Fwos%2Fwoscc%2Ffull-record%2FWOS:000444526600013","View Full Record in Web of Science")</f>
        <v>View Full Record in Web of Science</v>
      </c>
    </row>
    <row r="320" spans="1:30" x14ac:dyDescent="0.35">
      <c r="A320">
        <v>319</v>
      </c>
      <c r="B320" t="s">
        <v>3349</v>
      </c>
      <c r="C320" t="s">
        <v>6711</v>
      </c>
      <c r="D320" t="s">
        <v>3349</v>
      </c>
      <c r="E320" t="s">
        <v>2872</v>
      </c>
      <c r="F320" t="s">
        <v>3810</v>
      </c>
      <c r="G320" t="s">
        <v>6712</v>
      </c>
      <c r="H320" t="s">
        <v>6713</v>
      </c>
      <c r="I320" t="s">
        <v>4530</v>
      </c>
      <c r="J320" t="s">
        <v>3808</v>
      </c>
      <c r="K320" t="s">
        <v>3808</v>
      </c>
      <c r="L320">
        <v>47</v>
      </c>
      <c r="M320" t="s">
        <v>4211</v>
      </c>
      <c r="N320" t="s">
        <v>3952</v>
      </c>
      <c r="O320" t="s">
        <v>4212</v>
      </c>
      <c r="P320" t="s">
        <v>3954</v>
      </c>
      <c r="Q320" t="s">
        <v>3955</v>
      </c>
      <c r="R320" t="s">
        <v>3956</v>
      </c>
      <c r="S320" t="s">
        <v>3957</v>
      </c>
      <c r="T320" t="s">
        <v>3918</v>
      </c>
      <c r="U320">
        <v>2015</v>
      </c>
      <c r="V320">
        <v>526</v>
      </c>
      <c r="W320" t="s">
        <v>3808</v>
      </c>
      <c r="X320" t="s">
        <v>6714</v>
      </c>
      <c r="Y320" t="str">
        <f>HYPERLINK("http://dx.doi.org/10.1016/j.jhydrol.2014.11.006","http://dx.doi.org/10.1016/j.jhydrol.2014.11.006")</f>
        <v>http://dx.doi.org/10.1016/j.jhydrol.2014.11.006</v>
      </c>
      <c r="Z320" t="s">
        <v>3960</v>
      </c>
      <c r="AA320" t="s">
        <v>3826</v>
      </c>
      <c r="AB320" s="3">
        <v>45672</v>
      </c>
      <c r="AC320" t="s">
        <v>6715</v>
      </c>
      <c r="AD320" t="str">
        <f>HYPERLINK("https%3A%2F%2Fwww.webofscience.com%2Fwos%2Fwoscc%2Ffull-record%2FWOS:000355894700022","View Full Record in Web of Science")</f>
        <v>View Full Record in Web of Science</v>
      </c>
    </row>
    <row r="321" spans="1:30" x14ac:dyDescent="0.35">
      <c r="A321">
        <v>320</v>
      </c>
      <c r="B321" t="s">
        <v>3350</v>
      </c>
      <c r="C321" t="s">
        <v>6716</v>
      </c>
      <c r="D321" t="s">
        <v>3350</v>
      </c>
      <c r="E321" t="s">
        <v>2871</v>
      </c>
      <c r="F321" t="s">
        <v>3810</v>
      </c>
      <c r="G321" t="s">
        <v>6717</v>
      </c>
      <c r="H321" t="s">
        <v>6718</v>
      </c>
      <c r="I321" t="s">
        <v>6719</v>
      </c>
      <c r="J321" t="s">
        <v>3808</v>
      </c>
      <c r="K321" t="s">
        <v>3808</v>
      </c>
      <c r="L321">
        <v>9</v>
      </c>
      <c r="M321" t="s">
        <v>3866</v>
      </c>
      <c r="N321" t="s">
        <v>3817</v>
      </c>
      <c r="O321" t="s">
        <v>3867</v>
      </c>
      <c r="P321" t="s">
        <v>3928</v>
      </c>
      <c r="Q321" t="s">
        <v>3929</v>
      </c>
      <c r="R321" t="s">
        <v>3930</v>
      </c>
      <c r="S321" t="s">
        <v>3931</v>
      </c>
      <c r="T321" t="s">
        <v>3872</v>
      </c>
      <c r="U321">
        <v>2021</v>
      </c>
      <c r="V321">
        <v>108</v>
      </c>
      <c r="W321">
        <v>3</v>
      </c>
      <c r="X321" t="s">
        <v>6720</v>
      </c>
      <c r="Y321" t="str">
        <f>HYPERLINK("http://dx.doi.org/10.1007/s11069-021-04804-8","http://dx.doi.org/10.1007/s11069-021-04804-8")</f>
        <v>http://dx.doi.org/10.1007/s11069-021-04804-8</v>
      </c>
      <c r="Z321" t="s">
        <v>3934</v>
      </c>
      <c r="AA321" t="s">
        <v>3826</v>
      </c>
      <c r="AB321" s="3">
        <v>45672</v>
      </c>
      <c r="AC321" t="s">
        <v>6721</v>
      </c>
      <c r="AD321" t="str">
        <f>HYPERLINK("https%3A%2F%2Fwww.webofscience.com%2Fwos%2Fwoscc%2Ffull-record%2FWOS:000655745600001","View Full Record in Web of Science")</f>
        <v>View Full Record in Web of Science</v>
      </c>
    </row>
    <row r="322" spans="1:30" x14ac:dyDescent="0.35">
      <c r="A322">
        <v>321</v>
      </c>
      <c r="B322" t="s">
        <v>3351</v>
      </c>
      <c r="C322" t="s">
        <v>6722</v>
      </c>
      <c r="D322" t="s">
        <v>3351</v>
      </c>
      <c r="E322" t="s">
        <v>2965</v>
      </c>
      <c r="F322" t="s">
        <v>3810</v>
      </c>
      <c r="G322" t="s">
        <v>6723</v>
      </c>
      <c r="H322" t="s">
        <v>6724</v>
      </c>
      <c r="I322" t="s">
        <v>6725</v>
      </c>
      <c r="K322" t="s">
        <v>3808</v>
      </c>
      <c r="L322">
        <v>6</v>
      </c>
      <c r="M322" t="s">
        <v>6726</v>
      </c>
      <c r="N322" t="s">
        <v>6727</v>
      </c>
      <c r="O322" t="s">
        <v>6728</v>
      </c>
      <c r="P322" t="s">
        <v>6729</v>
      </c>
      <c r="Q322" t="s">
        <v>3808</v>
      </c>
      <c r="R322" t="s">
        <v>6730</v>
      </c>
      <c r="S322" t="s">
        <v>6731</v>
      </c>
      <c r="T322" t="s">
        <v>6732</v>
      </c>
      <c r="U322">
        <v>2020</v>
      </c>
      <c r="V322">
        <v>20</v>
      </c>
      <c r="W322">
        <v>2</v>
      </c>
      <c r="X322" t="s">
        <v>6733</v>
      </c>
      <c r="Y322" t="str">
        <f>HYPERLINK("http://dx.doi.org/10.2205/2020ES000686","http://dx.doi.org/10.2205/2020ES000686")</f>
        <v>http://dx.doi.org/10.2205/2020ES000686</v>
      </c>
      <c r="Z322" t="s">
        <v>4116</v>
      </c>
      <c r="AA322" t="s">
        <v>4117</v>
      </c>
      <c r="AB322" s="3">
        <v>45672</v>
      </c>
      <c r="AC322" t="s">
        <v>6734</v>
      </c>
      <c r="AD322" t="str">
        <f>HYPERLINK("https%3A%2F%2Fwww.webofscience.com%2Fwos%2Fwoscc%2Ffull-record%2FWOS:000531044400001","View Full Record in Web of Science")</f>
        <v>View Full Record in Web of Science</v>
      </c>
    </row>
    <row r="323" spans="1:30" x14ac:dyDescent="0.35">
      <c r="A323">
        <v>322</v>
      </c>
      <c r="B323" t="s">
        <v>3352</v>
      </c>
      <c r="C323" t="s">
        <v>6735</v>
      </c>
      <c r="D323" t="s">
        <v>3352</v>
      </c>
      <c r="E323" t="s">
        <v>2910</v>
      </c>
      <c r="F323" t="s">
        <v>3810</v>
      </c>
      <c r="G323" t="s">
        <v>6736</v>
      </c>
      <c r="H323" t="s">
        <v>6737</v>
      </c>
      <c r="I323" t="s">
        <v>6738</v>
      </c>
      <c r="J323" t="s">
        <v>6739</v>
      </c>
      <c r="K323" t="s">
        <v>6740</v>
      </c>
      <c r="L323">
        <v>17</v>
      </c>
      <c r="M323" t="s">
        <v>4555</v>
      </c>
      <c r="N323" t="s">
        <v>4556</v>
      </c>
      <c r="O323" t="s">
        <v>4557</v>
      </c>
      <c r="P323" t="s">
        <v>3808</v>
      </c>
      <c r="Q323" t="s">
        <v>4558</v>
      </c>
      <c r="R323" t="s">
        <v>4559</v>
      </c>
      <c r="S323" t="s">
        <v>4560</v>
      </c>
      <c r="T323" t="s">
        <v>6741</v>
      </c>
      <c r="U323">
        <v>2021</v>
      </c>
      <c r="V323">
        <v>9</v>
      </c>
      <c r="W323" t="s">
        <v>3808</v>
      </c>
      <c r="X323" t="s">
        <v>6742</v>
      </c>
      <c r="Y323" t="str">
        <f>HYPERLINK("http://dx.doi.org/10.3389/feart.2021.644527","http://dx.doi.org/10.3389/feart.2021.644527")</f>
        <v>http://dx.doi.org/10.3389/feart.2021.644527</v>
      </c>
      <c r="Z323" t="s">
        <v>4116</v>
      </c>
      <c r="AA323" t="s">
        <v>3826</v>
      </c>
      <c r="AB323" s="3">
        <v>45672</v>
      </c>
      <c r="AC323" t="s">
        <v>6743</v>
      </c>
      <c r="AD323" t="str">
        <f>HYPERLINK("https%3A%2F%2Fwww.webofscience.com%2Fwos%2Fwoscc%2Ffull-record%2FWOS:000637095200001","View Full Record in Web of Science")</f>
        <v>View Full Record in Web of Science</v>
      </c>
    </row>
    <row r="324" spans="1:30" x14ac:dyDescent="0.35">
      <c r="A324">
        <v>323</v>
      </c>
      <c r="B324" t="s">
        <v>3353</v>
      </c>
      <c r="C324" t="s">
        <v>6744</v>
      </c>
      <c r="D324" t="s">
        <v>3353</v>
      </c>
      <c r="E324" t="s">
        <v>2910</v>
      </c>
      <c r="F324" t="s">
        <v>3810</v>
      </c>
      <c r="G324" t="s">
        <v>6745</v>
      </c>
      <c r="H324" t="s">
        <v>6746</v>
      </c>
      <c r="I324" t="s">
        <v>4438</v>
      </c>
      <c r="J324" t="s">
        <v>6747</v>
      </c>
      <c r="K324" t="s">
        <v>6748</v>
      </c>
      <c r="L324">
        <v>4</v>
      </c>
      <c r="M324" t="s">
        <v>4555</v>
      </c>
      <c r="N324" t="s">
        <v>4556</v>
      </c>
      <c r="O324" t="s">
        <v>4557</v>
      </c>
      <c r="P324" t="s">
        <v>3808</v>
      </c>
      <c r="Q324" t="s">
        <v>4558</v>
      </c>
      <c r="R324" t="s">
        <v>4559</v>
      </c>
      <c r="S324" t="s">
        <v>4560</v>
      </c>
      <c r="T324" t="s">
        <v>6749</v>
      </c>
      <c r="U324">
        <v>2021</v>
      </c>
      <c r="V324">
        <v>9</v>
      </c>
      <c r="W324" t="s">
        <v>3808</v>
      </c>
      <c r="X324" t="s">
        <v>6750</v>
      </c>
      <c r="Y324" t="str">
        <f>HYPERLINK("http://dx.doi.org/10.3389/feart.2021.616246","http://dx.doi.org/10.3389/feart.2021.616246")</f>
        <v>http://dx.doi.org/10.3389/feart.2021.616246</v>
      </c>
      <c r="Z324" t="s">
        <v>4116</v>
      </c>
      <c r="AA324" t="s">
        <v>3826</v>
      </c>
      <c r="AB324" s="3">
        <v>45672</v>
      </c>
      <c r="AC324" t="s">
        <v>6751</v>
      </c>
      <c r="AD324" t="str">
        <f>HYPERLINK("https%3A%2F%2Fwww.webofscience.com%2Fwos%2Fwoscc%2Ffull-record%2FWOS:000627356000001","View Full Record in Web of Science")</f>
        <v>View Full Record in Web of Science</v>
      </c>
    </row>
    <row r="325" spans="1:30" x14ac:dyDescent="0.35">
      <c r="A325">
        <v>324</v>
      </c>
      <c r="B325" t="s">
        <v>3354</v>
      </c>
      <c r="C325" t="s">
        <v>6752</v>
      </c>
      <c r="D325" t="s">
        <v>3354</v>
      </c>
      <c r="E325" t="s">
        <v>2912</v>
      </c>
      <c r="F325" t="s">
        <v>3810</v>
      </c>
      <c r="G325" t="s">
        <v>6753</v>
      </c>
      <c r="H325" t="s">
        <v>6754</v>
      </c>
      <c r="I325" t="s">
        <v>6755</v>
      </c>
      <c r="J325" t="s">
        <v>6756</v>
      </c>
      <c r="K325" t="s">
        <v>6757</v>
      </c>
      <c r="L325">
        <v>50</v>
      </c>
      <c r="M325" t="s">
        <v>4033</v>
      </c>
      <c r="N325" t="s">
        <v>4034</v>
      </c>
      <c r="O325" t="s">
        <v>4035</v>
      </c>
      <c r="P325" t="s">
        <v>4665</v>
      </c>
      <c r="Q325" t="s">
        <v>4666</v>
      </c>
      <c r="R325" t="s">
        <v>4667</v>
      </c>
      <c r="S325" t="s">
        <v>4668</v>
      </c>
      <c r="T325" t="s">
        <v>3932</v>
      </c>
      <c r="U325">
        <v>2017</v>
      </c>
      <c r="V325">
        <v>56</v>
      </c>
      <c r="W325">
        <v>5</v>
      </c>
      <c r="X325" t="s">
        <v>6758</v>
      </c>
      <c r="Y325" t="str">
        <f>HYPERLINK("http://dx.doi.org/10.1175/JAMC-D-16-0262.1","http://dx.doi.org/10.1175/JAMC-D-16-0262.1")</f>
        <v>http://dx.doi.org/10.1175/JAMC-D-16-0262.1</v>
      </c>
      <c r="Z325" t="s">
        <v>3825</v>
      </c>
      <c r="AA325" t="s">
        <v>3826</v>
      </c>
      <c r="AB325" s="3">
        <v>45672</v>
      </c>
      <c r="AC325" t="s">
        <v>6759</v>
      </c>
      <c r="AD325" t="str">
        <f>HYPERLINK("https%3A%2F%2Fwww.webofscience.com%2Fwos%2Fwoscc%2Ffull-record%2FWOS:000403092400001","View Full Record in Web of Science")</f>
        <v>View Full Record in Web of Science</v>
      </c>
    </row>
    <row r="326" spans="1:30" x14ac:dyDescent="0.35">
      <c r="A326">
        <v>325</v>
      </c>
      <c r="B326" t="s">
        <v>3355</v>
      </c>
      <c r="C326" t="s">
        <v>6760</v>
      </c>
      <c r="D326" t="s">
        <v>3355</v>
      </c>
      <c r="E326" t="s">
        <v>2967</v>
      </c>
      <c r="F326" t="s">
        <v>3810</v>
      </c>
      <c r="G326" t="s">
        <v>6761</v>
      </c>
      <c r="H326" t="s">
        <v>6762</v>
      </c>
      <c r="I326" t="s">
        <v>6763</v>
      </c>
      <c r="J326" t="s">
        <v>6764</v>
      </c>
      <c r="K326" t="s">
        <v>6765</v>
      </c>
      <c r="L326">
        <v>2</v>
      </c>
      <c r="M326" t="s">
        <v>3951</v>
      </c>
      <c r="N326" t="s">
        <v>3952</v>
      </c>
      <c r="O326" t="s">
        <v>3953</v>
      </c>
      <c r="P326" t="s">
        <v>6766</v>
      </c>
      <c r="Q326" t="s">
        <v>6767</v>
      </c>
      <c r="R326" t="s">
        <v>6768</v>
      </c>
      <c r="S326" t="s">
        <v>6769</v>
      </c>
      <c r="T326" t="s">
        <v>6770</v>
      </c>
      <c r="U326">
        <v>2021</v>
      </c>
      <c r="V326">
        <v>571</v>
      </c>
      <c r="W326" t="s">
        <v>3808</v>
      </c>
      <c r="X326" t="s">
        <v>6771</v>
      </c>
      <c r="Y326" t="str">
        <f>HYPERLINK("http://dx.doi.org/10.1016/j.chemgeo.2021.120179","http://dx.doi.org/10.1016/j.chemgeo.2021.120179")</f>
        <v>http://dx.doi.org/10.1016/j.chemgeo.2021.120179</v>
      </c>
      <c r="Z326" t="s">
        <v>3920</v>
      </c>
      <c r="AA326" t="s">
        <v>3826</v>
      </c>
      <c r="AB326" s="3">
        <v>45672</v>
      </c>
      <c r="AC326" t="s">
        <v>6772</v>
      </c>
      <c r="AD326" t="str">
        <f>HYPERLINK("https%3A%2F%2Fwww.webofscience.com%2Fwos%2Fwoscc%2Ffull-record%2FWOS:000641459400001","View Full Record in Web of Science")</f>
        <v>View Full Record in Web of Science</v>
      </c>
    </row>
    <row r="327" spans="1:30" x14ac:dyDescent="0.35">
      <c r="A327">
        <v>326</v>
      </c>
      <c r="B327" t="s">
        <v>3356</v>
      </c>
      <c r="C327" t="s">
        <v>6773</v>
      </c>
      <c r="D327" t="s">
        <v>3356</v>
      </c>
      <c r="E327" t="s">
        <v>2894</v>
      </c>
      <c r="F327" t="s">
        <v>3810</v>
      </c>
      <c r="G327" t="s">
        <v>6774</v>
      </c>
      <c r="H327" t="s">
        <v>6775</v>
      </c>
      <c r="I327" t="s">
        <v>6776</v>
      </c>
      <c r="J327" t="s">
        <v>6777</v>
      </c>
      <c r="K327" t="s">
        <v>6778</v>
      </c>
      <c r="L327">
        <v>27</v>
      </c>
      <c r="M327" t="s">
        <v>4252</v>
      </c>
      <c r="N327" t="s">
        <v>4253</v>
      </c>
      <c r="O327" t="s">
        <v>4254</v>
      </c>
      <c r="P327" t="s">
        <v>4255</v>
      </c>
      <c r="Q327" t="s">
        <v>4256</v>
      </c>
      <c r="R327" t="s">
        <v>4257</v>
      </c>
      <c r="S327" t="s">
        <v>4258</v>
      </c>
      <c r="T327" t="s">
        <v>4137</v>
      </c>
      <c r="U327">
        <v>2016</v>
      </c>
      <c r="V327">
        <v>125</v>
      </c>
      <c r="W327" t="s">
        <v>4268</v>
      </c>
      <c r="X327" t="s">
        <v>6779</v>
      </c>
      <c r="Y327" t="str">
        <f>HYPERLINK("http://dx.doi.org/10.1007/s00704-015-1525-8","http://dx.doi.org/10.1007/s00704-015-1525-8")</f>
        <v>http://dx.doi.org/10.1007/s00704-015-1525-8</v>
      </c>
      <c r="Z327" t="s">
        <v>3825</v>
      </c>
      <c r="AA327" t="s">
        <v>3826</v>
      </c>
      <c r="AB327" s="3">
        <v>45672</v>
      </c>
      <c r="AC327" t="s">
        <v>6780</v>
      </c>
      <c r="AD327" t="str">
        <f>HYPERLINK("https%3A%2F%2Fwww.webofscience.com%2Fwos%2Fwoscc%2Ffull-record%2FWOS:000380703300019","View Full Record in Web of Science")</f>
        <v>View Full Record in Web of Science</v>
      </c>
    </row>
    <row r="328" spans="1:30" x14ac:dyDescent="0.35">
      <c r="A328">
        <v>327</v>
      </c>
      <c r="B328" t="s">
        <v>3357</v>
      </c>
      <c r="C328" t="s">
        <v>6781</v>
      </c>
      <c r="D328" t="s">
        <v>3357</v>
      </c>
      <c r="E328" t="s">
        <v>2968</v>
      </c>
      <c r="F328" t="s">
        <v>3810</v>
      </c>
      <c r="G328" t="s">
        <v>6782</v>
      </c>
      <c r="H328" t="s">
        <v>6783</v>
      </c>
      <c r="I328" t="s">
        <v>6784</v>
      </c>
      <c r="J328" t="s">
        <v>6785</v>
      </c>
      <c r="K328" t="s">
        <v>6786</v>
      </c>
      <c r="L328">
        <v>2</v>
      </c>
      <c r="M328" t="s">
        <v>6787</v>
      </c>
      <c r="N328" t="s">
        <v>3817</v>
      </c>
      <c r="O328" t="s">
        <v>6788</v>
      </c>
      <c r="P328" t="s">
        <v>6789</v>
      </c>
      <c r="Q328" t="s">
        <v>6790</v>
      </c>
      <c r="R328" t="s">
        <v>6791</v>
      </c>
      <c r="S328" t="s">
        <v>6792</v>
      </c>
      <c r="T328" t="s">
        <v>3932</v>
      </c>
      <c r="U328">
        <v>2020</v>
      </c>
      <c r="V328">
        <v>95</v>
      </c>
      <c r="W328" t="s">
        <v>3808</v>
      </c>
      <c r="X328" t="s">
        <v>6793</v>
      </c>
      <c r="Y328" t="str">
        <f>HYPERLINK("http://dx.doi.org/10.1017/qua.2020.13","http://dx.doi.org/10.1017/qua.2020.13")</f>
        <v>http://dx.doi.org/10.1017/qua.2020.13</v>
      </c>
      <c r="Z328" t="s">
        <v>4203</v>
      </c>
      <c r="AA328" t="s">
        <v>3826</v>
      </c>
      <c r="AB328" s="3">
        <v>45672</v>
      </c>
      <c r="AC328" t="s">
        <v>6794</v>
      </c>
      <c r="AD328" t="str">
        <f>HYPERLINK("https%3A%2F%2Fwww.webofscience.com%2Fwos%2Fwoscc%2Ffull-record%2FWOS:000531662000007","View Full Record in Web of Science")</f>
        <v>View Full Record in Web of Science</v>
      </c>
    </row>
    <row r="329" spans="1:30" x14ac:dyDescent="0.35">
      <c r="A329">
        <v>328</v>
      </c>
      <c r="B329" t="s">
        <v>3358</v>
      </c>
      <c r="C329" t="s">
        <v>6795</v>
      </c>
      <c r="D329" t="s">
        <v>3358</v>
      </c>
      <c r="E329" t="s">
        <v>2866</v>
      </c>
      <c r="F329" t="s">
        <v>3810</v>
      </c>
      <c r="G329" t="s">
        <v>6796</v>
      </c>
      <c r="H329" t="s">
        <v>6797</v>
      </c>
      <c r="I329" t="s">
        <v>6798</v>
      </c>
      <c r="J329" t="s">
        <v>6799</v>
      </c>
      <c r="K329" t="s">
        <v>6800</v>
      </c>
      <c r="L329">
        <v>23</v>
      </c>
      <c r="M329" t="s">
        <v>3850</v>
      </c>
      <c r="N329" t="s">
        <v>3851</v>
      </c>
      <c r="O329" t="s">
        <v>3852</v>
      </c>
      <c r="P329" t="s">
        <v>3853</v>
      </c>
      <c r="Q329" t="s">
        <v>3854</v>
      </c>
      <c r="R329" t="s">
        <v>3855</v>
      </c>
      <c r="S329" t="s">
        <v>3856</v>
      </c>
      <c r="T329" t="s">
        <v>3918</v>
      </c>
      <c r="U329">
        <v>2016</v>
      </c>
      <c r="V329">
        <v>36</v>
      </c>
      <c r="W329">
        <v>9</v>
      </c>
      <c r="X329" t="s">
        <v>6801</v>
      </c>
      <c r="Y329" t="str">
        <f>HYPERLINK("http://dx.doi.org/10.1002/joc.4558","http://dx.doi.org/10.1002/joc.4558")</f>
        <v>http://dx.doi.org/10.1002/joc.4558</v>
      </c>
      <c r="Z329" t="s">
        <v>3825</v>
      </c>
      <c r="AA329" t="s">
        <v>3826</v>
      </c>
      <c r="AB329" s="3">
        <v>45672</v>
      </c>
      <c r="AC329" t="s">
        <v>6802</v>
      </c>
      <c r="AD329" t="str">
        <f>HYPERLINK("https%3A%2F%2Fwww.webofscience.com%2Fwos%2Fwoscc%2Ffull-record%2FWOS:000383608000013","View Full Record in Web of Science")</f>
        <v>View Full Record in Web of Science</v>
      </c>
    </row>
    <row r="330" spans="1:30" x14ac:dyDescent="0.35">
      <c r="A330">
        <v>329</v>
      </c>
      <c r="B330" t="s">
        <v>3359</v>
      </c>
      <c r="C330" t="s">
        <v>6803</v>
      </c>
      <c r="D330" t="s">
        <v>3359</v>
      </c>
      <c r="E330" t="s">
        <v>2899</v>
      </c>
      <c r="F330" t="s">
        <v>3810</v>
      </c>
      <c r="G330" t="s">
        <v>6804</v>
      </c>
      <c r="H330" t="s">
        <v>6805</v>
      </c>
      <c r="I330" t="s">
        <v>6806</v>
      </c>
      <c r="J330" t="s">
        <v>6806</v>
      </c>
      <c r="K330" t="s">
        <v>6807</v>
      </c>
      <c r="L330">
        <v>9</v>
      </c>
      <c r="M330" t="s">
        <v>4252</v>
      </c>
      <c r="N330" t="s">
        <v>4253</v>
      </c>
      <c r="O330" t="s">
        <v>4254</v>
      </c>
      <c r="P330" t="s">
        <v>4319</v>
      </c>
      <c r="Q330" t="s">
        <v>4320</v>
      </c>
      <c r="R330" t="s">
        <v>4321</v>
      </c>
      <c r="S330" t="s">
        <v>4322</v>
      </c>
      <c r="T330" t="s">
        <v>4137</v>
      </c>
      <c r="U330">
        <v>2019</v>
      </c>
      <c r="V330">
        <v>131</v>
      </c>
      <c r="W330">
        <v>4</v>
      </c>
      <c r="X330" t="s">
        <v>6808</v>
      </c>
      <c r="Y330" t="str">
        <f>HYPERLINK("http://dx.doi.org/10.1007/s00703-018-0611-8","http://dx.doi.org/10.1007/s00703-018-0611-8")</f>
        <v>http://dx.doi.org/10.1007/s00703-018-0611-8</v>
      </c>
      <c r="Z330" t="s">
        <v>3825</v>
      </c>
      <c r="AA330" t="s">
        <v>3826</v>
      </c>
      <c r="AB330" s="3">
        <v>45672</v>
      </c>
      <c r="AC330" t="s">
        <v>6809</v>
      </c>
      <c r="AD330" t="str">
        <f>HYPERLINK("https%3A%2F%2Fwww.webofscience.com%2Fwos%2Fwoscc%2Ffull-record%2FWOS:000475699000012","View Full Record in Web of Science")</f>
        <v>View Full Record in Web of Science</v>
      </c>
    </row>
    <row r="331" spans="1:30" x14ac:dyDescent="0.35">
      <c r="A331">
        <v>330</v>
      </c>
      <c r="B331" t="s">
        <v>3360</v>
      </c>
      <c r="C331" t="s">
        <v>6810</v>
      </c>
      <c r="D331" t="s">
        <v>3360</v>
      </c>
      <c r="E331" t="s">
        <v>2869</v>
      </c>
      <c r="F331" t="s">
        <v>3810</v>
      </c>
      <c r="G331" t="s">
        <v>6811</v>
      </c>
      <c r="H331" t="s">
        <v>6812</v>
      </c>
      <c r="I331" t="s">
        <v>6813</v>
      </c>
      <c r="K331" t="s">
        <v>3808</v>
      </c>
      <c r="L331">
        <v>20</v>
      </c>
      <c r="M331" t="s">
        <v>3880</v>
      </c>
      <c r="N331" t="s">
        <v>3881</v>
      </c>
      <c r="O331" t="s">
        <v>6814</v>
      </c>
      <c r="P331" t="s">
        <v>3897</v>
      </c>
      <c r="Q331" t="s">
        <v>3898</v>
      </c>
      <c r="R331" t="s">
        <v>3899</v>
      </c>
      <c r="S331" t="s">
        <v>3900</v>
      </c>
      <c r="T331" t="s">
        <v>3808</v>
      </c>
      <c r="U331">
        <v>2015</v>
      </c>
      <c r="V331">
        <v>36</v>
      </c>
      <c r="W331">
        <v>1</v>
      </c>
      <c r="X331" t="s">
        <v>6815</v>
      </c>
      <c r="Y331" t="str">
        <f>HYPERLINK("http://dx.doi.org/10.1080/01431161.2014.995278","http://dx.doi.org/10.1080/01431161.2014.995278")</f>
        <v>http://dx.doi.org/10.1080/01431161.2014.995278</v>
      </c>
      <c r="Z331" t="s">
        <v>3903</v>
      </c>
      <c r="AA331" t="s">
        <v>3826</v>
      </c>
      <c r="AB331" s="3">
        <v>45672</v>
      </c>
      <c r="AC331" t="s">
        <v>6816</v>
      </c>
      <c r="AD331" t="str">
        <f>HYPERLINK("https%3A%2F%2Fwww.webofscience.com%2Fwos%2Fwoscc%2Ffull-record%2FWOS:000348464300011","View Full Record in Web of Science")</f>
        <v>View Full Record in Web of Science</v>
      </c>
    </row>
    <row r="332" spans="1:30" x14ac:dyDescent="0.35">
      <c r="A332">
        <v>331</v>
      </c>
      <c r="B332" t="s">
        <v>3361</v>
      </c>
      <c r="C332" t="s">
        <v>1320</v>
      </c>
      <c r="D332" t="s">
        <v>3361</v>
      </c>
      <c r="E332" t="s">
        <v>2896</v>
      </c>
      <c r="F332" t="s">
        <v>3810</v>
      </c>
      <c r="G332" t="s">
        <v>6817</v>
      </c>
      <c r="H332" t="s">
        <v>6818</v>
      </c>
      <c r="I332" t="s">
        <v>6819</v>
      </c>
      <c r="J332" t="s">
        <v>6820</v>
      </c>
      <c r="K332" t="s">
        <v>6821</v>
      </c>
      <c r="L332">
        <v>12</v>
      </c>
      <c r="M332" t="s">
        <v>4277</v>
      </c>
      <c r="N332" t="s">
        <v>4278</v>
      </c>
      <c r="O332" t="s">
        <v>4279</v>
      </c>
      <c r="P332" t="s">
        <v>4280</v>
      </c>
      <c r="Q332" t="s">
        <v>3808</v>
      </c>
      <c r="R332" t="s">
        <v>2896</v>
      </c>
      <c r="S332" t="s">
        <v>4281</v>
      </c>
      <c r="T332" t="s">
        <v>4001</v>
      </c>
      <c r="U332">
        <v>2019</v>
      </c>
      <c r="V332">
        <v>7</v>
      </c>
      <c r="W332">
        <v>1</v>
      </c>
      <c r="X332" t="s">
        <v>6822</v>
      </c>
      <c r="Y332" t="str">
        <f>HYPERLINK("http://dx.doi.org/10.3390/cli7010007","http://dx.doi.org/10.3390/cli7010007")</f>
        <v>http://dx.doi.org/10.3390/cli7010007</v>
      </c>
      <c r="Z332" t="s">
        <v>3825</v>
      </c>
      <c r="AA332" t="s">
        <v>4117</v>
      </c>
      <c r="AB332" s="3">
        <v>45672</v>
      </c>
      <c r="AC332" t="s">
        <v>6823</v>
      </c>
      <c r="AD332" t="str">
        <f>HYPERLINK("https%3A%2F%2Fwww.webofscience.com%2Fwos%2Fwoscc%2Ffull-record%2FWOS:000457212900011","View Full Record in Web of Science")</f>
        <v>View Full Record in Web of Science</v>
      </c>
    </row>
    <row r="333" spans="1:30" x14ac:dyDescent="0.35">
      <c r="A333">
        <v>332</v>
      </c>
      <c r="B333" t="s">
        <v>3362</v>
      </c>
      <c r="C333" t="s">
        <v>6824</v>
      </c>
      <c r="D333" t="s">
        <v>3362</v>
      </c>
      <c r="E333" t="s">
        <v>2969</v>
      </c>
      <c r="F333" t="s">
        <v>3810</v>
      </c>
      <c r="G333" t="s">
        <v>6825</v>
      </c>
      <c r="H333" t="s">
        <v>6826</v>
      </c>
      <c r="I333" t="s">
        <v>6827</v>
      </c>
      <c r="J333" t="s">
        <v>6828</v>
      </c>
      <c r="K333" t="s">
        <v>6829</v>
      </c>
      <c r="L333">
        <v>25</v>
      </c>
      <c r="M333" t="s">
        <v>4061</v>
      </c>
      <c r="N333" t="s">
        <v>4062</v>
      </c>
      <c r="O333" t="s">
        <v>4063</v>
      </c>
      <c r="P333" t="s">
        <v>6830</v>
      </c>
      <c r="Q333" t="s">
        <v>6831</v>
      </c>
      <c r="R333" t="s">
        <v>6832</v>
      </c>
      <c r="S333" t="s">
        <v>6833</v>
      </c>
      <c r="T333" t="s">
        <v>4137</v>
      </c>
      <c r="U333">
        <v>2019</v>
      </c>
      <c r="V333">
        <v>33</v>
      </c>
      <c r="W333">
        <v>4</v>
      </c>
      <c r="X333" t="s">
        <v>6834</v>
      </c>
      <c r="Y333" t="str">
        <f>HYPERLINK("http://dx.doi.org/10.1007/s13351-019-8200-4","http://dx.doi.org/10.1007/s13351-019-8200-4")</f>
        <v>http://dx.doi.org/10.1007/s13351-019-8200-4</v>
      </c>
      <c r="Z333" t="s">
        <v>3825</v>
      </c>
      <c r="AA333" t="s">
        <v>3826</v>
      </c>
      <c r="AB333" s="3">
        <v>45672</v>
      </c>
      <c r="AC333" t="s">
        <v>6835</v>
      </c>
      <c r="AD333" t="str">
        <f>HYPERLINK("https%3A%2F%2Fwww.webofscience.com%2Fwos%2Fwoscc%2Ffull-record%2FWOS:000485010900002","View Full Record in Web of Science")</f>
        <v>View Full Record in Web of Science</v>
      </c>
    </row>
    <row r="334" spans="1:30" x14ac:dyDescent="0.35">
      <c r="A334">
        <v>333</v>
      </c>
      <c r="B334" t="s">
        <v>3363</v>
      </c>
      <c r="C334" t="s">
        <v>6836</v>
      </c>
      <c r="D334" t="s">
        <v>3363</v>
      </c>
      <c r="E334" t="s">
        <v>2900</v>
      </c>
      <c r="F334" t="s">
        <v>3810</v>
      </c>
      <c r="G334" t="s">
        <v>6837</v>
      </c>
      <c r="H334" t="s">
        <v>6838</v>
      </c>
      <c r="I334" t="s">
        <v>6839</v>
      </c>
      <c r="J334" t="s">
        <v>6840</v>
      </c>
      <c r="K334" t="s">
        <v>6841</v>
      </c>
      <c r="L334">
        <v>31</v>
      </c>
      <c r="M334" t="s">
        <v>4339</v>
      </c>
      <c r="N334" t="s">
        <v>4340</v>
      </c>
      <c r="O334" t="s">
        <v>4341</v>
      </c>
      <c r="P334" t="s">
        <v>4342</v>
      </c>
      <c r="Q334" t="s">
        <v>4343</v>
      </c>
      <c r="R334" t="s">
        <v>4344</v>
      </c>
      <c r="S334" t="s">
        <v>4345</v>
      </c>
      <c r="T334" t="s">
        <v>6842</v>
      </c>
      <c r="U334">
        <v>2021</v>
      </c>
      <c r="V334">
        <v>21</v>
      </c>
      <c r="W334">
        <v>1</v>
      </c>
      <c r="X334" t="s">
        <v>6843</v>
      </c>
      <c r="Y334" t="str">
        <f>HYPERLINK("http://dx.doi.org/10.5194/nhess-21-393-2021","http://dx.doi.org/10.5194/nhess-21-393-2021")</f>
        <v>http://dx.doi.org/10.5194/nhess-21-393-2021</v>
      </c>
      <c r="Z334" t="s">
        <v>3934</v>
      </c>
      <c r="AA334" t="s">
        <v>3826</v>
      </c>
      <c r="AB334" s="3">
        <v>45672</v>
      </c>
      <c r="AC334" t="s">
        <v>6844</v>
      </c>
      <c r="AD334" t="str">
        <f>HYPERLINK("https%3A%2F%2Fwww.webofscience.com%2Fwos%2Fwoscc%2Ffull-record%2FWOS:000614290400001","View Full Record in Web of Science")</f>
        <v>View Full Record in Web of Science</v>
      </c>
    </row>
    <row r="335" spans="1:30" x14ac:dyDescent="0.35">
      <c r="A335">
        <v>334</v>
      </c>
      <c r="B335" t="s">
        <v>3364</v>
      </c>
      <c r="C335" t="s">
        <v>6845</v>
      </c>
      <c r="D335" t="s">
        <v>3364</v>
      </c>
      <c r="E335" t="s">
        <v>2970</v>
      </c>
      <c r="F335" t="s">
        <v>3810</v>
      </c>
      <c r="G335" t="s">
        <v>6846</v>
      </c>
      <c r="H335" t="s">
        <v>6847</v>
      </c>
      <c r="I335" t="s">
        <v>6848</v>
      </c>
      <c r="K335" t="s">
        <v>3808</v>
      </c>
      <c r="L335">
        <v>5</v>
      </c>
      <c r="M335" t="s">
        <v>6849</v>
      </c>
      <c r="N335" t="s">
        <v>6850</v>
      </c>
      <c r="O335" t="s">
        <v>6851</v>
      </c>
      <c r="P335" t="s">
        <v>6852</v>
      </c>
      <c r="Q335" t="s">
        <v>3808</v>
      </c>
      <c r="R335" t="s">
        <v>6853</v>
      </c>
      <c r="S335" t="s">
        <v>6854</v>
      </c>
      <c r="T335" t="s">
        <v>3808</v>
      </c>
      <c r="U335">
        <v>2022</v>
      </c>
      <c r="V335">
        <v>27</v>
      </c>
      <c r="W335">
        <v>2</v>
      </c>
      <c r="X335" t="s">
        <v>6855</v>
      </c>
      <c r="Y335" t="str">
        <f>HYPERLINK("http://dx.doi.org/10.46544/AMS.v27i2.05","http://dx.doi.org/10.46544/AMS.v27i2.05")</f>
        <v>http://dx.doi.org/10.46544/AMS.v27i2.05</v>
      </c>
      <c r="Z335" t="s">
        <v>6856</v>
      </c>
      <c r="AA335" t="s">
        <v>3826</v>
      </c>
      <c r="AB335" s="3">
        <v>45672</v>
      </c>
      <c r="AC335" t="s">
        <v>6857</v>
      </c>
      <c r="AD335" t="str">
        <f>HYPERLINK("https%3A%2F%2Fwww.webofscience.com%2Fwos%2Fwoscc%2Ffull-record%2FWOS:000835043300001","View Full Record in Web of Science")</f>
        <v>View Full Record in Web of Science</v>
      </c>
    </row>
    <row r="336" spans="1:30" x14ac:dyDescent="0.35">
      <c r="A336">
        <v>335</v>
      </c>
      <c r="B336" t="s">
        <v>3365</v>
      </c>
      <c r="C336" t="s">
        <v>1335</v>
      </c>
      <c r="D336" t="s">
        <v>3365</v>
      </c>
      <c r="E336" t="s">
        <v>2896</v>
      </c>
      <c r="F336" t="s">
        <v>3810</v>
      </c>
      <c r="G336" t="s">
        <v>6858</v>
      </c>
      <c r="H336" t="s">
        <v>6859</v>
      </c>
      <c r="I336" t="s">
        <v>6860</v>
      </c>
      <c r="J336" t="s">
        <v>6861</v>
      </c>
      <c r="K336" t="s">
        <v>6862</v>
      </c>
      <c r="L336">
        <v>8</v>
      </c>
      <c r="M336" t="s">
        <v>4277</v>
      </c>
      <c r="N336" t="s">
        <v>4278</v>
      </c>
      <c r="O336" t="s">
        <v>4279</v>
      </c>
      <c r="P336" t="s">
        <v>3808</v>
      </c>
      <c r="Q336" t="s">
        <v>4280</v>
      </c>
      <c r="R336" t="s">
        <v>2896</v>
      </c>
      <c r="S336" t="s">
        <v>4281</v>
      </c>
      <c r="T336" t="s">
        <v>6863</v>
      </c>
      <c r="U336">
        <v>2023</v>
      </c>
      <c r="V336">
        <v>11</v>
      </c>
      <c r="W336">
        <v>5</v>
      </c>
      <c r="X336" t="s">
        <v>6864</v>
      </c>
      <c r="Y336" t="str">
        <f>HYPERLINK("http://dx.doi.org/10.3390/cli11050092","http://dx.doi.org/10.3390/cli11050092")</f>
        <v>http://dx.doi.org/10.3390/cli11050092</v>
      </c>
      <c r="Z336" t="s">
        <v>3825</v>
      </c>
      <c r="AA336" t="s">
        <v>4117</v>
      </c>
      <c r="AB336" s="3">
        <v>45672</v>
      </c>
      <c r="AC336" t="s">
        <v>6865</v>
      </c>
      <c r="AD336" t="str">
        <f>HYPERLINK("https%3A%2F%2Fwww.webofscience.com%2Fwos%2Fwoscc%2Ffull-record%2FWOS:000997193900001","View Full Record in Web of Science")</f>
        <v>View Full Record in Web of Science</v>
      </c>
    </row>
    <row r="337" spans="1:30" x14ac:dyDescent="0.35">
      <c r="A337">
        <v>336</v>
      </c>
      <c r="B337" t="s">
        <v>3366</v>
      </c>
      <c r="C337" t="s">
        <v>6866</v>
      </c>
      <c r="D337" t="s">
        <v>3366</v>
      </c>
      <c r="E337" t="s">
        <v>2972</v>
      </c>
      <c r="F337" t="s">
        <v>3810</v>
      </c>
      <c r="G337" t="s">
        <v>6867</v>
      </c>
      <c r="H337" t="s">
        <v>6868</v>
      </c>
      <c r="I337" t="s">
        <v>6869</v>
      </c>
      <c r="J337" t="s">
        <v>6870</v>
      </c>
      <c r="K337" t="s">
        <v>6871</v>
      </c>
      <c r="L337">
        <v>30</v>
      </c>
      <c r="M337" t="s">
        <v>5326</v>
      </c>
      <c r="N337" t="s">
        <v>4047</v>
      </c>
      <c r="O337" t="s">
        <v>5327</v>
      </c>
      <c r="P337" t="s">
        <v>6872</v>
      </c>
      <c r="Q337" t="s">
        <v>6873</v>
      </c>
      <c r="R337" t="s">
        <v>6874</v>
      </c>
      <c r="S337" t="s">
        <v>6875</v>
      </c>
      <c r="T337" t="s">
        <v>6876</v>
      </c>
      <c r="U337">
        <v>2019</v>
      </c>
      <c r="V337">
        <v>171</v>
      </c>
      <c r="W337" t="s">
        <v>3808</v>
      </c>
      <c r="X337" t="s">
        <v>6877</v>
      </c>
      <c r="Y337" t="str">
        <f>HYPERLINK("http://dx.doi.org/10.1016/j.ocecoaman.2019.01.011","http://dx.doi.org/10.1016/j.ocecoaman.2019.01.011")</f>
        <v>http://dx.doi.org/10.1016/j.ocecoaman.2019.01.011</v>
      </c>
      <c r="Z337" t="s">
        <v>6878</v>
      </c>
      <c r="AA337" t="s">
        <v>3826</v>
      </c>
      <c r="AB337" s="3">
        <v>45672</v>
      </c>
      <c r="AC337" t="s">
        <v>6879</v>
      </c>
      <c r="AD337" t="str">
        <f>HYPERLINK("https%3A%2F%2Fwww.webofscience.com%2Fwos%2Fwoscc%2Ffull-record%2FWOS:000461403800002","View Full Record in Web of Science")</f>
        <v>View Full Record in Web of Science</v>
      </c>
    </row>
    <row r="338" spans="1:30" x14ac:dyDescent="0.35">
      <c r="A338">
        <v>337</v>
      </c>
      <c r="B338" t="s">
        <v>3367</v>
      </c>
      <c r="C338" t="s">
        <v>6880</v>
      </c>
      <c r="D338" t="s">
        <v>3367</v>
      </c>
      <c r="E338" t="s">
        <v>2949</v>
      </c>
      <c r="F338" t="s">
        <v>3810</v>
      </c>
      <c r="G338" t="s">
        <v>6881</v>
      </c>
      <c r="H338" t="s">
        <v>6882</v>
      </c>
      <c r="I338" t="s">
        <v>6883</v>
      </c>
      <c r="J338" t="s">
        <v>3808</v>
      </c>
      <c r="K338" t="s">
        <v>3808</v>
      </c>
      <c r="L338">
        <v>3</v>
      </c>
      <c r="M338" t="s">
        <v>3866</v>
      </c>
      <c r="N338" t="s">
        <v>3817</v>
      </c>
      <c r="O338" t="s">
        <v>3867</v>
      </c>
      <c r="P338" t="s">
        <v>6000</v>
      </c>
      <c r="Q338" t="s">
        <v>3808</v>
      </c>
      <c r="R338" t="s">
        <v>6001</v>
      </c>
      <c r="S338" t="s">
        <v>6002</v>
      </c>
      <c r="T338" t="s">
        <v>4627</v>
      </c>
      <c r="U338">
        <v>2023</v>
      </c>
      <c r="V338">
        <v>10</v>
      </c>
      <c r="W338">
        <v>1</v>
      </c>
      <c r="X338" t="s">
        <v>6884</v>
      </c>
      <c r="Y338" t="str">
        <f>HYPERLINK("http://dx.doi.org/10.1186/s40562-022-00254-7","http://dx.doi.org/10.1186/s40562-022-00254-7")</f>
        <v>http://dx.doi.org/10.1186/s40562-022-00254-7</v>
      </c>
      <c r="Z338" t="s">
        <v>4455</v>
      </c>
      <c r="AA338" t="s">
        <v>3826</v>
      </c>
      <c r="AB338" s="3">
        <v>45672</v>
      </c>
      <c r="AC338" t="s">
        <v>6885</v>
      </c>
      <c r="AD338" t="str">
        <f>HYPERLINK("https%3A%2F%2Fwww.webofscience.com%2Fwos%2Fwoscc%2Ffull-record%2FWOS:000907127000001","View Full Record in Web of Science")</f>
        <v>View Full Record in Web of Science</v>
      </c>
    </row>
    <row r="339" spans="1:30" x14ac:dyDescent="0.35">
      <c r="A339">
        <v>338</v>
      </c>
      <c r="B339" t="s">
        <v>3368</v>
      </c>
      <c r="C339" t="s">
        <v>1343</v>
      </c>
      <c r="D339" t="s">
        <v>3368</v>
      </c>
      <c r="E339" t="s">
        <v>2871</v>
      </c>
      <c r="F339" t="s">
        <v>3810</v>
      </c>
      <c r="G339" t="s">
        <v>6886</v>
      </c>
      <c r="H339" t="s">
        <v>6887</v>
      </c>
      <c r="I339" t="s">
        <v>6888</v>
      </c>
      <c r="K339" t="s">
        <v>3808</v>
      </c>
      <c r="L339">
        <v>18</v>
      </c>
      <c r="M339" t="s">
        <v>3866</v>
      </c>
      <c r="N339" t="s">
        <v>3817</v>
      </c>
      <c r="O339" t="s">
        <v>3867</v>
      </c>
      <c r="P339" t="s">
        <v>3928</v>
      </c>
      <c r="Q339" t="s">
        <v>3929</v>
      </c>
      <c r="R339" t="s">
        <v>3930</v>
      </c>
      <c r="S339" t="s">
        <v>3931</v>
      </c>
      <c r="T339" t="s">
        <v>4016</v>
      </c>
      <c r="U339">
        <v>2015</v>
      </c>
      <c r="V339">
        <v>79</v>
      </c>
      <c r="W339">
        <v>1</v>
      </c>
      <c r="X339" t="s">
        <v>6889</v>
      </c>
      <c r="Y339" t="str">
        <f>HYPERLINK("http://dx.doi.org/10.1007/s11069-015-1826-3","http://dx.doi.org/10.1007/s11069-015-1826-3")</f>
        <v>http://dx.doi.org/10.1007/s11069-015-1826-3</v>
      </c>
      <c r="Z339" t="s">
        <v>3934</v>
      </c>
      <c r="AA339" t="s">
        <v>3826</v>
      </c>
      <c r="AB339" s="3">
        <v>45672</v>
      </c>
      <c r="AC339" t="s">
        <v>6890</v>
      </c>
      <c r="AD339" t="str">
        <f>HYPERLINK("https%3A%2F%2Fwww.webofscience.com%2Fwos%2Fwoscc%2Ffull-record%2FWOS:000361060500004","View Full Record in Web of Science")</f>
        <v>View Full Record in Web of Science</v>
      </c>
    </row>
    <row r="340" spans="1:30" x14ac:dyDescent="0.35">
      <c r="A340">
        <v>339</v>
      </c>
      <c r="B340" t="s">
        <v>3369</v>
      </c>
      <c r="C340" t="s">
        <v>6891</v>
      </c>
      <c r="D340" t="s">
        <v>3369</v>
      </c>
      <c r="E340" t="s">
        <v>2922</v>
      </c>
      <c r="F340" t="s">
        <v>3810</v>
      </c>
      <c r="G340" t="s">
        <v>6892</v>
      </c>
      <c r="H340" t="s">
        <v>6893</v>
      </c>
      <c r="I340" t="s">
        <v>6894</v>
      </c>
      <c r="J340" t="s">
        <v>6134</v>
      </c>
      <c r="K340" t="s">
        <v>6895</v>
      </c>
      <c r="L340">
        <v>37</v>
      </c>
      <c r="M340" t="s">
        <v>3951</v>
      </c>
      <c r="N340" t="s">
        <v>3952</v>
      </c>
      <c r="O340" t="s">
        <v>3953</v>
      </c>
      <c r="P340" t="s">
        <v>4910</v>
      </c>
      <c r="Q340" t="s">
        <v>4911</v>
      </c>
      <c r="R340" t="s">
        <v>4912</v>
      </c>
      <c r="S340" t="s">
        <v>4913</v>
      </c>
      <c r="T340" t="s">
        <v>3932</v>
      </c>
      <c r="U340">
        <v>2018</v>
      </c>
      <c r="V340">
        <v>67</v>
      </c>
      <c r="W340" t="s">
        <v>3808</v>
      </c>
      <c r="X340" t="s">
        <v>6896</v>
      </c>
      <c r="Y340" t="str">
        <f>HYPERLINK("http://dx.doi.org/10.1016/j.jag.2017.10.008","http://dx.doi.org/10.1016/j.jag.2017.10.008")</f>
        <v>http://dx.doi.org/10.1016/j.jag.2017.10.008</v>
      </c>
      <c r="Z340" t="s">
        <v>4475</v>
      </c>
      <c r="AA340" t="s">
        <v>3826</v>
      </c>
      <c r="AB340" s="3">
        <v>45672</v>
      </c>
      <c r="AC340" t="s">
        <v>6897</v>
      </c>
      <c r="AD340" t="str">
        <f>HYPERLINK("https%3A%2F%2Fwww.webofscience.com%2Fwos%2Fwoscc%2Ffull-record%2FWOS:000427307800011","View Full Record in Web of Science")</f>
        <v>View Full Record in Web of Science</v>
      </c>
    </row>
    <row r="341" spans="1:30" x14ac:dyDescent="0.35">
      <c r="A341">
        <v>340</v>
      </c>
      <c r="B341" t="s">
        <v>3370</v>
      </c>
      <c r="C341" t="s">
        <v>6898</v>
      </c>
      <c r="D341" t="s">
        <v>3370</v>
      </c>
      <c r="E341" t="s">
        <v>2876</v>
      </c>
      <c r="F341" t="s">
        <v>3810</v>
      </c>
      <c r="G341" t="s">
        <v>6899</v>
      </c>
      <c r="H341" t="s">
        <v>6900</v>
      </c>
      <c r="I341" t="s">
        <v>6901</v>
      </c>
      <c r="J341" t="s">
        <v>6902</v>
      </c>
      <c r="K341" t="s">
        <v>6903</v>
      </c>
      <c r="L341">
        <v>1</v>
      </c>
      <c r="M341" t="s">
        <v>3951</v>
      </c>
      <c r="N341" t="s">
        <v>3952</v>
      </c>
      <c r="O341" t="s">
        <v>3953</v>
      </c>
      <c r="P341" t="s">
        <v>3981</v>
      </c>
      <c r="Q341" t="s">
        <v>3808</v>
      </c>
      <c r="R341" t="s">
        <v>3982</v>
      </c>
      <c r="S341" t="s">
        <v>3983</v>
      </c>
      <c r="T341" t="s">
        <v>3872</v>
      </c>
      <c r="U341">
        <v>2023</v>
      </c>
      <c r="V341">
        <v>41</v>
      </c>
      <c r="W341" t="s">
        <v>3808</v>
      </c>
      <c r="X341" t="s">
        <v>6904</v>
      </c>
      <c r="Y341" t="str">
        <f>HYPERLINK("http://dx.doi.org/10.1016/j.wace.2023.100582","http://dx.doi.org/10.1016/j.wace.2023.100582")</f>
        <v>http://dx.doi.org/10.1016/j.wace.2023.100582</v>
      </c>
      <c r="Z341" t="s">
        <v>3825</v>
      </c>
      <c r="AA341" t="s">
        <v>3826</v>
      </c>
      <c r="AB341" s="3">
        <v>45672</v>
      </c>
      <c r="AC341" t="s">
        <v>6905</v>
      </c>
      <c r="AD341" t="str">
        <f>HYPERLINK("https%3A%2F%2Fwww.webofscience.com%2Fwos%2Fwoscc%2Ffull-record%2FWOS:001019862000001","View Full Record in Web of Science")</f>
        <v>View Full Record in Web of Science</v>
      </c>
    </row>
    <row r="342" spans="1:30" x14ac:dyDescent="0.35">
      <c r="A342">
        <v>341</v>
      </c>
      <c r="B342" t="s">
        <v>3371</v>
      </c>
      <c r="C342" t="s">
        <v>6906</v>
      </c>
      <c r="D342" t="s">
        <v>3371</v>
      </c>
      <c r="E342" t="s">
        <v>2903</v>
      </c>
      <c r="F342" t="s">
        <v>3810</v>
      </c>
      <c r="G342" t="s">
        <v>6907</v>
      </c>
      <c r="H342" t="s">
        <v>6908</v>
      </c>
      <c r="I342" t="s">
        <v>6909</v>
      </c>
      <c r="J342" t="s">
        <v>6910</v>
      </c>
      <c r="K342" t="s">
        <v>6911</v>
      </c>
      <c r="L342">
        <v>34</v>
      </c>
      <c r="M342" t="s">
        <v>3866</v>
      </c>
      <c r="N342" t="s">
        <v>3817</v>
      </c>
      <c r="O342" t="s">
        <v>3867</v>
      </c>
      <c r="P342" t="s">
        <v>4408</v>
      </c>
      <c r="Q342" t="s">
        <v>3808</v>
      </c>
      <c r="R342" t="s">
        <v>4409</v>
      </c>
      <c r="S342" t="s">
        <v>4410</v>
      </c>
      <c r="T342" t="s">
        <v>6912</v>
      </c>
      <c r="U342">
        <v>2021</v>
      </c>
      <c r="V342">
        <v>8</v>
      </c>
      <c r="W342">
        <v>1</v>
      </c>
      <c r="X342" t="s">
        <v>6913</v>
      </c>
      <c r="Y342" t="str">
        <f>HYPERLINK("http://dx.doi.org/10.1186/s40645-020-00386-4","http://dx.doi.org/10.1186/s40645-020-00386-4")</f>
        <v>http://dx.doi.org/10.1186/s40645-020-00386-4</v>
      </c>
      <c r="Z342" t="s">
        <v>4116</v>
      </c>
      <c r="AA342" t="s">
        <v>3826</v>
      </c>
      <c r="AB342" s="3">
        <v>45672</v>
      </c>
      <c r="AC342" t="s">
        <v>6914</v>
      </c>
      <c r="AD342" t="str">
        <f>HYPERLINK("https%3A%2F%2Fwww.webofscience.com%2Fwos%2Fwoscc%2Ffull-record%2FWOS:000605633700001","View Full Record in Web of Science")</f>
        <v>View Full Record in Web of Science</v>
      </c>
    </row>
    <row r="343" spans="1:30" x14ac:dyDescent="0.35">
      <c r="A343">
        <v>342</v>
      </c>
      <c r="B343" t="s">
        <v>3372</v>
      </c>
      <c r="C343" t="s">
        <v>6915</v>
      </c>
      <c r="D343" t="s">
        <v>3372</v>
      </c>
      <c r="E343" t="s">
        <v>2872</v>
      </c>
      <c r="F343" t="s">
        <v>3810</v>
      </c>
      <c r="G343" t="s">
        <v>6916</v>
      </c>
      <c r="H343" t="s">
        <v>3808</v>
      </c>
      <c r="I343" t="s">
        <v>3808</v>
      </c>
      <c r="J343" t="s">
        <v>6917</v>
      </c>
      <c r="K343" t="s">
        <v>6918</v>
      </c>
      <c r="L343">
        <v>2</v>
      </c>
      <c r="M343" t="s">
        <v>3951</v>
      </c>
      <c r="N343" t="s">
        <v>3952</v>
      </c>
      <c r="O343" t="s">
        <v>3953</v>
      </c>
      <c r="P343" t="s">
        <v>3954</v>
      </c>
      <c r="Q343" t="s">
        <v>3955</v>
      </c>
      <c r="R343" t="s">
        <v>3956</v>
      </c>
      <c r="S343" t="s">
        <v>3957</v>
      </c>
      <c r="T343" t="s">
        <v>3918</v>
      </c>
      <c r="U343">
        <v>2022</v>
      </c>
      <c r="V343">
        <v>610</v>
      </c>
      <c r="W343" t="s">
        <v>3808</v>
      </c>
      <c r="X343" t="s">
        <v>6919</v>
      </c>
      <c r="Y343" t="str">
        <f>HYPERLINK("http://dx.doi.org/10.1016/j.jhydrol.2022.127902","http://dx.doi.org/10.1016/j.jhydrol.2022.127902")</f>
        <v>http://dx.doi.org/10.1016/j.jhydrol.2022.127902</v>
      </c>
      <c r="Z343" t="s">
        <v>3960</v>
      </c>
      <c r="AA343" t="s">
        <v>3826</v>
      </c>
      <c r="AB343" s="3">
        <v>45672</v>
      </c>
      <c r="AC343" t="s">
        <v>6920</v>
      </c>
      <c r="AD343" t="str">
        <f>HYPERLINK("https%3A%2F%2Fwww.webofscience.com%2Fwos%2Fwoscc%2Ffull-record%2FWOS:000812210400001","View Full Record in Web of Science")</f>
        <v>View Full Record in Web of Science</v>
      </c>
    </row>
    <row r="344" spans="1:30" x14ac:dyDescent="0.35">
      <c r="A344">
        <v>343</v>
      </c>
      <c r="B344" t="s">
        <v>3373</v>
      </c>
      <c r="C344" t="s">
        <v>6921</v>
      </c>
      <c r="D344" t="s">
        <v>3373</v>
      </c>
      <c r="E344" t="s">
        <v>2887</v>
      </c>
      <c r="F344" t="s">
        <v>3810</v>
      </c>
      <c r="G344" t="s">
        <v>6922</v>
      </c>
      <c r="H344" t="s">
        <v>6923</v>
      </c>
      <c r="I344" t="s">
        <v>6522</v>
      </c>
      <c r="K344" t="s">
        <v>3808</v>
      </c>
      <c r="L344">
        <v>10</v>
      </c>
      <c r="M344" t="s">
        <v>3850</v>
      </c>
      <c r="N344" t="s">
        <v>3851</v>
      </c>
      <c r="O344" t="s">
        <v>3852</v>
      </c>
      <c r="P344" t="s">
        <v>4188</v>
      </c>
      <c r="Q344" t="s">
        <v>4189</v>
      </c>
      <c r="R344" t="s">
        <v>4190</v>
      </c>
      <c r="S344" t="s">
        <v>4191</v>
      </c>
      <c r="T344" t="s">
        <v>3918</v>
      </c>
      <c r="U344">
        <v>2018</v>
      </c>
      <c r="V344">
        <v>25</v>
      </c>
      <c r="W344">
        <v>3</v>
      </c>
      <c r="X344" t="s">
        <v>6924</v>
      </c>
      <c r="Y344" t="str">
        <f>HYPERLINK("http://dx.doi.org/10.1002/met.1706","http://dx.doi.org/10.1002/met.1706")</f>
        <v>http://dx.doi.org/10.1002/met.1706</v>
      </c>
      <c r="Z344" t="s">
        <v>3825</v>
      </c>
      <c r="AA344" t="s">
        <v>3826</v>
      </c>
      <c r="AB344" s="3">
        <v>45672</v>
      </c>
      <c r="AC344" t="s">
        <v>6925</v>
      </c>
      <c r="AD344" t="str">
        <f>HYPERLINK("https%3A%2F%2Fwww.webofscience.com%2Fwos%2Fwoscc%2Ffull-record%2FWOS:000437850100006","View Full Record in Web of Science")</f>
        <v>View Full Record in Web of Science</v>
      </c>
    </row>
    <row r="345" spans="1:30" x14ac:dyDescent="0.35">
      <c r="A345">
        <v>344</v>
      </c>
      <c r="B345" t="s">
        <v>3374</v>
      </c>
      <c r="C345" t="s">
        <v>6926</v>
      </c>
      <c r="D345" t="s">
        <v>3374</v>
      </c>
      <c r="E345" t="s">
        <v>2973</v>
      </c>
      <c r="F345" t="s">
        <v>3810</v>
      </c>
      <c r="G345" t="s">
        <v>6927</v>
      </c>
      <c r="H345" t="s">
        <v>6928</v>
      </c>
      <c r="I345" t="s">
        <v>6929</v>
      </c>
      <c r="J345" t="s">
        <v>6930</v>
      </c>
      <c r="K345" t="s">
        <v>6931</v>
      </c>
      <c r="L345">
        <v>6</v>
      </c>
      <c r="M345" t="s">
        <v>3951</v>
      </c>
      <c r="N345" t="s">
        <v>3952</v>
      </c>
      <c r="O345" t="s">
        <v>3953</v>
      </c>
      <c r="P345" t="s">
        <v>6932</v>
      </c>
      <c r="Q345" t="s">
        <v>6933</v>
      </c>
      <c r="R345" t="s">
        <v>6934</v>
      </c>
      <c r="S345" t="s">
        <v>6935</v>
      </c>
      <c r="T345" t="s">
        <v>4016</v>
      </c>
      <c r="U345">
        <v>2023</v>
      </c>
      <c r="V345">
        <v>245</v>
      </c>
      <c r="W345" t="s">
        <v>3808</v>
      </c>
      <c r="X345" t="s">
        <v>6936</v>
      </c>
      <c r="Y345" t="str">
        <f>HYPERLINK("http://dx.doi.org/10.1016/j.earscirev.2023.104572","http://dx.doi.org/10.1016/j.earscirev.2023.104572")</f>
        <v>http://dx.doi.org/10.1016/j.earscirev.2023.104572</v>
      </c>
      <c r="Z345" t="s">
        <v>4116</v>
      </c>
      <c r="AA345" t="s">
        <v>3826</v>
      </c>
      <c r="AB345" s="3">
        <v>45672</v>
      </c>
      <c r="AC345" t="s">
        <v>6937</v>
      </c>
      <c r="AD345" t="str">
        <f>HYPERLINK("https%3A%2F%2Fwww.webofscience.com%2Fwos%2Fwoscc%2Ffull-record%2FWOS:001084738000001","View Full Record in Web of Science")</f>
        <v>View Full Record in Web of Science</v>
      </c>
    </row>
    <row r="346" spans="1:30" x14ac:dyDescent="0.35">
      <c r="A346">
        <v>345</v>
      </c>
      <c r="B346" t="s">
        <v>3375</v>
      </c>
      <c r="C346" t="s">
        <v>6938</v>
      </c>
      <c r="D346" t="s">
        <v>3375</v>
      </c>
      <c r="E346" t="s">
        <v>2942</v>
      </c>
      <c r="F346" t="s">
        <v>3810</v>
      </c>
      <c r="G346" t="s">
        <v>6939</v>
      </c>
      <c r="H346" t="s">
        <v>6940</v>
      </c>
      <c r="I346" t="s">
        <v>6941</v>
      </c>
      <c r="J346" t="s">
        <v>6942</v>
      </c>
      <c r="K346" t="s">
        <v>6943</v>
      </c>
      <c r="L346">
        <v>5</v>
      </c>
      <c r="M346" t="s">
        <v>5554</v>
      </c>
      <c r="N346" t="s">
        <v>4378</v>
      </c>
      <c r="O346" t="s">
        <v>5555</v>
      </c>
      <c r="P346" t="s">
        <v>5556</v>
      </c>
      <c r="Q346" t="s">
        <v>5557</v>
      </c>
      <c r="R346" t="s">
        <v>5558</v>
      </c>
      <c r="S346" t="s">
        <v>5559</v>
      </c>
      <c r="T346" t="s">
        <v>4137</v>
      </c>
      <c r="U346">
        <v>2020</v>
      </c>
      <c r="V346">
        <v>15</v>
      </c>
      <c r="W346">
        <v>5</v>
      </c>
      <c r="X346" t="s">
        <v>3808</v>
      </c>
      <c r="Y346" t="s">
        <v>3808</v>
      </c>
      <c r="Z346" t="s">
        <v>4116</v>
      </c>
      <c r="AA346" t="s">
        <v>4117</v>
      </c>
      <c r="AB346" s="3">
        <v>45672</v>
      </c>
      <c r="AC346" t="s">
        <v>6944</v>
      </c>
      <c r="AD346" t="str">
        <f>HYPERLINK("https%3A%2F%2Fwww.webofscience.com%2Fwos%2Fwoscc%2Ffull-record%2FWOS:000558588900003","View Full Record in Web of Science")</f>
        <v>View Full Record in Web of Science</v>
      </c>
    </row>
    <row r="347" spans="1:30" x14ac:dyDescent="0.35">
      <c r="A347">
        <v>346</v>
      </c>
      <c r="B347" t="s">
        <v>3376</v>
      </c>
      <c r="C347" t="s">
        <v>6945</v>
      </c>
      <c r="D347" t="s">
        <v>3376</v>
      </c>
      <c r="E347" t="s">
        <v>2876</v>
      </c>
      <c r="F347" t="s">
        <v>3810</v>
      </c>
      <c r="G347" t="s">
        <v>6946</v>
      </c>
      <c r="H347" t="s">
        <v>6947</v>
      </c>
      <c r="I347" t="s">
        <v>6948</v>
      </c>
      <c r="J347" t="s">
        <v>6949</v>
      </c>
      <c r="K347" t="s">
        <v>6950</v>
      </c>
      <c r="L347">
        <v>19</v>
      </c>
      <c r="M347" t="s">
        <v>3951</v>
      </c>
      <c r="N347" t="s">
        <v>3952</v>
      </c>
      <c r="O347" t="s">
        <v>3953</v>
      </c>
      <c r="P347" t="s">
        <v>3981</v>
      </c>
      <c r="Q347" t="s">
        <v>3808</v>
      </c>
      <c r="R347" t="s">
        <v>3982</v>
      </c>
      <c r="S347" t="s">
        <v>3983</v>
      </c>
      <c r="T347" t="s">
        <v>3872</v>
      </c>
      <c r="U347">
        <v>2022</v>
      </c>
      <c r="V347">
        <v>37</v>
      </c>
      <c r="W347" t="s">
        <v>3808</v>
      </c>
      <c r="X347" t="s">
        <v>6951</v>
      </c>
      <c r="Y347" t="str">
        <f>HYPERLINK("http://dx.doi.org/10.1016/j.wace.2022.100475","http://dx.doi.org/10.1016/j.wace.2022.100475")</f>
        <v>http://dx.doi.org/10.1016/j.wace.2022.100475</v>
      </c>
      <c r="Z347" t="s">
        <v>3825</v>
      </c>
      <c r="AA347" t="s">
        <v>3826</v>
      </c>
      <c r="AB347" s="3">
        <v>45672</v>
      </c>
      <c r="AC347" t="s">
        <v>6952</v>
      </c>
      <c r="AD347" t="str">
        <f>HYPERLINK("https%3A%2F%2Fwww.webofscience.com%2Fwos%2Fwoscc%2Ffull-record%2FWOS:000822969800001","View Full Record in Web of Science")</f>
        <v>View Full Record in Web of Science</v>
      </c>
    </row>
    <row r="348" spans="1:30" x14ac:dyDescent="0.35">
      <c r="A348">
        <v>347</v>
      </c>
      <c r="B348" t="s">
        <v>3377</v>
      </c>
      <c r="C348" t="s">
        <v>6953</v>
      </c>
      <c r="D348" t="s">
        <v>3377</v>
      </c>
      <c r="E348" t="s">
        <v>2914</v>
      </c>
      <c r="F348" t="s">
        <v>3810</v>
      </c>
      <c r="G348" t="s">
        <v>6954</v>
      </c>
      <c r="H348" t="s">
        <v>6955</v>
      </c>
      <c r="I348" t="s">
        <v>6956</v>
      </c>
      <c r="J348" t="s">
        <v>6957</v>
      </c>
      <c r="K348" t="s">
        <v>6958</v>
      </c>
      <c r="L348">
        <v>20</v>
      </c>
      <c r="M348" t="s">
        <v>3951</v>
      </c>
      <c r="N348" t="s">
        <v>3952</v>
      </c>
      <c r="O348" t="s">
        <v>3953</v>
      </c>
      <c r="P348" t="s">
        <v>4701</v>
      </c>
      <c r="Q348" t="s">
        <v>4702</v>
      </c>
      <c r="R348" t="s">
        <v>4703</v>
      </c>
      <c r="S348" t="s">
        <v>4704</v>
      </c>
      <c r="T348" t="s">
        <v>4773</v>
      </c>
      <c r="U348">
        <v>2015</v>
      </c>
      <c r="V348">
        <v>370</v>
      </c>
      <c r="W348" t="s">
        <v>3808</v>
      </c>
      <c r="X348" t="s">
        <v>6959</v>
      </c>
      <c r="Y348" t="str">
        <f>HYPERLINK("http://dx.doi.org/10.1016/j.margeo.2015.10.002","http://dx.doi.org/10.1016/j.margeo.2015.10.002")</f>
        <v>http://dx.doi.org/10.1016/j.margeo.2015.10.002</v>
      </c>
      <c r="Z348" t="s">
        <v>4707</v>
      </c>
      <c r="AA348" t="s">
        <v>3826</v>
      </c>
      <c r="AB348" s="3">
        <v>45672</v>
      </c>
      <c r="AC348" t="s">
        <v>6960</v>
      </c>
      <c r="AD348" t="str">
        <f>HYPERLINK("https%3A%2F%2Fwww.webofscience.com%2Fwos%2Fwoscc%2Ffull-record%2FWOS:000366233500004","View Full Record in Web of Science")</f>
        <v>View Full Record in Web of Science</v>
      </c>
    </row>
    <row r="349" spans="1:30" x14ac:dyDescent="0.35">
      <c r="A349">
        <v>348</v>
      </c>
      <c r="B349" t="s">
        <v>3378</v>
      </c>
      <c r="C349" t="s">
        <v>6961</v>
      </c>
      <c r="D349" t="s">
        <v>3378</v>
      </c>
      <c r="E349" t="s">
        <v>2894</v>
      </c>
      <c r="F349" t="s">
        <v>3810</v>
      </c>
      <c r="G349" t="s">
        <v>6962</v>
      </c>
      <c r="H349" t="s">
        <v>6963</v>
      </c>
      <c r="I349" t="s">
        <v>6964</v>
      </c>
      <c r="J349" t="s">
        <v>3808</v>
      </c>
      <c r="K349" t="s">
        <v>3808</v>
      </c>
      <c r="L349">
        <v>15</v>
      </c>
      <c r="M349" t="s">
        <v>4252</v>
      </c>
      <c r="N349" t="s">
        <v>4355</v>
      </c>
      <c r="O349" t="s">
        <v>4356</v>
      </c>
      <c r="P349" t="s">
        <v>4255</v>
      </c>
      <c r="Q349" t="s">
        <v>4256</v>
      </c>
      <c r="R349" t="s">
        <v>4257</v>
      </c>
      <c r="S349" t="s">
        <v>4258</v>
      </c>
      <c r="T349" t="s">
        <v>4001</v>
      </c>
      <c r="U349">
        <v>2022</v>
      </c>
      <c r="V349">
        <v>147</v>
      </c>
      <c r="W349" t="s">
        <v>4259</v>
      </c>
      <c r="X349" t="s">
        <v>6965</v>
      </c>
      <c r="Y349" t="str">
        <f>HYPERLINK("http://dx.doi.org/10.1007/s00704-021-03842-3","http://dx.doi.org/10.1007/s00704-021-03842-3")</f>
        <v>http://dx.doi.org/10.1007/s00704-021-03842-3</v>
      </c>
      <c r="Z349" t="s">
        <v>3825</v>
      </c>
      <c r="AA349" t="s">
        <v>3826</v>
      </c>
      <c r="AB349" s="3">
        <v>45672</v>
      </c>
      <c r="AC349" t="s">
        <v>6966</v>
      </c>
      <c r="AD349" t="str">
        <f>HYPERLINK("https%3A%2F%2Fwww.webofscience.com%2Fwos%2Fwoscc%2Ffull-record%2FWOS:000720704000001","View Full Record in Web of Science")</f>
        <v>View Full Record in Web of Science</v>
      </c>
    </row>
    <row r="350" spans="1:30" x14ac:dyDescent="0.35">
      <c r="A350">
        <v>349</v>
      </c>
      <c r="B350" t="s">
        <v>3379</v>
      </c>
      <c r="C350" t="s">
        <v>6967</v>
      </c>
      <c r="D350" t="s">
        <v>3379</v>
      </c>
      <c r="E350" t="s">
        <v>2899</v>
      </c>
      <c r="F350" t="s">
        <v>3810</v>
      </c>
      <c r="G350" t="s">
        <v>6968</v>
      </c>
      <c r="H350" t="s">
        <v>6969</v>
      </c>
      <c r="I350" t="s">
        <v>6970</v>
      </c>
      <c r="K350" t="s">
        <v>3808</v>
      </c>
      <c r="L350">
        <v>2</v>
      </c>
      <c r="M350" t="s">
        <v>4252</v>
      </c>
      <c r="N350" t="s">
        <v>4355</v>
      </c>
      <c r="O350" t="s">
        <v>4356</v>
      </c>
      <c r="P350" t="s">
        <v>4319</v>
      </c>
      <c r="Q350" t="s">
        <v>4320</v>
      </c>
      <c r="R350" t="s">
        <v>4321</v>
      </c>
      <c r="S350" t="s">
        <v>4322</v>
      </c>
      <c r="T350" t="s">
        <v>3974</v>
      </c>
      <c r="U350">
        <v>2022</v>
      </c>
      <c r="V350">
        <v>134</v>
      </c>
      <c r="W350">
        <v>3</v>
      </c>
      <c r="X350" t="s">
        <v>6971</v>
      </c>
      <c r="Y350" t="str">
        <f>HYPERLINK("http://dx.doi.org/10.1007/s00703-022-00886-6","http://dx.doi.org/10.1007/s00703-022-00886-6")</f>
        <v>http://dx.doi.org/10.1007/s00703-022-00886-6</v>
      </c>
      <c r="Z350" t="s">
        <v>3825</v>
      </c>
      <c r="AA350" t="s">
        <v>3826</v>
      </c>
      <c r="AB350" s="3">
        <v>45672</v>
      </c>
      <c r="AC350" t="s">
        <v>6972</v>
      </c>
      <c r="AD350" t="str">
        <f>HYPERLINK("https%3A%2F%2Fwww.webofscience.com%2Fwos%2Fwoscc%2Ffull-record%2FWOS:000784176500001","View Full Record in Web of Science")</f>
        <v>View Full Record in Web of Science</v>
      </c>
    </row>
    <row r="351" spans="1:30" x14ac:dyDescent="0.35">
      <c r="A351">
        <v>350</v>
      </c>
      <c r="B351" t="s">
        <v>3380</v>
      </c>
      <c r="C351" t="s">
        <v>6973</v>
      </c>
      <c r="D351" t="s">
        <v>3380</v>
      </c>
      <c r="E351" t="s">
        <v>2867</v>
      </c>
      <c r="F351" t="s">
        <v>3810</v>
      </c>
      <c r="G351" t="s">
        <v>6974</v>
      </c>
      <c r="H351" t="s">
        <v>6975</v>
      </c>
      <c r="I351" t="s">
        <v>5982</v>
      </c>
      <c r="J351" t="s">
        <v>6976</v>
      </c>
      <c r="K351" t="s">
        <v>6977</v>
      </c>
      <c r="L351">
        <v>23</v>
      </c>
      <c r="M351" t="s">
        <v>3866</v>
      </c>
      <c r="N351" t="s">
        <v>3817</v>
      </c>
      <c r="O351" t="s">
        <v>3867</v>
      </c>
      <c r="P351" t="s">
        <v>3868</v>
      </c>
      <c r="Q351" t="s">
        <v>3869</v>
      </c>
      <c r="R351" t="s">
        <v>3870</v>
      </c>
      <c r="S351" t="s">
        <v>3871</v>
      </c>
      <c r="T351" t="s">
        <v>4016</v>
      </c>
      <c r="U351">
        <v>2015</v>
      </c>
      <c r="V351">
        <v>45</v>
      </c>
      <c r="W351" t="s">
        <v>6145</v>
      </c>
      <c r="X351" t="s">
        <v>6978</v>
      </c>
      <c r="Y351" t="str">
        <f>HYPERLINK("http://dx.doi.org/10.1007/s00382-014-2450-8","http://dx.doi.org/10.1007/s00382-014-2450-8")</f>
        <v>http://dx.doi.org/10.1007/s00382-014-2450-8</v>
      </c>
      <c r="Z351" t="s">
        <v>3825</v>
      </c>
      <c r="AA351" t="s">
        <v>3826</v>
      </c>
      <c r="AB351" s="3">
        <v>45672</v>
      </c>
      <c r="AC351" t="s">
        <v>6979</v>
      </c>
      <c r="AD351" t="str">
        <f>HYPERLINK("https%3A%2F%2Fwww.webofscience.com%2Fwos%2Fwoscc%2Ffull-record%2FWOS:000362667100018","View Full Record in Web of Science")</f>
        <v>View Full Record in Web of Science</v>
      </c>
    </row>
    <row r="352" spans="1:30" x14ac:dyDescent="0.35">
      <c r="A352">
        <v>351</v>
      </c>
      <c r="B352" t="s">
        <v>3381</v>
      </c>
      <c r="C352" t="s">
        <v>6980</v>
      </c>
      <c r="D352" t="s">
        <v>3381</v>
      </c>
      <c r="E352" t="s">
        <v>2866</v>
      </c>
      <c r="F352" t="s">
        <v>3810</v>
      </c>
      <c r="G352" t="s">
        <v>6981</v>
      </c>
      <c r="H352" t="s">
        <v>6982</v>
      </c>
      <c r="I352" t="s">
        <v>6983</v>
      </c>
      <c r="J352" t="s">
        <v>6984</v>
      </c>
      <c r="K352" t="s">
        <v>6985</v>
      </c>
      <c r="L352">
        <v>4</v>
      </c>
      <c r="M352" t="s">
        <v>3850</v>
      </c>
      <c r="N352" t="s">
        <v>3851</v>
      </c>
      <c r="O352" t="s">
        <v>3852</v>
      </c>
      <c r="P352" t="s">
        <v>3853</v>
      </c>
      <c r="Q352" t="s">
        <v>3854</v>
      </c>
      <c r="R352" t="s">
        <v>3855</v>
      </c>
      <c r="S352" t="s">
        <v>3856</v>
      </c>
      <c r="T352" t="s">
        <v>4154</v>
      </c>
      <c r="U352">
        <v>2020</v>
      </c>
      <c r="V352">
        <v>40</v>
      </c>
      <c r="W352">
        <v>4</v>
      </c>
      <c r="X352" t="s">
        <v>6986</v>
      </c>
      <c r="Y352" t="str">
        <f>HYPERLINK("http://dx.doi.org/10.1002/joc.6316","http://dx.doi.org/10.1002/joc.6316")</f>
        <v>http://dx.doi.org/10.1002/joc.6316</v>
      </c>
      <c r="Z352" t="s">
        <v>3825</v>
      </c>
      <c r="AA352" t="s">
        <v>3826</v>
      </c>
      <c r="AB352" s="3">
        <v>45672</v>
      </c>
      <c r="AC352" t="s">
        <v>6987</v>
      </c>
      <c r="AD352" t="str">
        <f>HYPERLINK("https%3A%2F%2Fwww.webofscience.com%2Fwos%2Fwoscc%2Ffull-record%2FWOS:000490768600001","View Full Record in Web of Science")</f>
        <v>View Full Record in Web of Science</v>
      </c>
    </row>
    <row r="353" spans="1:30" x14ac:dyDescent="0.35">
      <c r="A353">
        <v>352</v>
      </c>
      <c r="B353" t="s">
        <v>3382</v>
      </c>
      <c r="C353" t="s">
        <v>6988</v>
      </c>
      <c r="D353" t="s">
        <v>3382</v>
      </c>
      <c r="E353" t="s">
        <v>2974</v>
      </c>
      <c r="F353" t="s">
        <v>3810</v>
      </c>
      <c r="G353" t="s">
        <v>6989</v>
      </c>
      <c r="H353" t="s">
        <v>6990</v>
      </c>
      <c r="I353" t="s">
        <v>6991</v>
      </c>
      <c r="J353" t="s">
        <v>6992</v>
      </c>
      <c r="K353" t="s">
        <v>6993</v>
      </c>
      <c r="L353">
        <v>22</v>
      </c>
      <c r="M353" t="s">
        <v>6994</v>
      </c>
      <c r="N353" t="s">
        <v>6995</v>
      </c>
      <c r="O353" t="s">
        <v>6996</v>
      </c>
      <c r="P353" t="s">
        <v>6997</v>
      </c>
      <c r="Q353" t="s">
        <v>6998</v>
      </c>
      <c r="R353" t="s">
        <v>6999</v>
      </c>
      <c r="S353" t="s">
        <v>7000</v>
      </c>
      <c r="T353" t="s">
        <v>7001</v>
      </c>
      <c r="U353">
        <v>2015</v>
      </c>
      <c r="V353">
        <v>57</v>
      </c>
      <c r="W353">
        <v>4</v>
      </c>
      <c r="X353" t="s">
        <v>7002</v>
      </c>
      <c r="Y353" t="str">
        <f>HYPERLINK("http://dx.doi.org/10.1080/00206814.2015.1010610","http://dx.doi.org/10.1080/00206814.2015.1010610")</f>
        <v>http://dx.doi.org/10.1080/00206814.2015.1010610</v>
      </c>
      <c r="Z353" t="s">
        <v>3973</v>
      </c>
      <c r="AA353" t="s">
        <v>3826</v>
      </c>
      <c r="AB353" s="3">
        <v>45672</v>
      </c>
      <c r="AC353" t="s">
        <v>7003</v>
      </c>
      <c r="AD353" t="str">
        <f>HYPERLINK("https%3A%2F%2Fwww.webofscience.com%2Fwos%2Fwoscc%2Ffull-record%2FWOS:000350891100002","View Full Record in Web of Science")</f>
        <v>View Full Record in Web of Science</v>
      </c>
    </row>
    <row r="354" spans="1:30" x14ac:dyDescent="0.35">
      <c r="A354">
        <v>353</v>
      </c>
      <c r="B354" t="s">
        <v>3383</v>
      </c>
      <c r="C354" t="s">
        <v>7004</v>
      </c>
      <c r="D354" t="s">
        <v>3383</v>
      </c>
      <c r="E354" t="s">
        <v>2958</v>
      </c>
      <c r="F354" t="s">
        <v>3810</v>
      </c>
      <c r="G354" t="s">
        <v>7005</v>
      </c>
      <c r="H354" t="s">
        <v>7006</v>
      </c>
      <c r="I354" t="s">
        <v>7007</v>
      </c>
      <c r="J354" t="s">
        <v>7008</v>
      </c>
      <c r="K354" t="s">
        <v>7009</v>
      </c>
      <c r="L354">
        <v>110</v>
      </c>
      <c r="M354" t="s">
        <v>3911</v>
      </c>
      <c r="N354" t="s">
        <v>3912</v>
      </c>
      <c r="O354" t="s">
        <v>3913</v>
      </c>
      <c r="P354" t="s">
        <v>6340</v>
      </c>
      <c r="Q354" t="s">
        <v>6341</v>
      </c>
      <c r="R354" t="s">
        <v>6342</v>
      </c>
      <c r="S354" t="s">
        <v>6343</v>
      </c>
      <c r="T354" t="s">
        <v>4163</v>
      </c>
      <c r="U354">
        <v>2015</v>
      </c>
      <c r="V354">
        <v>120</v>
      </c>
      <c r="W354">
        <v>12</v>
      </c>
      <c r="X354" t="s">
        <v>7010</v>
      </c>
      <c r="Y354" t="str">
        <f>HYPERLINK("http://dx.doi.org/10.1002/2015JC011351","http://dx.doi.org/10.1002/2015JC011351")</f>
        <v>http://dx.doi.org/10.1002/2015JC011351</v>
      </c>
      <c r="Z354" t="s">
        <v>4055</v>
      </c>
      <c r="AA354" t="s">
        <v>3826</v>
      </c>
      <c r="AB354" s="3">
        <v>45672</v>
      </c>
      <c r="AC354" t="s">
        <v>7011</v>
      </c>
      <c r="AD354" t="str">
        <f>HYPERLINK("https%3A%2F%2Fwww.webofscience.com%2Fwos%2Fwoscc%2Ffull-record%2FWOS:000369153200031","View Full Record in Web of Science")</f>
        <v>View Full Record in Web of Science</v>
      </c>
    </row>
    <row r="355" spans="1:30" x14ac:dyDescent="0.35">
      <c r="A355">
        <v>354</v>
      </c>
      <c r="B355" t="s">
        <v>3384</v>
      </c>
      <c r="C355" t="s">
        <v>7012</v>
      </c>
      <c r="D355" t="s">
        <v>3384</v>
      </c>
      <c r="E355" t="s">
        <v>2866</v>
      </c>
      <c r="F355" t="s">
        <v>3810</v>
      </c>
      <c r="G355" t="s">
        <v>7013</v>
      </c>
      <c r="H355" t="s">
        <v>7014</v>
      </c>
      <c r="I355" t="s">
        <v>7015</v>
      </c>
      <c r="J355" t="s">
        <v>7016</v>
      </c>
      <c r="K355" t="s">
        <v>7016</v>
      </c>
      <c r="L355">
        <v>40</v>
      </c>
      <c r="M355" t="s">
        <v>3850</v>
      </c>
      <c r="N355" t="s">
        <v>3851</v>
      </c>
      <c r="O355" t="s">
        <v>3852</v>
      </c>
      <c r="P355" t="s">
        <v>3853</v>
      </c>
      <c r="Q355" t="s">
        <v>3854</v>
      </c>
      <c r="R355" t="s">
        <v>3855</v>
      </c>
      <c r="S355" t="s">
        <v>3856</v>
      </c>
      <c r="T355" t="s">
        <v>3872</v>
      </c>
      <c r="U355">
        <v>2018</v>
      </c>
      <c r="V355">
        <v>38</v>
      </c>
      <c r="W355">
        <v>11</v>
      </c>
      <c r="X355" t="s">
        <v>7017</v>
      </c>
      <c r="Y355" t="str">
        <f>HYPERLINK("http://dx.doi.org/10.1002/joc.5559","http://dx.doi.org/10.1002/joc.5559")</f>
        <v>http://dx.doi.org/10.1002/joc.5559</v>
      </c>
      <c r="Z355" t="s">
        <v>3825</v>
      </c>
      <c r="AA355" t="s">
        <v>3826</v>
      </c>
      <c r="AB355" s="3">
        <v>45672</v>
      </c>
      <c r="AC355" t="s">
        <v>7018</v>
      </c>
      <c r="AD355" t="str">
        <f>HYPERLINK("https%3A%2F%2Fwww.webofscience.com%2Fwos%2Fwoscc%2Ffull-record%2FWOS:000443683600009","View Full Record in Web of Science")</f>
        <v>View Full Record in Web of Science</v>
      </c>
    </row>
    <row r="356" spans="1:30" x14ac:dyDescent="0.35">
      <c r="A356">
        <v>355</v>
      </c>
      <c r="B356" t="s">
        <v>3385</v>
      </c>
      <c r="C356" t="s">
        <v>7019</v>
      </c>
      <c r="D356" t="s">
        <v>3385</v>
      </c>
      <c r="E356" t="s">
        <v>2867</v>
      </c>
      <c r="F356" t="s">
        <v>3810</v>
      </c>
      <c r="G356" t="s">
        <v>7020</v>
      </c>
      <c r="H356" t="s">
        <v>7021</v>
      </c>
      <c r="I356" t="s">
        <v>7022</v>
      </c>
      <c r="J356" t="s">
        <v>7023</v>
      </c>
      <c r="K356" t="s">
        <v>7024</v>
      </c>
      <c r="L356">
        <v>8</v>
      </c>
      <c r="M356" t="s">
        <v>3866</v>
      </c>
      <c r="N356" t="s">
        <v>3817</v>
      </c>
      <c r="O356" t="s">
        <v>3867</v>
      </c>
      <c r="P356" t="s">
        <v>3868</v>
      </c>
      <c r="Q356" t="s">
        <v>3869</v>
      </c>
      <c r="R356" t="s">
        <v>3870</v>
      </c>
      <c r="S356" t="s">
        <v>3871</v>
      </c>
      <c r="T356" t="s">
        <v>3958</v>
      </c>
      <c r="U356">
        <v>2021</v>
      </c>
      <c r="V356">
        <v>57</v>
      </c>
      <c r="W356" t="s">
        <v>5232</v>
      </c>
      <c r="X356" t="s">
        <v>7025</v>
      </c>
      <c r="Y356" t="str">
        <f>HYPERLINK("http://dx.doi.org/10.1007/s00382-021-05833-6","http://dx.doi.org/10.1007/s00382-021-05833-6")</f>
        <v>http://dx.doi.org/10.1007/s00382-021-05833-6</v>
      </c>
      <c r="Z356" t="s">
        <v>3825</v>
      </c>
      <c r="AA356" t="s">
        <v>3826</v>
      </c>
      <c r="AB356" s="3">
        <v>45672</v>
      </c>
      <c r="AC356" t="s">
        <v>7026</v>
      </c>
      <c r="AD356" t="str">
        <f>HYPERLINK("https%3A%2F%2Fwww.webofscience.com%2Fwos%2Fwoscc%2Ffull-record%2FWOS:000658142800001","View Full Record in Web of Science")</f>
        <v>View Full Record in Web of Science</v>
      </c>
    </row>
    <row r="357" spans="1:30" x14ac:dyDescent="0.35">
      <c r="A357">
        <v>356</v>
      </c>
      <c r="B357" t="s">
        <v>3386</v>
      </c>
      <c r="C357" t="s">
        <v>1422</v>
      </c>
      <c r="D357" t="s">
        <v>3386</v>
      </c>
      <c r="E357" t="s">
        <v>2951</v>
      </c>
      <c r="F357" t="s">
        <v>3810</v>
      </c>
      <c r="G357" t="s">
        <v>7027</v>
      </c>
      <c r="H357" t="s">
        <v>7028</v>
      </c>
      <c r="I357" t="s">
        <v>7029</v>
      </c>
      <c r="K357" t="s">
        <v>3808</v>
      </c>
      <c r="L357">
        <v>0</v>
      </c>
      <c r="M357" t="s">
        <v>6159</v>
      </c>
      <c r="N357" t="s">
        <v>3952</v>
      </c>
      <c r="O357" t="s">
        <v>6160</v>
      </c>
      <c r="P357" t="s">
        <v>6161</v>
      </c>
      <c r="Q357" t="s">
        <v>6162</v>
      </c>
      <c r="R357" t="s">
        <v>6163</v>
      </c>
      <c r="S357" t="s">
        <v>6164</v>
      </c>
      <c r="T357" t="s">
        <v>3808</v>
      </c>
      <c r="U357">
        <v>2023</v>
      </c>
      <c r="V357">
        <v>9</v>
      </c>
      <c r="W357">
        <v>4</v>
      </c>
      <c r="X357" t="s">
        <v>7030</v>
      </c>
      <c r="Y357" t="str">
        <f>HYPERLINK("http://dx.doi.org/10.3233/JCC230028","http://dx.doi.org/10.3233/JCC230028")</f>
        <v>http://dx.doi.org/10.3233/JCC230028</v>
      </c>
      <c r="Z357" t="s">
        <v>3825</v>
      </c>
      <c r="AA357" t="s">
        <v>4117</v>
      </c>
      <c r="AB357" s="3">
        <v>45672</v>
      </c>
      <c r="AC357" t="s">
        <v>7031</v>
      </c>
      <c r="AD357" t="str">
        <f>HYPERLINK("https%3A%2F%2Fwww.webofscience.com%2Fwos%2Fwoscc%2Ffull-record%2FWOS:001138009100003","View Full Record in Web of Science")</f>
        <v>View Full Record in Web of Science</v>
      </c>
    </row>
    <row r="358" spans="1:30" x14ac:dyDescent="0.35">
      <c r="A358">
        <v>357</v>
      </c>
      <c r="B358" t="s">
        <v>3387</v>
      </c>
      <c r="C358" t="s">
        <v>7032</v>
      </c>
      <c r="D358" t="s">
        <v>3387</v>
      </c>
      <c r="E358" t="s">
        <v>2926</v>
      </c>
      <c r="F358" t="s">
        <v>3810</v>
      </c>
      <c r="G358" t="s">
        <v>7033</v>
      </c>
      <c r="H358" t="s">
        <v>7034</v>
      </c>
      <c r="I358" t="s">
        <v>7035</v>
      </c>
      <c r="J358" t="s">
        <v>7036</v>
      </c>
      <c r="K358" t="s">
        <v>7037</v>
      </c>
      <c r="L358">
        <v>0</v>
      </c>
      <c r="M358" t="s">
        <v>3951</v>
      </c>
      <c r="N358" t="s">
        <v>3952</v>
      </c>
      <c r="O358" t="s">
        <v>3953</v>
      </c>
      <c r="P358" t="s">
        <v>5029</v>
      </c>
      <c r="Q358" t="s">
        <v>3808</v>
      </c>
      <c r="R358" t="s">
        <v>5030</v>
      </c>
      <c r="S358" t="s">
        <v>5031</v>
      </c>
      <c r="T358" t="s">
        <v>7038</v>
      </c>
      <c r="U358">
        <v>2023</v>
      </c>
      <c r="V358">
        <v>96</v>
      </c>
      <c r="W358" t="s">
        <v>3808</v>
      </c>
      <c r="X358" t="s">
        <v>7039</v>
      </c>
      <c r="Y358" t="str">
        <f>HYPERLINK("http://dx.doi.org/10.1016/j.ijdrr.2023.103946","http://dx.doi.org/10.1016/j.ijdrr.2023.103946")</f>
        <v>http://dx.doi.org/10.1016/j.ijdrr.2023.103946</v>
      </c>
      <c r="Z358" t="s">
        <v>3934</v>
      </c>
      <c r="AA358" t="s">
        <v>3826</v>
      </c>
      <c r="AB358" s="3">
        <v>45672</v>
      </c>
      <c r="AC358" t="s">
        <v>7040</v>
      </c>
      <c r="AD358" t="str">
        <f>HYPERLINK("https%3A%2F%2Fwww.webofscience.com%2Fwos%2Fwoscc%2Ffull-record%2FWOS:001069377100001","View Full Record in Web of Science")</f>
        <v>View Full Record in Web of Science</v>
      </c>
    </row>
    <row r="359" spans="1:30" x14ac:dyDescent="0.35">
      <c r="A359">
        <v>358</v>
      </c>
      <c r="B359" t="s">
        <v>3388</v>
      </c>
      <c r="C359" t="s">
        <v>7041</v>
      </c>
      <c r="D359" t="s">
        <v>3388</v>
      </c>
      <c r="E359" t="s">
        <v>2926</v>
      </c>
      <c r="F359" t="s">
        <v>3810</v>
      </c>
      <c r="G359" t="s">
        <v>7042</v>
      </c>
      <c r="H359" t="s">
        <v>7043</v>
      </c>
      <c r="I359" t="s">
        <v>5026</v>
      </c>
      <c r="J359" t="s">
        <v>7044</v>
      </c>
      <c r="K359" t="s">
        <v>7045</v>
      </c>
      <c r="L359">
        <v>7</v>
      </c>
      <c r="M359" t="s">
        <v>3951</v>
      </c>
      <c r="N359" t="s">
        <v>3952</v>
      </c>
      <c r="O359" t="s">
        <v>3953</v>
      </c>
      <c r="P359" t="s">
        <v>5029</v>
      </c>
      <c r="Q359" t="s">
        <v>3808</v>
      </c>
      <c r="R359" t="s">
        <v>5030</v>
      </c>
      <c r="S359" t="s">
        <v>5031</v>
      </c>
      <c r="T359" t="s">
        <v>7038</v>
      </c>
      <c r="U359">
        <v>2022</v>
      </c>
      <c r="V359">
        <v>80</v>
      </c>
      <c r="W359" t="s">
        <v>3808</v>
      </c>
      <c r="X359" t="s">
        <v>7046</v>
      </c>
      <c r="Y359" t="str">
        <f>HYPERLINK("http://dx.doi.org/10.1016/j.ijdrr.2022.103241","http://dx.doi.org/10.1016/j.ijdrr.2022.103241")</f>
        <v>http://dx.doi.org/10.1016/j.ijdrr.2022.103241</v>
      </c>
      <c r="Z359" t="s">
        <v>3934</v>
      </c>
      <c r="AA359" t="s">
        <v>3826</v>
      </c>
      <c r="AB359" s="3">
        <v>45672</v>
      </c>
      <c r="AC359" t="s">
        <v>7047</v>
      </c>
      <c r="AD359" t="str">
        <f>HYPERLINK("https%3A%2F%2Fwww.webofscience.com%2Fwos%2Fwoscc%2Ffull-record%2FWOS:000877545700005","View Full Record in Web of Science")</f>
        <v>View Full Record in Web of Science</v>
      </c>
    </row>
    <row r="360" spans="1:30" x14ac:dyDescent="0.35">
      <c r="A360">
        <v>359</v>
      </c>
      <c r="B360" t="s">
        <v>3389</v>
      </c>
      <c r="C360" t="s">
        <v>7048</v>
      </c>
      <c r="D360" t="s">
        <v>3389</v>
      </c>
      <c r="E360" t="s">
        <v>2975</v>
      </c>
      <c r="F360" t="s">
        <v>3810</v>
      </c>
      <c r="G360" t="s">
        <v>7049</v>
      </c>
      <c r="H360" t="s">
        <v>7050</v>
      </c>
      <c r="I360" t="s">
        <v>7051</v>
      </c>
      <c r="J360" t="s">
        <v>7052</v>
      </c>
      <c r="K360" t="s">
        <v>7053</v>
      </c>
      <c r="L360">
        <v>26</v>
      </c>
      <c r="M360" t="s">
        <v>7054</v>
      </c>
      <c r="N360" t="s">
        <v>3912</v>
      </c>
      <c r="O360" t="s">
        <v>7055</v>
      </c>
      <c r="P360" t="s">
        <v>7056</v>
      </c>
      <c r="Q360" t="s">
        <v>3808</v>
      </c>
      <c r="R360" t="s">
        <v>7057</v>
      </c>
      <c r="S360" t="s">
        <v>7058</v>
      </c>
      <c r="T360" t="s">
        <v>3918</v>
      </c>
      <c r="U360">
        <v>2018</v>
      </c>
      <c r="V360">
        <v>2</v>
      </c>
      <c r="W360">
        <v>7</v>
      </c>
      <c r="X360" t="s">
        <v>7059</v>
      </c>
      <c r="Y360" t="str">
        <f>HYPERLINK("http://dx.doi.org/10.1021/acsearthspacechem.8b00018","http://dx.doi.org/10.1021/acsearthspacechem.8b00018")</f>
        <v>http://dx.doi.org/10.1021/acsearthspacechem.8b00018</v>
      </c>
      <c r="Z360" t="s">
        <v>7060</v>
      </c>
      <c r="AA360" t="s">
        <v>3826</v>
      </c>
      <c r="AB360" s="3">
        <v>45672</v>
      </c>
      <c r="AC360" t="s">
        <v>7061</v>
      </c>
      <c r="AD360" t="str">
        <f>HYPERLINK("https%3A%2F%2Fwww.webofscience.com%2Fwos%2Fwoscc%2Ffull-record%2FWOS:000439662900005","View Full Record in Web of Science")</f>
        <v>View Full Record in Web of Science</v>
      </c>
    </row>
    <row r="361" spans="1:30" x14ac:dyDescent="0.35">
      <c r="A361">
        <v>360</v>
      </c>
      <c r="B361" t="s">
        <v>3390</v>
      </c>
      <c r="C361" t="s">
        <v>7062</v>
      </c>
      <c r="D361" t="s">
        <v>3390</v>
      </c>
      <c r="E361" t="s">
        <v>2976</v>
      </c>
      <c r="F361" t="s">
        <v>3810</v>
      </c>
      <c r="G361" t="s">
        <v>7063</v>
      </c>
      <c r="H361" t="s">
        <v>7064</v>
      </c>
      <c r="I361" t="s">
        <v>7065</v>
      </c>
      <c r="J361" t="s">
        <v>7066</v>
      </c>
      <c r="K361" t="s">
        <v>7067</v>
      </c>
      <c r="L361">
        <v>23</v>
      </c>
      <c r="M361" t="s">
        <v>7068</v>
      </c>
      <c r="N361" t="s">
        <v>7069</v>
      </c>
      <c r="O361" t="s">
        <v>7070</v>
      </c>
      <c r="P361" t="s">
        <v>7071</v>
      </c>
      <c r="Q361" t="s">
        <v>3808</v>
      </c>
      <c r="R361" t="s">
        <v>2976</v>
      </c>
      <c r="S361" t="s">
        <v>4055</v>
      </c>
      <c r="T361" t="s">
        <v>4163</v>
      </c>
      <c r="U361">
        <v>2015</v>
      </c>
      <c r="V361">
        <v>28</v>
      </c>
      <c r="W361">
        <v>4</v>
      </c>
      <c r="X361" t="s">
        <v>7072</v>
      </c>
      <c r="Y361" t="str">
        <f>HYPERLINK("http://dx.doi.org/10.5670/oceanog.2015.77","http://dx.doi.org/10.5670/oceanog.2015.77")</f>
        <v>http://dx.doi.org/10.5670/oceanog.2015.77</v>
      </c>
      <c r="Z361" t="s">
        <v>4055</v>
      </c>
      <c r="AA361" t="s">
        <v>3826</v>
      </c>
      <c r="AB361" s="3">
        <v>45672</v>
      </c>
      <c r="AC361" t="s">
        <v>7073</v>
      </c>
      <c r="AD361" t="str">
        <f>HYPERLINK("https%3A%2F%2Fwww.webofscience.com%2Fwos%2Fwoscc%2Ffull-record%2FWOS:000368447000004","View Full Record in Web of Science")</f>
        <v>View Full Record in Web of Science</v>
      </c>
    </row>
    <row r="362" spans="1:30" x14ac:dyDescent="0.35">
      <c r="A362">
        <v>361</v>
      </c>
      <c r="B362" t="s">
        <v>3391</v>
      </c>
      <c r="C362" t="s">
        <v>7074</v>
      </c>
      <c r="D362" t="s">
        <v>3391</v>
      </c>
      <c r="E362" t="s">
        <v>2894</v>
      </c>
      <c r="F362" t="s">
        <v>3810</v>
      </c>
      <c r="G362" t="s">
        <v>7075</v>
      </c>
      <c r="H362" t="s">
        <v>7076</v>
      </c>
      <c r="I362" t="s">
        <v>7077</v>
      </c>
      <c r="J362" t="s">
        <v>7078</v>
      </c>
      <c r="K362" t="s">
        <v>7079</v>
      </c>
      <c r="L362">
        <v>21</v>
      </c>
      <c r="M362" t="s">
        <v>4252</v>
      </c>
      <c r="N362" t="s">
        <v>4253</v>
      </c>
      <c r="O362" t="s">
        <v>4254</v>
      </c>
      <c r="P362" t="s">
        <v>4255</v>
      </c>
      <c r="Q362" t="s">
        <v>4256</v>
      </c>
      <c r="R362" t="s">
        <v>4257</v>
      </c>
      <c r="S362" t="s">
        <v>4258</v>
      </c>
      <c r="T362" t="s">
        <v>4137</v>
      </c>
      <c r="U362">
        <v>2014</v>
      </c>
      <c r="V362">
        <v>117</v>
      </c>
      <c r="W362" t="s">
        <v>4268</v>
      </c>
      <c r="X362" t="s">
        <v>7080</v>
      </c>
      <c r="Y362" t="str">
        <f>HYPERLINK("http://dx.doi.org/10.1007/s00704-013-1026-6","http://dx.doi.org/10.1007/s00704-013-1026-6")</f>
        <v>http://dx.doi.org/10.1007/s00704-013-1026-6</v>
      </c>
      <c r="Z362" t="s">
        <v>3825</v>
      </c>
      <c r="AA362" t="s">
        <v>3826</v>
      </c>
      <c r="AB362" s="3">
        <v>45672</v>
      </c>
      <c r="AC362" t="s">
        <v>7081</v>
      </c>
      <c r="AD362" t="str">
        <f>HYPERLINK("https%3A%2F%2Fwww.webofscience.com%2Fwos%2Fwoscc%2Ffull-record%2FWOS:000339905000021","View Full Record in Web of Science")</f>
        <v>View Full Record in Web of Science</v>
      </c>
    </row>
    <row r="363" spans="1:30" x14ac:dyDescent="0.35">
      <c r="A363">
        <v>362</v>
      </c>
      <c r="B363" t="s">
        <v>3392</v>
      </c>
      <c r="C363" t="s">
        <v>7082</v>
      </c>
      <c r="D363" t="s">
        <v>3392</v>
      </c>
      <c r="E363" t="s">
        <v>2882</v>
      </c>
      <c r="F363" t="s">
        <v>3810</v>
      </c>
      <c r="G363" t="s">
        <v>7083</v>
      </c>
      <c r="H363" t="s">
        <v>7084</v>
      </c>
      <c r="I363" t="s">
        <v>7085</v>
      </c>
      <c r="J363" t="s">
        <v>7086</v>
      </c>
      <c r="K363" t="s">
        <v>7087</v>
      </c>
      <c r="L363">
        <v>24</v>
      </c>
      <c r="M363" t="s">
        <v>3850</v>
      </c>
      <c r="N363" t="s">
        <v>3851</v>
      </c>
      <c r="O363" t="s">
        <v>3852</v>
      </c>
      <c r="P363" t="s">
        <v>4088</v>
      </c>
      <c r="Q363" t="s">
        <v>4089</v>
      </c>
      <c r="R363" t="s">
        <v>4090</v>
      </c>
      <c r="S363" t="s">
        <v>4091</v>
      </c>
      <c r="T363" t="s">
        <v>4001</v>
      </c>
      <c r="U363">
        <v>2020</v>
      </c>
      <c r="V363">
        <v>146</v>
      </c>
      <c r="W363">
        <v>727</v>
      </c>
      <c r="X363" t="s">
        <v>7088</v>
      </c>
      <c r="Y363" t="str">
        <f>HYPERLINK("http://dx.doi.org/10.1002/qj.3694","http://dx.doi.org/10.1002/qj.3694")</f>
        <v>http://dx.doi.org/10.1002/qj.3694</v>
      </c>
      <c r="Z363" t="s">
        <v>3825</v>
      </c>
      <c r="AA363" t="s">
        <v>3826</v>
      </c>
      <c r="AB363" s="3">
        <v>45672</v>
      </c>
      <c r="AC363" t="s">
        <v>7089</v>
      </c>
      <c r="AD363" t="str">
        <f>HYPERLINK("https%3A%2F%2Fwww.webofscience.com%2Fwos%2Fwoscc%2Ffull-record%2FWOS:000503017300001","View Full Record in Web of Science")</f>
        <v>View Full Record in Web of Science</v>
      </c>
    </row>
    <row r="364" spans="1:30" x14ac:dyDescent="0.35">
      <c r="A364">
        <v>363</v>
      </c>
      <c r="B364" t="s">
        <v>3393</v>
      </c>
      <c r="C364" t="s">
        <v>7090</v>
      </c>
      <c r="D364" t="s">
        <v>3393</v>
      </c>
      <c r="E364" t="s">
        <v>2904</v>
      </c>
      <c r="F364" t="s">
        <v>3810</v>
      </c>
      <c r="G364" t="s">
        <v>7091</v>
      </c>
      <c r="H364" t="s">
        <v>7092</v>
      </c>
      <c r="I364" t="s">
        <v>7093</v>
      </c>
      <c r="K364" t="s">
        <v>3808</v>
      </c>
      <c r="L364">
        <v>41</v>
      </c>
      <c r="M364" t="s">
        <v>4406</v>
      </c>
      <c r="N364" t="s">
        <v>3835</v>
      </c>
      <c r="O364" t="s">
        <v>4407</v>
      </c>
      <c r="P364" t="s">
        <v>4439</v>
      </c>
      <c r="Q364" t="s">
        <v>3808</v>
      </c>
      <c r="R364" t="s">
        <v>4440</v>
      </c>
      <c r="S364" t="s">
        <v>4441</v>
      </c>
      <c r="T364" t="s">
        <v>6863</v>
      </c>
      <c r="U364">
        <v>2014</v>
      </c>
      <c r="V364">
        <v>66</v>
      </c>
      <c r="W364" t="s">
        <v>3808</v>
      </c>
      <c r="X364" t="s">
        <v>7094</v>
      </c>
      <c r="Y364" t="str">
        <f>HYPERLINK("http://dx.doi.org/10.1186/1880-5981-66-17","http://dx.doi.org/10.1186/1880-5981-66-17")</f>
        <v>http://dx.doi.org/10.1186/1880-5981-66-17</v>
      </c>
      <c r="Z364" t="s">
        <v>4116</v>
      </c>
      <c r="AA364" t="s">
        <v>3826</v>
      </c>
      <c r="AB364" s="3">
        <v>45672</v>
      </c>
      <c r="AC364" t="s">
        <v>7095</v>
      </c>
      <c r="AD364" t="str">
        <f>HYPERLINK("https%3A%2F%2Fwww.webofscience.com%2Fwos%2Fwoscc%2Ffull-record%2FWOS:000338137400004","View Full Record in Web of Science")</f>
        <v>View Full Record in Web of Science</v>
      </c>
    </row>
    <row r="365" spans="1:30" x14ac:dyDescent="0.35">
      <c r="A365">
        <v>364</v>
      </c>
      <c r="B365" t="s">
        <v>3394</v>
      </c>
      <c r="C365" t="s">
        <v>7096</v>
      </c>
      <c r="D365" t="s">
        <v>3394</v>
      </c>
      <c r="E365" t="s">
        <v>2862</v>
      </c>
      <c r="F365" t="s">
        <v>3810</v>
      </c>
      <c r="G365" t="s">
        <v>7097</v>
      </c>
      <c r="H365" t="s">
        <v>7098</v>
      </c>
      <c r="I365" t="s">
        <v>7099</v>
      </c>
      <c r="J365" t="s">
        <v>7100</v>
      </c>
      <c r="K365" t="s">
        <v>7101</v>
      </c>
      <c r="L365">
        <v>95</v>
      </c>
      <c r="M365" t="s">
        <v>3816</v>
      </c>
      <c r="N365" t="s">
        <v>3817</v>
      </c>
      <c r="O365" t="s">
        <v>3818</v>
      </c>
      <c r="P365" t="s">
        <v>3819</v>
      </c>
      <c r="Q365" t="s">
        <v>3820</v>
      </c>
      <c r="R365" t="s">
        <v>3821</v>
      </c>
      <c r="S365" t="s">
        <v>3822</v>
      </c>
      <c r="T365" t="s">
        <v>4659</v>
      </c>
      <c r="U365">
        <v>2021</v>
      </c>
      <c r="V365">
        <v>247</v>
      </c>
      <c r="W365" t="s">
        <v>3808</v>
      </c>
      <c r="X365" t="s">
        <v>7102</v>
      </c>
      <c r="Y365" t="str">
        <f>HYPERLINK("http://dx.doi.org/10.1016/j.atmosres.2020.105134","http://dx.doi.org/10.1016/j.atmosres.2020.105134")</f>
        <v>http://dx.doi.org/10.1016/j.atmosres.2020.105134</v>
      </c>
      <c r="Z365" t="s">
        <v>3825</v>
      </c>
      <c r="AA365" t="s">
        <v>3826</v>
      </c>
      <c r="AB365" s="3">
        <v>45672</v>
      </c>
      <c r="AC365" t="s">
        <v>7103</v>
      </c>
      <c r="AD365" t="str">
        <f>HYPERLINK("https%3A%2F%2Fwww.webofscience.com%2Fwos%2Fwoscc%2Ffull-record%2FWOS:000586020600002","View Full Record in Web of Science")</f>
        <v>View Full Record in Web of Science</v>
      </c>
    </row>
    <row r="366" spans="1:30" x14ac:dyDescent="0.35">
      <c r="A366">
        <v>365</v>
      </c>
      <c r="B366" t="s">
        <v>3395</v>
      </c>
      <c r="C366" t="s">
        <v>7104</v>
      </c>
      <c r="D366" t="s">
        <v>3395</v>
      </c>
      <c r="E366" t="s">
        <v>2914</v>
      </c>
      <c r="F366" t="s">
        <v>3810</v>
      </c>
      <c r="G366" t="s">
        <v>7105</v>
      </c>
      <c r="H366" t="s">
        <v>7106</v>
      </c>
      <c r="I366" t="s">
        <v>7107</v>
      </c>
      <c r="J366" t="s">
        <v>7108</v>
      </c>
      <c r="K366" t="s">
        <v>7109</v>
      </c>
      <c r="L366">
        <v>14</v>
      </c>
      <c r="M366" t="s">
        <v>4211</v>
      </c>
      <c r="N366" t="s">
        <v>3952</v>
      </c>
      <c r="O366" t="s">
        <v>4212</v>
      </c>
      <c r="P366" t="s">
        <v>4701</v>
      </c>
      <c r="Q366" t="s">
        <v>4702</v>
      </c>
      <c r="R366" t="s">
        <v>4703</v>
      </c>
      <c r="S366" t="s">
        <v>4704</v>
      </c>
      <c r="T366" t="s">
        <v>7038</v>
      </c>
      <c r="U366">
        <v>2017</v>
      </c>
      <c r="V366">
        <v>392</v>
      </c>
      <c r="W366" t="s">
        <v>3808</v>
      </c>
      <c r="X366" t="s">
        <v>7110</v>
      </c>
      <c r="Y366" t="str">
        <f>HYPERLINK("http://dx.doi.org/10.1016/j.margeo.2017.07.012","http://dx.doi.org/10.1016/j.margeo.2017.07.012")</f>
        <v>http://dx.doi.org/10.1016/j.margeo.2017.07.012</v>
      </c>
      <c r="Z366" t="s">
        <v>4707</v>
      </c>
      <c r="AA366" t="s">
        <v>3826</v>
      </c>
      <c r="AB366" s="3">
        <v>45672</v>
      </c>
      <c r="AC366" t="s">
        <v>7111</v>
      </c>
      <c r="AD366" t="str">
        <f>HYPERLINK("https%3A%2F%2Fwww.webofscience.com%2Fwos%2Fwoscc%2Ffull-record%2FWOS:000413279600007","View Full Record in Web of Science")</f>
        <v>View Full Record in Web of Science</v>
      </c>
    </row>
    <row r="367" spans="1:30" x14ac:dyDescent="0.35">
      <c r="A367">
        <v>366</v>
      </c>
      <c r="B367" t="s">
        <v>3396</v>
      </c>
      <c r="C367" t="s">
        <v>1467</v>
      </c>
      <c r="D367" t="s">
        <v>3396</v>
      </c>
      <c r="E367" t="s">
        <v>2952</v>
      </c>
      <c r="F367" t="s">
        <v>3810</v>
      </c>
      <c r="G367" t="s">
        <v>7112</v>
      </c>
      <c r="H367" t="s">
        <v>7113</v>
      </c>
      <c r="I367" t="s">
        <v>7114</v>
      </c>
      <c r="J367" t="s">
        <v>7114</v>
      </c>
      <c r="K367" t="s">
        <v>7115</v>
      </c>
      <c r="L367">
        <v>4</v>
      </c>
      <c r="M367" t="s">
        <v>4339</v>
      </c>
      <c r="N367" t="s">
        <v>4340</v>
      </c>
      <c r="O367" t="s">
        <v>4341</v>
      </c>
      <c r="P367" t="s">
        <v>6187</v>
      </c>
      <c r="Q367" t="s">
        <v>6188</v>
      </c>
      <c r="R367" t="s">
        <v>6189</v>
      </c>
      <c r="S367" t="s">
        <v>6190</v>
      </c>
      <c r="T367" t="s">
        <v>4154</v>
      </c>
      <c r="U367">
        <v>2023</v>
      </c>
      <c r="V367">
        <v>19</v>
      </c>
      <c r="W367">
        <v>2</v>
      </c>
      <c r="X367" t="s">
        <v>7116</v>
      </c>
      <c r="Y367" t="str">
        <f>HYPERLINK("http://dx.doi.org/10.5194/os-19-335-2023","http://dx.doi.org/10.5194/os-19-335-2023")</f>
        <v>http://dx.doi.org/10.5194/os-19-335-2023</v>
      </c>
      <c r="Z367" t="s">
        <v>6193</v>
      </c>
      <c r="AA367" t="s">
        <v>3826</v>
      </c>
      <c r="AB367" s="3">
        <v>45672</v>
      </c>
      <c r="AC367" t="s">
        <v>7117</v>
      </c>
      <c r="AD367" t="str">
        <f>HYPERLINK("https%3A%2F%2Fwww.webofscience.com%2Fwos%2Fwoscc%2Ffull-record%2FWOS:000960653100001","View Full Record in Web of Science")</f>
        <v>View Full Record in Web of Science</v>
      </c>
    </row>
    <row r="368" spans="1:30" x14ac:dyDescent="0.35">
      <c r="A368">
        <v>367</v>
      </c>
      <c r="B368" t="s">
        <v>3397</v>
      </c>
      <c r="C368" t="s">
        <v>7118</v>
      </c>
      <c r="D368" t="s">
        <v>3397</v>
      </c>
      <c r="E368" t="s">
        <v>2912</v>
      </c>
      <c r="F368" t="s">
        <v>3810</v>
      </c>
      <c r="G368" t="s">
        <v>7119</v>
      </c>
      <c r="H368" t="s">
        <v>7120</v>
      </c>
      <c r="I368" t="s">
        <v>7121</v>
      </c>
      <c r="J368" t="s">
        <v>7122</v>
      </c>
      <c r="K368" t="s">
        <v>7123</v>
      </c>
      <c r="L368">
        <v>11</v>
      </c>
      <c r="M368" t="s">
        <v>4033</v>
      </c>
      <c r="N368" t="s">
        <v>4034</v>
      </c>
      <c r="O368" t="s">
        <v>4035</v>
      </c>
      <c r="P368" t="s">
        <v>4665</v>
      </c>
      <c r="Q368" t="s">
        <v>4666</v>
      </c>
      <c r="R368" t="s">
        <v>4667</v>
      </c>
      <c r="S368" t="s">
        <v>4668</v>
      </c>
      <c r="T368" t="s">
        <v>4001</v>
      </c>
      <c r="U368">
        <v>2021</v>
      </c>
      <c r="V368">
        <v>60</v>
      </c>
      <c r="W368">
        <v>1</v>
      </c>
      <c r="X368" t="s">
        <v>7124</v>
      </c>
      <c r="Y368" t="str">
        <f>HYPERLINK("http://dx.doi.org/10.1175/JAMC-D-20-0077.1","http://dx.doi.org/10.1175/JAMC-D-20-0077.1")</f>
        <v>http://dx.doi.org/10.1175/JAMC-D-20-0077.1</v>
      </c>
      <c r="Z368" t="s">
        <v>3825</v>
      </c>
      <c r="AA368" t="s">
        <v>3826</v>
      </c>
      <c r="AB368" s="3">
        <v>45672</v>
      </c>
      <c r="AC368" t="s">
        <v>7125</v>
      </c>
      <c r="AD368" t="str">
        <f>HYPERLINK("https%3A%2F%2Fwww.webofscience.com%2Fwos%2Fwoscc%2Ffull-record%2FWOS:000646370700004","View Full Record in Web of Science")</f>
        <v>View Full Record in Web of Science</v>
      </c>
    </row>
    <row r="369" spans="1:30" x14ac:dyDescent="0.35">
      <c r="A369">
        <v>368</v>
      </c>
      <c r="B369" t="s">
        <v>3398</v>
      </c>
      <c r="C369" t="s">
        <v>7126</v>
      </c>
      <c r="D369" t="s">
        <v>3398</v>
      </c>
      <c r="E369" t="s">
        <v>2866</v>
      </c>
      <c r="F369" t="s">
        <v>3810</v>
      </c>
      <c r="G369" t="s">
        <v>7127</v>
      </c>
      <c r="H369" t="s">
        <v>7128</v>
      </c>
      <c r="I369" t="s">
        <v>5723</v>
      </c>
      <c r="J369" t="s">
        <v>7129</v>
      </c>
      <c r="K369" t="s">
        <v>7130</v>
      </c>
      <c r="L369">
        <v>0</v>
      </c>
      <c r="M369" t="s">
        <v>3850</v>
      </c>
      <c r="N369" t="s">
        <v>3851</v>
      </c>
      <c r="O369" t="s">
        <v>3852</v>
      </c>
      <c r="P369" t="s">
        <v>3853</v>
      </c>
      <c r="Q369" t="s">
        <v>3854</v>
      </c>
      <c r="R369" t="s">
        <v>3855</v>
      </c>
      <c r="S369" t="s">
        <v>3856</v>
      </c>
      <c r="T369" t="s">
        <v>4424</v>
      </c>
      <c r="U369">
        <v>2023</v>
      </c>
      <c r="V369">
        <v>43</v>
      </c>
      <c r="W369">
        <v>14</v>
      </c>
      <c r="X369" t="s">
        <v>7131</v>
      </c>
      <c r="Y369" t="str">
        <f>HYPERLINK("http://dx.doi.org/10.1002/joc.8227","http://dx.doi.org/10.1002/joc.8227")</f>
        <v>http://dx.doi.org/10.1002/joc.8227</v>
      </c>
      <c r="Z369" t="s">
        <v>3825</v>
      </c>
      <c r="AA369" t="s">
        <v>3826</v>
      </c>
      <c r="AB369" s="3">
        <v>45672</v>
      </c>
      <c r="AC369" t="s">
        <v>7132</v>
      </c>
      <c r="AD369" t="str">
        <f>HYPERLINK("https%3A%2F%2Fwww.webofscience.com%2Fwos%2Fwoscc%2Ffull-record%2FWOS:001069652700001","View Full Record in Web of Science")</f>
        <v>View Full Record in Web of Science</v>
      </c>
    </row>
    <row r="370" spans="1:30" x14ac:dyDescent="0.35">
      <c r="A370">
        <v>369</v>
      </c>
      <c r="B370" t="s">
        <v>3399</v>
      </c>
      <c r="C370" t="s">
        <v>7133</v>
      </c>
      <c r="D370" t="s">
        <v>3399</v>
      </c>
      <c r="E370" t="s">
        <v>2942</v>
      </c>
      <c r="F370" t="s">
        <v>3810</v>
      </c>
      <c r="G370" t="s">
        <v>7134</v>
      </c>
      <c r="H370" t="s">
        <v>7135</v>
      </c>
      <c r="I370" t="s">
        <v>7136</v>
      </c>
      <c r="J370" t="s">
        <v>7137</v>
      </c>
      <c r="K370" t="s">
        <v>7138</v>
      </c>
      <c r="L370">
        <v>1</v>
      </c>
      <c r="M370" t="s">
        <v>5554</v>
      </c>
      <c r="N370" t="s">
        <v>4378</v>
      </c>
      <c r="O370" t="s">
        <v>5555</v>
      </c>
      <c r="P370" t="s">
        <v>5556</v>
      </c>
      <c r="Q370" t="s">
        <v>5557</v>
      </c>
      <c r="R370" t="s">
        <v>5558</v>
      </c>
      <c r="S370" t="s">
        <v>5559</v>
      </c>
      <c r="T370" t="s">
        <v>4016</v>
      </c>
      <c r="U370">
        <v>2022</v>
      </c>
      <c r="V370">
        <v>17</v>
      </c>
      <c r="W370">
        <v>6</v>
      </c>
      <c r="X370" t="s">
        <v>7139</v>
      </c>
      <c r="Y370" t="str">
        <f>HYPERLINK("http://dx.doi.org/10.20965/jdr.2022.p0864","http://dx.doi.org/10.20965/jdr.2022.p0864")</f>
        <v>http://dx.doi.org/10.20965/jdr.2022.p0864</v>
      </c>
      <c r="Z370" t="s">
        <v>4116</v>
      </c>
      <c r="AA370" t="s">
        <v>4117</v>
      </c>
      <c r="AB370" s="3">
        <v>45672</v>
      </c>
      <c r="AC370" t="s">
        <v>7140</v>
      </c>
      <c r="AD370" t="str">
        <f>HYPERLINK("https%3A%2F%2Fwww.webofscience.com%2Fwos%2Fwoscc%2Ffull-record%2FWOS:000869454500004","View Full Record in Web of Science")</f>
        <v>View Full Record in Web of Science</v>
      </c>
    </row>
    <row r="371" spans="1:30" x14ac:dyDescent="0.35">
      <c r="A371">
        <v>370</v>
      </c>
      <c r="B371" t="s">
        <v>3400</v>
      </c>
      <c r="C371" t="s">
        <v>7141</v>
      </c>
      <c r="D371" t="s">
        <v>3400</v>
      </c>
      <c r="E371" t="s">
        <v>2926</v>
      </c>
      <c r="F371" t="s">
        <v>3810</v>
      </c>
      <c r="G371" t="s">
        <v>7142</v>
      </c>
      <c r="H371" t="s">
        <v>7143</v>
      </c>
      <c r="I371" t="s">
        <v>7144</v>
      </c>
      <c r="K371" t="s">
        <v>3808</v>
      </c>
      <c r="L371">
        <v>3</v>
      </c>
      <c r="M371" t="s">
        <v>3951</v>
      </c>
      <c r="N371" t="s">
        <v>3952</v>
      </c>
      <c r="O371" t="s">
        <v>3953</v>
      </c>
      <c r="P371" t="s">
        <v>5029</v>
      </c>
      <c r="Q371" t="s">
        <v>3808</v>
      </c>
      <c r="R371" t="s">
        <v>5030</v>
      </c>
      <c r="S371" t="s">
        <v>5031</v>
      </c>
      <c r="T371" t="s">
        <v>6876</v>
      </c>
      <c r="U371">
        <v>2023</v>
      </c>
      <c r="V371">
        <v>88</v>
      </c>
      <c r="W371" t="s">
        <v>3808</v>
      </c>
      <c r="X371" t="s">
        <v>7145</v>
      </c>
      <c r="Y371" t="str">
        <f>HYPERLINK("http://dx.doi.org/10.1016/j.ijdrr.2023.103615","http://dx.doi.org/10.1016/j.ijdrr.2023.103615")</f>
        <v>http://dx.doi.org/10.1016/j.ijdrr.2023.103615</v>
      </c>
      <c r="Z371" t="s">
        <v>3934</v>
      </c>
      <c r="AA371" t="s">
        <v>3826</v>
      </c>
      <c r="AB371" s="3">
        <v>45672</v>
      </c>
      <c r="AC371" t="s">
        <v>7146</v>
      </c>
      <c r="AD371" t="str">
        <f>HYPERLINK("https%3A%2F%2Fwww.webofscience.com%2Fwos%2Fwoscc%2Ffull-record%2FWOS:000951895700001","View Full Record in Web of Science")</f>
        <v>View Full Record in Web of Science</v>
      </c>
    </row>
    <row r="372" spans="1:30" x14ac:dyDescent="0.35">
      <c r="A372">
        <v>371</v>
      </c>
      <c r="B372" t="s">
        <v>3401</v>
      </c>
      <c r="C372" t="s">
        <v>7147</v>
      </c>
      <c r="D372" t="s">
        <v>3401</v>
      </c>
      <c r="E372" t="s">
        <v>2900</v>
      </c>
      <c r="F372" t="s">
        <v>3810</v>
      </c>
      <c r="G372" t="s">
        <v>7148</v>
      </c>
      <c r="H372" t="s">
        <v>7149</v>
      </c>
      <c r="I372" t="s">
        <v>7150</v>
      </c>
      <c r="J372" t="s">
        <v>7151</v>
      </c>
      <c r="K372" t="s">
        <v>7152</v>
      </c>
      <c r="L372">
        <v>8</v>
      </c>
      <c r="M372" t="s">
        <v>4339</v>
      </c>
      <c r="N372" t="s">
        <v>4340</v>
      </c>
      <c r="O372" t="s">
        <v>4341</v>
      </c>
      <c r="P372" t="s">
        <v>4342</v>
      </c>
      <c r="Q372" t="s">
        <v>4343</v>
      </c>
      <c r="R372" t="s">
        <v>4344</v>
      </c>
      <c r="S372" t="s">
        <v>4345</v>
      </c>
      <c r="T372" t="s">
        <v>7153</v>
      </c>
      <c r="U372">
        <v>2022</v>
      </c>
      <c r="V372">
        <v>22</v>
      </c>
      <c r="W372">
        <v>10</v>
      </c>
      <c r="X372" t="s">
        <v>7154</v>
      </c>
      <c r="Y372" t="str">
        <f>HYPERLINK("http://dx.doi.org/10.5194/nhess-22-3285-2022","http://dx.doi.org/10.5194/nhess-22-3285-2022")</f>
        <v>http://dx.doi.org/10.5194/nhess-22-3285-2022</v>
      </c>
      <c r="Z372" t="s">
        <v>3934</v>
      </c>
      <c r="AA372" t="s">
        <v>3826</v>
      </c>
      <c r="AB372" s="3">
        <v>45672</v>
      </c>
      <c r="AC372" t="s">
        <v>7155</v>
      </c>
      <c r="AD372" t="str">
        <f>HYPERLINK("https%3A%2F%2Fwww.webofscience.com%2Fwos%2Fwoscc%2Ffull-record%2FWOS:000866155800001","View Full Record in Web of Science")</f>
        <v>View Full Record in Web of Science</v>
      </c>
    </row>
    <row r="373" spans="1:30" x14ac:dyDescent="0.35">
      <c r="A373">
        <v>372</v>
      </c>
      <c r="B373" t="s">
        <v>3402</v>
      </c>
      <c r="C373" t="s">
        <v>7156</v>
      </c>
      <c r="D373" t="s">
        <v>3402</v>
      </c>
      <c r="E373" t="s">
        <v>2977</v>
      </c>
      <c r="F373" t="s">
        <v>3810</v>
      </c>
      <c r="G373" t="s">
        <v>7157</v>
      </c>
      <c r="H373" t="s">
        <v>7158</v>
      </c>
      <c r="I373" t="s">
        <v>7159</v>
      </c>
      <c r="J373" t="s">
        <v>7160</v>
      </c>
      <c r="K373" t="s">
        <v>7161</v>
      </c>
      <c r="L373">
        <v>36</v>
      </c>
      <c r="M373" t="s">
        <v>4046</v>
      </c>
      <c r="N373" t="s">
        <v>4047</v>
      </c>
      <c r="O373" t="s">
        <v>4048</v>
      </c>
      <c r="P373" t="s">
        <v>7162</v>
      </c>
      <c r="Q373" t="s">
        <v>7163</v>
      </c>
      <c r="R373" t="s">
        <v>7164</v>
      </c>
      <c r="S373" t="s">
        <v>7165</v>
      </c>
      <c r="T373" t="s">
        <v>4053</v>
      </c>
      <c r="U373">
        <v>2017</v>
      </c>
      <c r="V373">
        <v>169</v>
      </c>
      <c r="W373" t="s">
        <v>3808</v>
      </c>
      <c r="X373" t="s">
        <v>7166</v>
      </c>
      <c r="Y373" t="str">
        <f>HYPERLINK("http://dx.doi.org/10.1016/j.quascirev.2017.05.026","http://dx.doi.org/10.1016/j.quascirev.2017.05.026")</f>
        <v>http://dx.doi.org/10.1016/j.quascirev.2017.05.026</v>
      </c>
      <c r="Z373" t="s">
        <v>4203</v>
      </c>
      <c r="AA373" t="s">
        <v>3826</v>
      </c>
      <c r="AB373" s="3">
        <v>45672</v>
      </c>
      <c r="AC373" t="s">
        <v>7167</v>
      </c>
      <c r="AD373" t="str">
        <f>HYPERLINK("https%3A%2F%2Fwww.webofscience.com%2Fwos%2Fwoscc%2Ffull-record%2FWOS:000405154100011","View Full Record in Web of Science")</f>
        <v>View Full Record in Web of Science</v>
      </c>
    </row>
    <row r="374" spans="1:30" x14ac:dyDescent="0.35">
      <c r="A374">
        <v>373</v>
      </c>
      <c r="B374" t="s">
        <v>3403</v>
      </c>
      <c r="C374" t="s">
        <v>7168</v>
      </c>
      <c r="D374" t="s">
        <v>3403</v>
      </c>
      <c r="E374" t="s">
        <v>2928</v>
      </c>
      <c r="F374" t="s">
        <v>3810</v>
      </c>
      <c r="G374" t="s">
        <v>7169</v>
      </c>
      <c r="H374" t="s">
        <v>7170</v>
      </c>
      <c r="I374" t="s">
        <v>7171</v>
      </c>
      <c r="J374" t="s">
        <v>7172</v>
      </c>
      <c r="K374" t="s">
        <v>7173</v>
      </c>
      <c r="L374">
        <v>0</v>
      </c>
      <c r="M374" t="s">
        <v>3911</v>
      </c>
      <c r="N374" t="s">
        <v>3912</v>
      </c>
      <c r="O374" t="s">
        <v>3913</v>
      </c>
      <c r="P374" t="s">
        <v>5129</v>
      </c>
      <c r="Q374" t="s">
        <v>5130</v>
      </c>
      <c r="R374" t="s">
        <v>5131</v>
      </c>
      <c r="S374" t="s">
        <v>5132</v>
      </c>
      <c r="T374" t="s">
        <v>7174</v>
      </c>
      <c r="U374">
        <v>2023</v>
      </c>
      <c r="V374">
        <v>128</v>
      </c>
      <c r="W374">
        <v>17</v>
      </c>
      <c r="X374" t="s">
        <v>7175</v>
      </c>
      <c r="Y374" t="str">
        <f>HYPERLINK("http://dx.doi.org/10.1029/2023JD038817","http://dx.doi.org/10.1029/2023JD038817")</f>
        <v>http://dx.doi.org/10.1029/2023JD038817</v>
      </c>
      <c r="Z374" t="s">
        <v>3825</v>
      </c>
      <c r="AA374" t="s">
        <v>3826</v>
      </c>
      <c r="AB374" s="3">
        <v>45672</v>
      </c>
      <c r="AC374" t="s">
        <v>7176</v>
      </c>
      <c r="AD374" t="str">
        <f>HYPERLINK("https%3A%2F%2Fwww.webofscience.com%2Fwos%2Fwoscc%2Ffull-record%2FWOS:001059163400001","View Full Record in Web of Science")</f>
        <v>View Full Record in Web of Science</v>
      </c>
    </row>
    <row r="375" spans="1:30" x14ac:dyDescent="0.35">
      <c r="A375">
        <v>374</v>
      </c>
      <c r="B375" t="s">
        <v>3404</v>
      </c>
      <c r="C375" t="s">
        <v>7177</v>
      </c>
      <c r="D375" t="s">
        <v>3404</v>
      </c>
      <c r="E375" t="s">
        <v>2862</v>
      </c>
      <c r="F375" t="s">
        <v>3810</v>
      </c>
      <c r="G375" t="s">
        <v>7178</v>
      </c>
      <c r="H375" t="s">
        <v>7179</v>
      </c>
      <c r="I375" t="s">
        <v>7180</v>
      </c>
      <c r="J375" t="s">
        <v>4301</v>
      </c>
      <c r="K375" t="s">
        <v>7181</v>
      </c>
      <c r="L375">
        <v>136</v>
      </c>
      <c r="M375" t="s">
        <v>3816</v>
      </c>
      <c r="N375" t="s">
        <v>3817</v>
      </c>
      <c r="O375" t="s">
        <v>3818</v>
      </c>
      <c r="P375" t="s">
        <v>3819</v>
      </c>
      <c r="Q375" t="s">
        <v>3820</v>
      </c>
      <c r="R375" t="s">
        <v>3821</v>
      </c>
      <c r="S375" t="s">
        <v>3822</v>
      </c>
      <c r="T375" t="s">
        <v>6634</v>
      </c>
      <c r="U375">
        <v>2017</v>
      </c>
      <c r="V375">
        <v>189</v>
      </c>
      <c r="W375" t="s">
        <v>3808</v>
      </c>
      <c r="X375" t="s">
        <v>7182</v>
      </c>
      <c r="Y375" t="str">
        <f>HYPERLINK("http://dx.doi.org/10.1016/j.atmosres.2017.01.008","http://dx.doi.org/10.1016/j.atmosres.2017.01.008")</f>
        <v>http://dx.doi.org/10.1016/j.atmosres.2017.01.008</v>
      </c>
      <c r="Z375" t="s">
        <v>3825</v>
      </c>
      <c r="AA375" t="s">
        <v>3826</v>
      </c>
      <c r="AB375" s="3">
        <v>45672</v>
      </c>
      <c r="AC375" t="s">
        <v>7183</v>
      </c>
      <c r="AD375" t="str">
        <f>HYPERLINK("https%3A%2F%2Fwww.webofscience.com%2Fwos%2Fwoscc%2Ffull-record%2FWOS:000398007400001","View Full Record in Web of Science")</f>
        <v>View Full Record in Web of Science</v>
      </c>
    </row>
    <row r="376" spans="1:30" x14ac:dyDescent="0.35">
      <c r="A376">
        <v>375</v>
      </c>
      <c r="B376" t="s">
        <v>3405</v>
      </c>
      <c r="C376" t="s">
        <v>7184</v>
      </c>
      <c r="D376" t="s">
        <v>3405</v>
      </c>
      <c r="E376" t="s">
        <v>2871</v>
      </c>
      <c r="F376" t="s">
        <v>3810</v>
      </c>
      <c r="G376" t="s">
        <v>7185</v>
      </c>
      <c r="H376" t="s">
        <v>7186</v>
      </c>
      <c r="I376" t="s">
        <v>7187</v>
      </c>
      <c r="J376" t="s">
        <v>7188</v>
      </c>
      <c r="K376" t="s">
        <v>7189</v>
      </c>
      <c r="L376">
        <v>3</v>
      </c>
      <c r="M376" t="s">
        <v>3866</v>
      </c>
      <c r="N376" t="s">
        <v>3817</v>
      </c>
      <c r="O376" t="s">
        <v>3867</v>
      </c>
      <c r="P376" t="s">
        <v>3928</v>
      </c>
      <c r="Q376" t="s">
        <v>3929</v>
      </c>
      <c r="R376" t="s">
        <v>3930</v>
      </c>
      <c r="S376" t="s">
        <v>3931</v>
      </c>
      <c r="T376" t="s">
        <v>3872</v>
      </c>
      <c r="U376">
        <v>2022</v>
      </c>
      <c r="V376">
        <v>113</v>
      </c>
      <c r="W376">
        <v>2</v>
      </c>
      <c r="X376" t="s">
        <v>7190</v>
      </c>
      <c r="Y376" t="str">
        <f>HYPERLINK("http://dx.doi.org/10.1007/s11069-022-05346-3","http://dx.doi.org/10.1007/s11069-022-05346-3")</f>
        <v>http://dx.doi.org/10.1007/s11069-022-05346-3</v>
      </c>
      <c r="Z376" t="s">
        <v>3934</v>
      </c>
      <c r="AA376" t="s">
        <v>3826</v>
      </c>
      <c r="AB376" s="3">
        <v>45672</v>
      </c>
      <c r="AC376" t="s">
        <v>7191</v>
      </c>
      <c r="AD376" t="str">
        <f>HYPERLINK("https%3A%2F%2Fwww.webofscience.com%2Fwos%2Fwoscc%2Ffull-record%2FWOS:000785901400001","View Full Record in Web of Science")</f>
        <v>View Full Record in Web of Science</v>
      </c>
    </row>
    <row r="377" spans="1:30" x14ac:dyDescent="0.35">
      <c r="A377">
        <v>376</v>
      </c>
      <c r="B377" t="s">
        <v>3406</v>
      </c>
      <c r="C377" t="s">
        <v>7192</v>
      </c>
      <c r="D377" t="s">
        <v>3406</v>
      </c>
      <c r="E377" t="s">
        <v>2872</v>
      </c>
      <c r="F377" t="s">
        <v>3810</v>
      </c>
      <c r="G377" t="s">
        <v>7193</v>
      </c>
      <c r="H377" t="s">
        <v>7194</v>
      </c>
      <c r="I377" t="s">
        <v>7195</v>
      </c>
      <c r="J377" t="s">
        <v>7196</v>
      </c>
      <c r="K377" t="s">
        <v>7197</v>
      </c>
      <c r="L377">
        <v>28</v>
      </c>
      <c r="M377" t="s">
        <v>3951</v>
      </c>
      <c r="N377" t="s">
        <v>3952</v>
      </c>
      <c r="O377" t="s">
        <v>3953</v>
      </c>
      <c r="P377" t="s">
        <v>3954</v>
      </c>
      <c r="Q377" t="s">
        <v>3955</v>
      </c>
      <c r="R377" t="s">
        <v>3956</v>
      </c>
      <c r="S377" t="s">
        <v>3957</v>
      </c>
      <c r="T377" t="s">
        <v>3823</v>
      </c>
      <c r="U377">
        <v>2022</v>
      </c>
      <c r="V377">
        <v>605</v>
      </c>
      <c r="W377" t="s">
        <v>3808</v>
      </c>
      <c r="X377" t="s">
        <v>7198</v>
      </c>
      <c r="Y377" t="str">
        <f>HYPERLINK("http://dx.doi.org/10.1016/j.jhydrol.2021.127299","http://dx.doi.org/10.1016/j.jhydrol.2021.127299")</f>
        <v>http://dx.doi.org/10.1016/j.jhydrol.2021.127299</v>
      </c>
      <c r="Z377" t="s">
        <v>3960</v>
      </c>
      <c r="AA377" t="s">
        <v>3826</v>
      </c>
      <c r="AB377" s="3">
        <v>45672</v>
      </c>
      <c r="AC377" t="s">
        <v>7199</v>
      </c>
      <c r="AD377" t="str">
        <f>HYPERLINK("https%3A%2F%2Fwww.webofscience.com%2Fwos%2Fwoscc%2Ffull-record%2FWOS:000752463500001","View Full Record in Web of Science")</f>
        <v>View Full Record in Web of Science</v>
      </c>
    </row>
    <row r="378" spans="1:30" x14ac:dyDescent="0.35">
      <c r="A378">
        <v>377</v>
      </c>
      <c r="B378" t="s">
        <v>3407</v>
      </c>
      <c r="C378" t="s">
        <v>7200</v>
      </c>
      <c r="D378" t="s">
        <v>3407</v>
      </c>
      <c r="E378" t="s">
        <v>2921</v>
      </c>
      <c r="F378" t="s">
        <v>3810</v>
      </c>
      <c r="G378" t="s">
        <v>7201</v>
      </c>
      <c r="H378" t="s">
        <v>7202</v>
      </c>
      <c r="I378" t="s">
        <v>6218</v>
      </c>
      <c r="K378" t="s">
        <v>3808</v>
      </c>
      <c r="L378">
        <v>2</v>
      </c>
      <c r="M378" t="s">
        <v>7203</v>
      </c>
      <c r="N378" t="s">
        <v>7204</v>
      </c>
      <c r="O378" t="s">
        <v>7205</v>
      </c>
      <c r="P378" t="s">
        <v>4889</v>
      </c>
      <c r="Q378" t="s">
        <v>4890</v>
      </c>
      <c r="R378" t="s">
        <v>4891</v>
      </c>
      <c r="S378" t="s">
        <v>4892</v>
      </c>
      <c r="T378" t="s">
        <v>4163</v>
      </c>
      <c r="U378">
        <v>2017</v>
      </c>
      <c r="V378">
        <v>28</v>
      </c>
      <c r="W378">
        <v>6</v>
      </c>
      <c r="X378" t="s">
        <v>7206</v>
      </c>
      <c r="Y378" t="str">
        <f>HYPERLINK("http://dx.doi.org/10.3319/TAO.2017.05.21.01","http://dx.doi.org/10.3319/TAO.2017.05.21.01")</f>
        <v>http://dx.doi.org/10.3319/TAO.2017.05.21.01</v>
      </c>
      <c r="Z378" t="s">
        <v>4894</v>
      </c>
      <c r="AA378" t="s">
        <v>3826</v>
      </c>
      <c r="AB378" s="3">
        <v>45672</v>
      </c>
      <c r="AC378" t="s">
        <v>7207</v>
      </c>
      <c r="AD378" t="str">
        <f>HYPERLINK("https%3A%2F%2Fwww.webofscience.com%2Fwos%2Fwoscc%2Ffull-record%2FWOS:000418885200011","View Full Record in Web of Science")</f>
        <v>View Full Record in Web of Science</v>
      </c>
    </row>
    <row r="379" spans="1:30" x14ac:dyDescent="0.35">
      <c r="A379">
        <v>378</v>
      </c>
      <c r="B379" t="s">
        <v>3408</v>
      </c>
      <c r="C379" t="s">
        <v>7208</v>
      </c>
      <c r="D379" t="s">
        <v>3408</v>
      </c>
      <c r="E379" t="s">
        <v>2936</v>
      </c>
      <c r="F379" t="s">
        <v>3810</v>
      </c>
      <c r="G379" t="s">
        <v>7209</v>
      </c>
      <c r="H379" t="s">
        <v>7210</v>
      </c>
      <c r="I379" t="s">
        <v>7211</v>
      </c>
      <c r="J379" t="s">
        <v>7212</v>
      </c>
      <c r="K379" t="s">
        <v>7213</v>
      </c>
      <c r="L379">
        <v>121</v>
      </c>
      <c r="M379" t="s">
        <v>7214</v>
      </c>
      <c r="N379" t="s">
        <v>3817</v>
      </c>
      <c r="O379" t="s">
        <v>7215</v>
      </c>
      <c r="P379" t="s">
        <v>5314</v>
      </c>
      <c r="Q379" t="s">
        <v>5315</v>
      </c>
      <c r="R379" t="s">
        <v>5316</v>
      </c>
      <c r="S379" t="s">
        <v>5317</v>
      </c>
      <c r="T379" t="s">
        <v>3823</v>
      </c>
      <c r="U379">
        <v>2017</v>
      </c>
      <c r="V379">
        <v>10</v>
      </c>
      <c r="W379">
        <v>2</v>
      </c>
      <c r="X379" t="s">
        <v>7216</v>
      </c>
      <c r="Y379" t="str">
        <f>HYPERLINK("http://dx.doi.org/10.1038/NGEO2875","http://dx.doi.org/10.1038/NGEO2875")</f>
        <v>http://dx.doi.org/10.1038/NGEO2875</v>
      </c>
      <c r="Z379" t="s">
        <v>4116</v>
      </c>
      <c r="AA379" t="s">
        <v>3826</v>
      </c>
      <c r="AB379" s="3">
        <v>45672</v>
      </c>
      <c r="AC379" t="s">
        <v>7217</v>
      </c>
      <c r="AD379" t="str">
        <f>HYPERLINK("https%3A%2F%2Fwww.webofscience.com%2Fwos%2Fwoscc%2Ffull-record%2FWOS:000394121800016","View Full Record in Web of Science")</f>
        <v>View Full Record in Web of Science</v>
      </c>
    </row>
    <row r="380" spans="1:30" x14ac:dyDescent="0.35">
      <c r="A380">
        <v>379</v>
      </c>
      <c r="B380" t="s">
        <v>3409</v>
      </c>
      <c r="C380" t="s">
        <v>7218</v>
      </c>
      <c r="D380" t="s">
        <v>3409</v>
      </c>
      <c r="E380" t="s">
        <v>2894</v>
      </c>
      <c r="F380" t="s">
        <v>3810</v>
      </c>
      <c r="G380" t="s">
        <v>7219</v>
      </c>
      <c r="H380" t="s">
        <v>7220</v>
      </c>
      <c r="I380" t="s">
        <v>7221</v>
      </c>
      <c r="J380" t="s">
        <v>3808</v>
      </c>
      <c r="K380" t="s">
        <v>3808</v>
      </c>
      <c r="L380">
        <v>4</v>
      </c>
      <c r="M380" t="s">
        <v>4252</v>
      </c>
      <c r="N380" t="s">
        <v>4253</v>
      </c>
      <c r="O380" t="s">
        <v>4254</v>
      </c>
      <c r="P380" t="s">
        <v>4255</v>
      </c>
      <c r="Q380" t="s">
        <v>4256</v>
      </c>
      <c r="R380" t="s">
        <v>4257</v>
      </c>
      <c r="S380" t="s">
        <v>4258</v>
      </c>
      <c r="T380" t="s">
        <v>3823</v>
      </c>
      <c r="U380">
        <v>2020</v>
      </c>
      <c r="V380">
        <v>139</v>
      </c>
      <c r="W380" t="s">
        <v>4268</v>
      </c>
      <c r="X380" t="s">
        <v>7222</v>
      </c>
      <c r="Y380" t="str">
        <f>HYPERLINK("http://dx.doi.org/10.1007/s00704-019-03055-9","http://dx.doi.org/10.1007/s00704-019-03055-9")</f>
        <v>http://dx.doi.org/10.1007/s00704-019-03055-9</v>
      </c>
      <c r="Z380" t="s">
        <v>3825</v>
      </c>
      <c r="AA380" t="s">
        <v>3826</v>
      </c>
      <c r="AB380" s="3">
        <v>45672</v>
      </c>
      <c r="AC380" t="s">
        <v>7223</v>
      </c>
      <c r="AD380" t="str">
        <f>HYPERLINK("https%3A%2F%2Fwww.webofscience.com%2Fwos%2Fwoscc%2Ffull-record%2FWOS:000511528400046","View Full Record in Web of Science")</f>
        <v>View Full Record in Web of Science</v>
      </c>
    </row>
    <row r="381" spans="1:30" x14ac:dyDescent="0.35">
      <c r="A381">
        <v>380</v>
      </c>
      <c r="B381" t="s">
        <v>3410</v>
      </c>
      <c r="C381" t="s">
        <v>7224</v>
      </c>
      <c r="D381" t="s">
        <v>3410</v>
      </c>
      <c r="E381" t="s">
        <v>2959</v>
      </c>
      <c r="F381" t="s">
        <v>3810</v>
      </c>
      <c r="G381" t="s">
        <v>7225</v>
      </c>
      <c r="H381" t="s">
        <v>7226</v>
      </c>
      <c r="I381" t="s">
        <v>7227</v>
      </c>
      <c r="K381" t="s">
        <v>3808</v>
      </c>
      <c r="L381">
        <v>2</v>
      </c>
      <c r="M381" t="s">
        <v>5326</v>
      </c>
      <c r="N381" t="s">
        <v>4047</v>
      </c>
      <c r="O381" t="s">
        <v>5327</v>
      </c>
      <c r="P381" t="s">
        <v>6394</v>
      </c>
      <c r="Q381" t="s">
        <v>6395</v>
      </c>
      <c r="R381" t="s">
        <v>6396</v>
      </c>
      <c r="S381" t="s">
        <v>6397</v>
      </c>
      <c r="T381" t="s">
        <v>7038</v>
      </c>
      <c r="U381">
        <v>2018</v>
      </c>
      <c r="V381">
        <v>62</v>
      </c>
      <c r="W381">
        <v>7</v>
      </c>
      <c r="X381" t="s">
        <v>7228</v>
      </c>
      <c r="Y381" t="str">
        <f>HYPERLINK("http://dx.doi.org/10.1016/j.asr.2018.06.032","http://dx.doi.org/10.1016/j.asr.2018.06.032")</f>
        <v>http://dx.doi.org/10.1016/j.asr.2018.06.032</v>
      </c>
      <c r="Z381" t="s">
        <v>6399</v>
      </c>
      <c r="AA381" t="s">
        <v>3826</v>
      </c>
      <c r="AB381" s="3">
        <v>45672</v>
      </c>
      <c r="AC381" t="s">
        <v>7229</v>
      </c>
      <c r="AD381" t="str">
        <f>HYPERLINK("https%3A%2F%2Fwww.webofscience.com%2Fwos%2Fwoscc%2Ffull-record%2FWOS:000445718000018","View Full Record in Web of Science")</f>
        <v>View Full Record in Web of Science</v>
      </c>
    </row>
    <row r="382" spans="1:30" x14ac:dyDescent="0.35">
      <c r="A382">
        <v>381</v>
      </c>
      <c r="B382" t="s">
        <v>3411</v>
      </c>
      <c r="C382" t="s">
        <v>7230</v>
      </c>
      <c r="D382" t="s">
        <v>3411</v>
      </c>
      <c r="E382" t="s">
        <v>2979</v>
      </c>
      <c r="F382" t="s">
        <v>3810</v>
      </c>
      <c r="G382" t="s">
        <v>7231</v>
      </c>
      <c r="H382" t="s">
        <v>7232</v>
      </c>
      <c r="I382" t="s">
        <v>7233</v>
      </c>
      <c r="J382" t="s">
        <v>7234</v>
      </c>
      <c r="K382" t="s">
        <v>7235</v>
      </c>
      <c r="L382">
        <v>11</v>
      </c>
      <c r="M382" t="s">
        <v>4339</v>
      </c>
      <c r="N382" t="s">
        <v>4340</v>
      </c>
      <c r="O382" t="s">
        <v>4341</v>
      </c>
      <c r="P382" t="s">
        <v>7236</v>
      </c>
      <c r="Q382" t="s">
        <v>7237</v>
      </c>
      <c r="R382" t="s">
        <v>7238</v>
      </c>
      <c r="S382" t="s">
        <v>7239</v>
      </c>
      <c r="T382" t="s">
        <v>3808</v>
      </c>
      <c r="U382">
        <v>2015</v>
      </c>
      <c r="V382">
        <v>8</v>
      </c>
      <c r="W382">
        <v>12</v>
      </c>
      <c r="X382" t="s">
        <v>7240</v>
      </c>
      <c r="Y382" t="str">
        <f>HYPERLINK("http://dx.doi.org/10.5194/amt-8-5089-2015","http://dx.doi.org/10.5194/amt-8-5089-2015")</f>
        <v>http://dx.doi.org/10.5194/amt-8-5089-2015</v>
      </c>
      <c r="Z382" t="s">
        <v>3825</v>
      </c>
      <c r="AA382" t="s">
        <v>3826</v>
      </c>
      <c r="AB382" s="3">
        <v>45672</v>
      </c>
      <c r="AC382" t="s">
        <v>7241</v>
      </c>
      <c r="AD382" t="str">
        <f>HYPERLINK("https%3A%2F%2Fwww.webofscience.com%2Fwos%2Fwoscc%2Ffull-record%2FWOS:000367384600005","View Full Record in Web of Science")</f>
        <v>View Full Record in Web of Science</v>
      </c>
    </row>
    <row r="383" spans="1:30" x14ac:dyDescent="0.35">
      <c r="A383">
        <v>382</v>
      </c>
      <c r="B383" t="s">
        <v>3412</v>
      </c>
      <c r="C383" t="s">
        <v>7242</v>
      </c>
      <c r="D383" t="s">
        <v>3412</v>
      </c>
      <c r="E383" t="s">
        <v>2915</v>
      </c>
      <c r="F383" t="s">
        <v>3810</v>
      </c>
      <c r="G383" t="s">
        <v>7243</v>
      </c>
      <c r="H383" t="s">
        <v>7244</v>
      </c>
      <c r="I383" t="s">
        <v>7245</v>
      </c>
      <c r="J383" t="s">
        <v>7246</v>
      </c>
      <c r="K383" t="s">
        <v>7247</v>
      </c>
      <c r="L383">
        <v>8</v>
      </c>
      <c r="M383" t="s">
        <v>4862</v>
      </c>
      <c r="N383" t="s">
        <v>4731</v>
      </c>
      <c r="O383" t="s">
        <v>4732</v>
      </c>
      <c r="P383" t="s">
        <v>4733</v>
      </c>
      <c r="Q383" t="s">
        <v>4734</v>
      </c>
      <c r="R383" t="s">
        <v>4735</v>
      </c>
      <c r="S383" t="s">
        <v>4736</v>
      </c>
      <c r="T383" t="s">
        <v>3808</v>
      </c>
      <c r="U383">
        <v>2022</v>
      </c>
      <c r="V383">
        <v>44</v>
      </c>
      <c r="W383">
        <v>1</v>
      </c>
      <c r="X383" t="s">
        <v>7248</v>
      </c>
      <c r="Y383" t="str">
        <f>HYPERLINK("http://dx.doi.org/10.15625/2615-9783/16974","http://dx.doi.org/10.15625/2615-9783/16974")</f>
        <v>http://dx.doi.org/10.15625/2615-9783/16974</v>
      </c>
      <c r="Z383" t="s">
        <v>4116</v>
      </c>
      <c r="AA383" t="s">
        <v>4117</v>
      </c>
      <c r="AB383" s="3">
        <v>45672</v>
      </c>
      <c r="AC383" t="s">
        <v>7249</v>
      </c>
      <c r="AD383" t="str">
        <f>HYPERLINK("https%3A%2F%2Fwww.webofscience.com%2Fwos%2Fwoscc%2Ffull-record%2FWOS:000767348300008","View Full Record in Web of Science")</f>
        <v>View Full Record in Web of Science</v>
      </c>
    </row>
    <row r="384" spans="1:30" x14ac:dyDescent="0.35">
      <c r="A384">
        <v>383</v>
      </c>
      <c r="B384" t="s">
        <v>3413</v>
      </c>
      <c r="C384" t="s">
        <v>7250</v>
      </c>
      <c r="D384" t="s">
        <v>3413</v>
      </c>
      <c r="E384" t="s">
        <v>2967</v>
      </c>
      <c r="F384" t="s">
        <v>3810</v>
      </c>
      <c r="G384" t="s">
        <v>7251</v>
      </c>
      <c r="H384" t="s">
        <v>7252</v>
      </c>
      <c r="I384" t="s">
        <v>7253</v>
      </c>
      <c r="J384" t="s">
        <v>7254</v>
      </c>
      <c r="K384" t="s">
        <v>7255</v>
      </c>
      <c r="L384">
        <v>68</v>
      </c>
      <c r="M384" t="s">
        <v>3951</v>
      </c>
      <c r="N384" t="s">
        <v>3952</v>
      </c>
      <c r="O384" t="s">
        <v>3953</v>
      </c>
      <c r="P384" t="s">
        <v>6766</v>
      </c>
      <c r="Q384" t="s">
        <v>6767</v>
      </c>
      <c r="R384" t="s">
        <v>6768</v>
      </c>
      <c r="S384" t="s">
        <v>6769</v>
      </c>
      <c r="T384" t="s">
        <v>5797</v>
      </c>
      <c r="U384">
        <v>2016</v>
      </c>
      <c r="V384">
        <v>440</v>
      </c>
      <c r="W384" t="s">
        <v>3808</v>
      </c>
      <c r="X384" t="s">
        <v>7256</v>
      </c>
      <c r="Y384" t="str">
        <f>HYPERLINK("http://dx.doi.org/10.1016/j.chemgeo.2016.06.010","http://dx.doi.org/10.1016/j.chemgeo.2016.06.010")</f>
        <v>http://dx.doi.org/10.1016/j.chemgeo.2016.06.010</v>
      </c>
      <c r="Z384" t="s">
        <v>3920</v>
      </c>
      <c r="AA384" t="s">
        <v>3826</v>
      </c>
      <c r="AB384" s="3">
        <v>45672</v>
      </c>
      <c r="AC384" t="s">
        <v>7257</v>
      </c>
      <c r="AD384" t="str">
        <f>HYPERLINK("https%3A%2F%2Fwww.webofscience.com%2Fwos%2Fwoscc%2Ffull-record%2FWOS:000383937500007","View Full Record in Web of Science")</f>
        <v>View Full Record in Web of Science</v>
      </c>
    </row>
    <row r="385" spans="1:30" x14ac:dyDescent="0.35">
      <c r="A385">
        <v>384</v>
      </c>
      <c r="B385" t="s">
        <v>3414</v>
      </c>
      <c r="C385" t="s">
        <v>7258</v>
      </c>
      <c r="D385" t="s">
        <v>3414</v>
      </c>
      <c r="E385" t="s">
        <v>2877</v>
      </c>
      <c r="F385" t="s">
        <v>3810</v>
      </c>
      <c r="G385" t="s">
        <v>7259</v>
      </c>
      <c r="H385" t="s">
        <v>7260</v>
      </c>
      <c r="I385" t="s">
        <v>7261</v>
      </c>
      <c r="J385" t="s">
        <v>7262</v>
      </c>
      <c r="K385" t="s">
        <v>7263</v>
      </c>
      <c r="L385">
        <v>17</v>
      </c>
      <c r="M385" t="s">
        <v>4033</v>
      </c>
      <c r="N385" t="s">
        <v>4034</v>
      </c>
      <c r="O385" t="s">
        <v>4035</v>
      </c>
      <c r="P385" t="s">
        <v>4036</v>
      </c>
      <c r="Q385" t="s">
        <v>4037</v>
      </c>
      <c r="R385" t="s">
        <v>4038</v>
      </c>
      <c r="S385" t="s">
        <v>4039</v>
      </c>
      <c r="T385" t="s">
        <v>3823</v>
      </c>
      <c r="U385">
        <v>2020</v>
      </c>
      <c r="V385">
        <v>33</v>
      </c>
      <c r="W385">
        <v>3</v>
      </c>
      <c r="X385" t="s">
        <v>7264</v>
      </c>
      <c r="Y385" t="str">
        <f>HYPERLINK("http://dx.doi.org/10.1175/JCLI-D-19-0262.1","http://dx.doi.org/10.1175/JCLI-D-19-0262.1")</f>
        <v>http://dx.doi.org/10.1175/JCLI-D-19-0262.1</v>
      </c>
      <c r="Z385" t="s">
        <v>3825</v>
      </c>
      <c r="AA385" t="s">
        <v>3826</v>
      </c>
      <c r="AB385" s="3">
        <v>45672</v>
      </c>
      <c r="AC385" t="s">
        <v>7265</v>
      </c>
      <c r="AD385" t="str">
        <f>HYPERLINK("https%3A%2F%2Fwww.webofscience.com%2Fwos%2Fwoscc%2Ffull-record%2FWOS:000506003200007","View Full Record in Web of Science")</f>
        <v>View Full Record in Web of Science</v>
      </c>
    </row>
    <row r="386" spans="1:30" x14ac:dyDescent="0.35">
      <c r="A386">
        <v>385</v>
      </c>
      <c r="B386" t="s">
        <v>3415</v>
      </c>
      <c r="C386" t="s">
        <v>7266</v>
      </c>
      <c r="D386" t="s">
        <v>3415</v>
      </c>
      <c r="E386" t="s">
        <v>2903</v>
      </c>
      <c r="F386" t="s">
        <v>3810</v>
      </c>
      <c r="G386" t="s">
        <v>7267</v>
      </c>
      <c r="H386" t="s">
        <v>7268</v>
      </c>
      <c r="I386" t="s">
        <v>7269</v>
      </c>
      <c r="J386" t="s">
        <v>7270</v>
      </c>
      <c r="K386" t="s">
        <v>7271</v>
      </c>
      <c r="L386">
        <v>68</v>
      </c>
      <c r="M386" t="s">
        <v>3866</v>
      </c>
      <c r="N386" t="s">
        <v>3817</v>
      </c>
      <c r="O386" t="s">
        <v>3867</v>
      </c>
      <c r="P386" t="s">
        <v>4408</v>
      </c>
      <c r="Q386" t="s">
        <v>3808</v>
      </c>
      <c r="R386" t="s">
        <v>4409</v>
      </c>
      <c r="S386" t="s">
        <v>4410</v>
      </c>
      <c r="T386" t="s">
        <v>6912</v>
      </c>
      <c r="U386">
        <v>2020</v>
      </c>
      <c r="V386">
        <v>7</v>
      </c>
      <c r="W386">
        <v>1</v>
      </c>
      <c r="X386" t="s">
        <v>7272</v>
      </c>
      <c r="Y386" t="str">
        <f>HYPERLINK("http://dx.doi.org/10.1186/s40645-019-0311-0","http://dx.doi.org/10.1186/s40645-019-0311-0")</f>
        <v>http://dx.doi.org/10.1186/s40645-019-0311-0</v>
      </c>
      <c r="Z386" t="s">
        <v>4116</v>
      </c>
      <c r="AA386" t="s">
        <v>3826</v>
      </c>
      <c r="AB386" s="3">
        <v>45672</v>
      </c>
      <c r="AC386" t="s">
        <v>7273</v>
      </c>
      <c r="AD386" t="str">
        <f>HYPERLINK("https%3A%2F%2Fwww.webofscience.com%2Fwos%2Fwoscc%2Ffull-record%2FWOS:000511694600001","View Full Record in Web of Science")</f>
        <v>View Full Record in Web of Science</v>
      </c>
    </row>
    <row r="387" spans="1:30" x14ac:dyDescent="0.35">
      <c r="A387">
        <v>386</v>
      </c>
      <c r="B387" t="s">
        <v>3416</v>
      </c>
      <c r="C387" t="s">
        <v>1527</v>
      </c>
      <c r="D387" t="s">
        <v>3416</v>
      </c>
      <c r="E387" t="s">
        <v>2929</v>
      </c>
      <c r="F387" t="s">
        <v>3810</v>
      </c>
      <c r="G387" t="s">
        <v>7274</v>
      </c>
      <c r="H387" t="s">
        <v>7275</v>
      </c>
      <c r="I387" t="s">
        <v>7276</v>
      </c>
      <c r="K387" t="s">
        <v>3808</v>
      </c>
      <c r="L387">
        <v>6</v>
      </c>
      <c r="M387" t="s">
        <v>5142</v>
      </c>
      <c r="N387" t="s">
        <v>5143</v>
      </c>
      <c r="O387" t="s">
        <v>7277</v>
      </c>
      <c r="P387" t="s">
        <v>5145</v>
      </c>
      <c r="Q387" t="s">
        <v>5146</v>
      </c>
      <c r="R387" t="s">
        <v>5147</v>
      </c>
      <c r="S387" t="s">
        <v>5148</v>
      </c>
      <c r="T387" t="s">
        <v>4137</v>
      </c>
      <c r="U387">
        <v>2020</v>
      </c>
      <c r="V387">
        <v>56</v>
      </c>
      <c r="W387">
        <v>3</v>
      </c>
      <c r="X387" t="s">
        <v>7278</v>
      </c>
      <c r="Y387" t="str">
        <f>HYPERLINK("http://dx.doi.org/10.1007/s13143-019-00141-w","http://dx.doi.org/10.1007/s13143-019-00141-w")</f>
        <v>http://dx.doi.org/10.1007/s13143-019-00141-w</v>
      </c>
      <c r="Z387" t="s">
        <v>3825</v>
      </c>
      <c r="AA387" t="s">
        <v>3826</v>
      </c>
      <c r="AB387" s="3">
        <v>45672</v>
      </c>
      <c r="AC387" t="s">
        <v>7279</v>
      </c>
      <c r="AD387" t="str">
        <f>HYPERLINK("https%3A%2F%2Fwww.webofscience.com%2Fwos%2Fwoscc%2Ffull-record%2FWOS:000540802100003","View Full Record in Web of Science")</f>
        <v>View Full Record in Web of Science</v>
      </c>
    </row>
    <row r="388" spans="1:30" x14ac:dyDescent="0.35">
      <c r="A388">
        <v>387</v>
      </c>
      <c r="B388" t="s">
        <v>3417</v>
      </c>
      <c r="C388" t="s">
        <v>1528</v>
      </c>
      <c r="D388" t="s">
        <v>3417</v>
      </c>
      <c r="E388" t="s">
        <v>2969</v>
      </c>
      <c r="F388" t="s">
        <v>3810</v>
      </c>
      <c r="G388" t="s">
        <v>7280</v>
      </c>
      <c r="H388" t="s">
        <v>7281</v>
      </c>
      <c r="I388" t="s">
        <v>5036</v>
      </c>
      <c r="J388" t="s">
        <v>7282</v>
      </c>
      <c r="K388" t="s">
        <v>7283</v>
      </c>
      <c r="L388">
        <v>3</v>
      </c>
      <c r="M388" t="s">
        <v>4061</v>
      </c>
      <c r="N388" t="s">
        <v>4062</v>
      </c>
      <c r="O388" t="s">
        <v>4063</v>
      </c>
      <c r="P388" t="s">
        <v>6830</v>
      </c>
      <c r="Q388" t="s">
        <v>6831</v>
      </c>
      <c r="R388" t="s">
        <v>6832</v>
      </c>
      <c r="S388" t="s">
        <v>6833</v>
      </c>
      <c r="T388" t="s">
        <v>4016</v>
      </c>
      <c r="U388">
        <v>2021</v>
      </c>
      <c r="V388">
        <v>35</v>
      </c>
      <c r="W388">
        <v>5</v>
      </c>
      <c r="X388" t="s">
        <v>7284</v>
      </c>
      <c r="Y388" t="str">
        <f>HYPERLINK("http://dx.doi.org/10.1007/s13351-021-1006-1","http://dx.doi.org/10.1007/s13351-021-1006-1")</f>
        <v>http://dx.doi.org/10.1007/s13351-021-1006-1</v>
      </c>
      <c r="Z388" t="s">
        <v>3825</v>
      </c>
      <c r="AA388" t="s">
        <v>3826</v>
      </c>
      <c r="AB388" s="3">
        <v>45672</v>
      </c>
      <c r="AC388" t="s">
        <v>7285</v>
      </c>
      <c r="AD388" t="str">
        <f>HYPERLINK("https%3A%2F%2Fwww.webofscience.com%2Fwos%2Fwoscc%2Ffull-record%2FWOS:000714941900011","View Full Record in Web of Science")</f>
        <v>View Full Record in Web of Science</v>
      </c>
    </row>
    <row r="389" spans="1:30" x14ac:dyDescent="0.35">
      <c r="A389">
        <v>388</v>
      </c>
      <c r="B389" t="s">
        <v>3418</v>
      </c>
      <c r="C389" t="s">
        <v>7286</v>
      </c>
      <c r="D389" t="s">
        <v>3418</v>
      </c>
      <c r="E389" t="s">
        <v>2921</v>
      </c>
      <c r="F389" t="s">
        <v>3810</v>
      </c>
      <c r="G389" t="s">
        <v>7287</v>
      </c>
      <c r="H389" t="s">
        <v>7288</v>
      </c>
      <c r="I389" t="s">
        <v>7289</v>
      </c>
      <c r="K389" t="s">
        <v>3808</v>
      </c>
      <c r="L389">
        <v>8</v>
      </c>
      <c r="M389" t="s">
        <v>7203</v>
      </c>
      <c r="N389" t="s">
        <v>7204</v>
      </c>
      <c r="O389" t="s">
        <v>7205</v>
      </c>
      <c r="P389" t="s">
        <v>4889</v>
      </c>
      <c r="Q389" t="s">
        <v>4890</v>
      </c>
      <c r="R389" t="s">
        <v>4891</v>
      </c>
      <c r="S389" t="s">
        <v>4892</v>
      </c>
      <c r="T389" t="s">
        <v>4163</v>
      </c>
      <c r="U389">
        <v>2014</v>
      </c>
      <c r="V389">
        <v>25</v>
      </c>
      <c r="W389">
        <v>6</v>
      </c>
      <c r="X389" t="s">
        <v>7290</v>
      </c>
      <c r="Y389" t="str">
        <f>HYPERLINK("http://dx.doi.org/10.3319/TAO.2014.07.25.01(Hy)","http://dx.doi.org/10.3319/TAO.2014.07.25.01(Hy)")</f>
        <v>http://dx.doi.org/10.3319/TAO.2014.07.25.01(Hy)</v>
      </c>
      <c r="Z389" t="s">
        <v>4894</v>
      </c>
      <c r="AA389" t="s">
        <v>3826</v>
      </c>
      <c r="AB389" s="3">
        <v>45672</v>
      </c>
      <c r="AC389" t="s">
        <v>7291</v>
      </c>
      <c r="AD389" t="str">
        <f>HYPERLINK("https%3A%2F%2Fwww.webofscience.com%2Fwos%2Fwoscc%2Ffull-record%2FWOS:000346455400012","View Full Record in Web of Science")</f>
        <v>View Full Record in Web of Science</v>
      </c>
    </row>
    <row r="390" spans="1:30" x14ac:dyDescent="0.35">
      <c r="A390">
        <v>389</v>
      </c>
      <c r="B390" t="s">
        <v>3419</v>
      </c>
      <c r="C390" t="s">
        <v>7292</v>
      </c>
      <c r="D390" t="s">
        <v>3419</v>
      </c>
      <c r="E390" t="s">
        <v>2912</v>
      </c>
      <c r="F390" t="s">
        <v>3810</v>
      </c>
      <c r="G390" t="s">
        <v>7293</v>
      </c>
      <c r="H390" t="s">
        <v>7294</v>
      </c>
      <c r="I390" t="s">
        <v>7295</v>
      </c>
      <c r="J390" t="s">
        <v>7296</v>
      </c>
      <c r="K390" t="s">
        <v>7297</v>
      </c>
      <c r="L390">
        <v>15</v>
      </c>
      <c r="M390" t="s">
        <v>4033</v>
      </c>
      <c r="N390" t="s">
        <v>4034</v>
      </c>
      <c r="O390" t="s">
        <v>4035</v>
      </c>
      <c r="P390" t="s">
        <v>4665</v>
      </c>
      <c r="Q390" t="s">
        <v>4666</v>
      </c>
      <c r="R390" t="s">
        <v>4667</v>
      </c>
      <c r="S390" t="s">
        <v>4668</v>
      </c>
      <c r="T390" t="s">
        <v>4137</v>
      </c>
      <c r="U390">
        <v>2019</v>
      </c>
      <c r="V390">
        <v>58</v>
      </c>
      <c r="W390">
        <v>8</v>
      </c>
      <c r="X390" t="s">
        <v>7298</v>
      </c>
      <c r="Y390" t="str">
        <f>HYPERLINK("http://dx.doi.org/10.1175/JAMC-D-18-0210.1","http://dx.doi.org/10.1175/JAMC-D-18-0210.1")</f>
        <v>http://dx.doi.org/10.1175/JAMC-D-18-0210.1</v>
      </c>
      <c r="Z390" t="s">
        <v>3825</v>
      </c>
      <c r="AA390" t="s">
        <v>3826</v>
      </c>
      <c r="AB390" s="3">
        <v>45672</v>
      </c>
      <c r="AC390" t="s">
        <v>7299</v>
      </c>
      <c r="AD390" t="str">
        <f>HYPERLINK("https%3A%2F%2Fwww.webofscience.com%2Fwos%2Fwoscc%2Ffull-record%2FWOS:000476766900001","View Full Record in Web of Science")</f>
        <v>View Full Record in Web of Science</v>
      </c>
    </row>
    <row r="391" spans="1:30" x14ac:dyDescent="0.35">
      <c r="A391">
        <v>390</v>
      </c>
      <c r="B391" t="s">
        <v>3420</v>
      </c>
      <c r="C391" t="s">
        <v>7300</v>
      </c>
      <c r="D391" t="s">
        <v>3420</v>
      </c>
      <c r="E391" t="s">
        <v>2869</v>
      </c>
      <c r="F391" t="s">
        <v>3810</v>
      </c>
      <c r="G391" t="s">
        <v>7301</v>
      </c>
      <c r="H391" t="s">
        <v>7302</v>
      </c>
      <c r="I391" t="s">
        <v>7303</v>
      </c>
      <c r="J391" t="s">
        <v>7304</v>
      </c>
      <c r="K391" t="s">
        <v>7305</v>
      </c>
      <c r="L391">
        <v>16</v>
      </c>
      <c r="M391" t="s">
        <v>3880</v>
      </c>
      <c r="N391" t="s">
        <v>3881</v>
      </c>
      <c r="O391" t="s">
        <v>3882</v>
      </c>
      <c r="P391" t="s">
        <v>3897</v>
      </c>
      <c r="Q391" t="s">
        <v>3898</v>
      </c>
      <c r="R391" t="s">
        <v>3899</v>
      </c>
      <c r="S391" t="s">
        <v>3900</v>
      </c>
      <c r="T391" t="s">
        <v>7306</v>
      </c>
      <c r="U391">
        <v>2020</v>
      </c>
      <c r="V391">
        <v>41</v>
      </c>
      <c r="W391">
        <v>21</v>
      </c>
      <c r="X391" t="s">
        <v>7307</v>
      </c>
      <c r="Y391" t="str">
        <f>HYPERLINK("http://dx.doi.org/10.1080/01431161.2020.1779378","http://dx.doi.org/10.1080/01431161.2020.1779378")</f>
        <v>http://dx.doi.org/10.1080/01431161.2020.1779378</v>
      </c>
      <c r="Z391" t="s">
        <v>3903</v>
      </c>
      <c r="AA391" t="s">
        <v>3826</v>
      </c>
      <c r="AB391" s="3">
        <v>45672</v>
      </c>
      <c r="AC391" t="s">
        <v>7308</v>
      </c>
      <c r="AD391" t="str">
        <f>HYPERLINK("https%3A%2F%2Fwww.webofscience.com%2Fwos%2Fwoscc%2Ffull-record%2FWOS:000563970500003","View Full Record in Web of Science")</f>
        <v>View Full Record in Web of Science</v>
      </c>
    </row>
    <row r="392" spans="1:30" x14ac:dyDescent="0.35">
      <c r="A392">
        <v>391</v>
      </c>
      <c r="B392" t="s">
        <v>3421</v>
      </c>
      <c r="C392" t="s">
        <v>7309</v>
      </c>
      <c r="D392" t="s">
        <v>3421</v>
      </c>
      <c r="E392" t="s">
        <v>2871</v>
      </c>
      <c r="F392" t="s">
        <v>3810</v>
      </c>
      <c r="G392" t="s">
        <v>7310</v>
      </c>
      <c r="H392" t="s">
        <v>7311</v>
      </c>
      <c r="I392" t="s">
        <v>7312</v>
      </c>
      <c r="J392" t="s">
        <v>7313</v>
      </c>
      <c r="K392" t="s">
        <v>7314</v>
      </c>
      <c r="L392">
        <v>1</v>
      </c>
      <c r="M392" t="s">
        <v>3866</v>
      </c>
      <c r="N392" t="s">
        <v>3817</v>
      </c>
      <c r="O392" t="s">
        <v>3867</v>
      </c>
      <c r="P392" t="s">
        <v>3928</v>
      </c>
      <c r="Q392" t="s">
        <v>3929</v>
      </c>
      <c r="R392" t="s">
        <v>3930</v>
      </c>
      <c r="S392" t="s">
        <v>3931</v>
      </c>
      <c r="T392" t="s">
        <v>3974</v>
      </c>
      <c r="U392">
        <v>2022</v>
      </c>
      <c r="V392">
        <v>112</v>
      </c>
      <c r="W392">
        <v>2</v>
      </c>
      <c r="X392" t="s">
        <v>7315</v>
      </c>
      <c r="Y392" t="str">
        <f>HYPERLINK("http://dx.doi.org/10.1007/s11069-022-05245-7","http://dx.doi.org/10.1007/s11069-022-05245-7")</f>
        <v>http://dx.doi.org/10.1007/s11069-022-05245-7</v>
      </c>
      <c r="Z392" t="s">
        <v>3934</v>
      </c>
      <c r="AA392" t="s">
        <v>3826</v>
      </c>
      <c r="AB392" s="3">
        <v>45672</v>
      </c>
      <c r="AC392" t="s">
        <v>7316</v>
      </c>
      <c r="AD392" t="str">
        <f>HYPERLINK("https%3A%2F%2Fwww.webofscience.com%2Fwos%2Fwoscc%2Ffull-record%2FWOS:000757762300004","View Full Record in Web of Science")</f>
        <v>View Full Record in Web of Science</v>
      </c>
    </row>
    <row r="393" spans="1:30" x14ac:dyDescent="0.35">
      <c r="A393">
        <v>392</v>
      </c>
      <c r="B393" t="s">
        <v>3422</v>
      </c>
      <c r="C393" t="s">
        <v>7317</v>
      </c>
      <c r="D393" t="s">
        <v>3422</v>
      </c>
      <c r="E393" t="s">
        <v>2980</v>
      </c>
      <c r="F393" t="s">
        <v>3810</v>
      </c>
      <c r="G393" t="s">
        <v>7318</v>
      </c>
      <c r="H393" t="s">
        <v>7319</v>
      </c>
      <c r="I393" t="s">
        <v>7320</v>
      </c>
      <c r="J393" t="s">
        <v>7321</v>
      </c>
      <c r="K393" t="s">
        <v>7322</v>
      </c>
      <c r="L393">
        <v>15</v>
      </c>
      <c r="M393" t="s">
        <v>3951</v>
      </c>
      <c r="N393" t="s">
        <v>3952</v>
      </c>
      <c r="O393" t="s">
        <v>3953</v>
      </c>
      <c r="P393" t="s">
        <v>7323</v>
      </c>
      <c r="Q393" t="s">
        <v>7324</v>
      </c>
      <c r="R393" t="s">
        <v>7325</v>
      </c>
      <c r="S393" t="s">
        <v>7326</v>
      </c>
      <c r="T393" t="s">
        <v>3932</v>
      </c>
      <c r="U393">
        <v>2018</v>
      </c>
      <c r="V393">
        <v>139</v>
      </c>
      <c r="W393" t="s">
        <v>3808</v>
      </c>
      <c r="X393" t="s">
        <v>7327</v>
      </c>
      <c r="Y393" t="str">
        <f>HYPERLINK("http://dx.doi.org/10.1016/j.isprsjprs.2018.02.022","http://dx.doi.org/10.1016/j.isprsjprs.2018.02.022")</f>
        <v>http://dx.doi.org/10.1016/j.isprsjprs.2018.02.022</v>
      </c>
      <c r="Z393" t="s">
        <v>7328</v>
      </c>
      <c r="AA393" t="s">
        <v>3826</v>
      </c>
      <c r="AB393" s="3">
        <v>45672</v>
      </c>
      <c r="AC393" t="s">
        <v>7329</v>
      </c>
      <c r="AD393" t="str">
        <f>HYPERLINK("https%3A%2F%2Fwww.webofscience.com%2Fwos%2Fwoscc%2Ffull-record%2FWOS:000431160100017","View Full Record in Web of Science")</f>
        <v>View Full Record in Web of Science</v>
      </c>
    </row>
    <row r="394" spans="1:30" x14ac:dyDescent="0.35">
      <c r="A394">
        <v>393</v>
      </c>
      <c r="B394" t="s">
        <v>3423</v>
      </c>
      <c r="C394" t="s">
        <v>7330</v>
      </c>
      <c r="D394" t="s">
        <v>3423</v>
      </c>
      <c r="E394" t="s">
        <v>2981</v>
      </c>
      <c r="F394" t="s">
        <v>3810</v>
      </c>
      <c r="G394" t="s">
        <v>7331</v>
      </c>
      <c r="H394" t="s">
        <v>7332</v>
      </c>
      <c r="I394" t="s">
        <v>7333</v>
      </c>
      <c r="J394" t="s">
        <v>7334</v>
      </c>
      <c r="K394" t="s">
        <v>7335</v>
      </c>
      <c r="L394">
        <v>31</v>
      </c>
      <c r="M394" t="s">
        <v>3866</v>
      </c>
      <c r="N394" t="s">
        <v>3817</v>
      </c>
      <c r="O394" t="s">
        <v>3867</v>
      </c>
      <c r="P394" t="s">
        <v>7336</v>
      </c>
      <c r="Q394" t="s">
        <v>7337</v>
      </c>
      <c r="R394" t="s">
        <v>7338</v>
      </c>
      <c r="S394" t="s">
        <v>7339</v>
      </c>
      <c r="T394" t="s">
        <v>3918</v>
      </c>
      <c r="U394">
        <v>2015</v>
      </c>
      <c r="V394">
        <v>77</v>
      </c>
      <c r="W394">
        <v>7</v>
      </c>
      <c r="X394" t="s">
        <v>7340</v>
      </c>
      <c r="Y394" t="str">
        <f>HYPERLINK("http://dx.doi.org/10.1007/s00445-015-0943-x","http://dx.doi.org/10.1007/s00445-015-0943-x")</f>
        <v>http://dx.doi.org/10.1007/s00445-015-0943-x</v>
      </c>
      <c r="Z394" t="s">
        <v>4116</v>
      </c>
      <c r="AA394" t="s">
        <v>3826</v>
      </c>
      <c r="AB394" s="3">
        <v>45672</v>
      </c>
      <c r="AC394" t="s">
        <v>7341</v>
      </c>
      <c r="AD394" t="str">
        <f>HYPERLINK("https%3A%2F%2Fwww.webofscience.com%2Fwos%2Fwoscc%2Ffull-record%2FWOS:000357427200003","View Full Record in Web of Science")</f>
        <v>View Full Record in Web of Science</v>
      </c>
    </row>
    <row r="395" spans="1:30" x14ac:dyDescent="0.35">
      <c r="A395">
        <v>394</v>
      </c>
      <c r="B395" t="s">
        <v>3424</v>
      </c>
      <c r="C395" t="s">
        <v>7342</v>
      </c>
      <c r="D395" t="s">
        <v>3424</v>
      </c>
      <c r="E395" t="s">
        <v>2982</v>
      </c>
      <c r="F395" t="s">
        <v>3810</v>
      </c>
      <c r="G395" t="s">
        <v>7343</v>
      </c>
      <c r="H395" t="s">
        <v>7344</v>
      </c>
      <c r="I395" t="s">
        <v>7345</v>
      </c>
      <c r="J395" t="s">
        <v>7346</v>
      </c>
      <c r="K395" t="s">
        <v>7347</v>
      </c>
      <c r="L395">
        <v>0</v>
      </c>
      <c r="M395" t="s">
        <v>7348</v>
      </c>
      <c r="N395" t="s">
        <v>7349</v>
      </c>
      <c r="O395" t="s">
        <v>7350</v>
      </c>
      <c r="P395" t="s">
        <v>7351</v>
      </c>
      <c r="Q395" t="s">
        <v>7352</v>
      </c>
      <c r="R395" t="s">
        <v>7353</v>
      </c>
      <c r="S395" t="s">
        <v>7354</v>
      </c>
      <c r="T395" t="s">
        <v>3958</v>
      </c>
      <c r="U395">
        <v>2022</v>
      </c>
      <c r="V395">
        <v>9</v>
      </c>
      <c r="W395">
        <v>2</v>
      </c>
      <c r="X395" t="s">
        <v>7355</v>
      </c>
      <c r="Y395" t="str">
        <f>HYPERLINK("http://dx.doi.org/10.17014/ijog.9.2.159-172","http://dx.doi.org/10.17014/ijog.9.2.159-172")</f>
        <v>http://dx.doi.org/10.17014/ijog.9.2.159-172</v>
      </c>
      <c r="Z395" t="s">
        <v>4116</v>
      </c>
      <c r="AA395" t="s">
        <v>4117</v>
      </c>
      <c r="AB395" s="3">
        <v>45672</v>
      </c>
      <c r="AC395" t="s">
        <v>7356</v>
      </c>
      <c r="AD395" t="str">
        <f>HYPERLINK("https%3A%2F%2Fwww.webofscience.com%2Fwos%2Fwoscc%2Ffull-record%2FWOS:001130464000002","View Full Record in Web of Science")</f>
        <v>View Full Record in Web of Science</v>
      </c>
    </row>
    <row r="396" spans="1:30" x14ac:dyDescent="0.35">
      <c r="A396">
        <v>395</v>
      </c>
      <c r="B396" t="s">
        <v>3425</v>
      </c>
      <c r="C396" t="s">
        <v>7357</v>
      </c>
      <c r="D396" t="s">
        <v>3425</v>
      </c>
      <c r="E396" t="s">
        <v>2931</v>
      </c>
      <c r="F396" t="s">
        <v>3810</v>
      </c>
      <c r="G396" t="s">
        <v>7358</v>
      </c>
      <c r="H396" t="s">
        <v>7359</v>
      </c>
      <c r="I396" t="s">
        <v>7360</v>
      </c>
      <c r="J396" t="s">
        <v>7361</v>
      </c>
      <c r="K396" t="s">
        <v>7362</v>
      </c>
      <c r="L396">
        <v>0</v>
      </c>
      <c r="M396" t="s">
        <v>4277</v>
      </c>
      <c r="N396" t="s">
        <v>4278</v>
      </c>
      <c r="O396" t="s">
        <v>4279</v>
      </c>
      <c r="P396" t="s">
        <v>3808</v>
      </c>
      <c r="Q396" t="s">
        <v>5212</v>
      </c>
      <c r="R396" t="s">
        <v>5213</v>
      </c>
      <c r="S396" t="s">
        <v>5214</v>
      </c>
      <c r="T396" t="s">
        <v>4016</v>
      </c>
      <c r="U396">
        <v>2021</v>
      </c>
      <c r="V396">
        <v>10</v>
      </c>
      <c r="W396">
        <v>10</v>
      </c>
      <c r="X396" t="s">
        <v>7363</v>
      </c>
      <c r="Y396" t="str">
        <f>HYPERLINK("http://dx.doi.org/10.3390/ijgi10100689","http://dx.doi.org/10.3390/ijgi10100689")</f>
        <v>http://dx.doi.org/10.3390/ijgi10100689</v>
      </c>
      <c r="Z396" t="s">
        <v>5216</v>
      </c>
      <c r="AA396" t="s">
        <v>3826</v>
      </c>
      <c r="AB396" s="3">
        <v>45672</v>
      </c>
      <c r="AC396" t="s">
        <v>7364</v>
      </c>
      <c r="AD396" t="str">
        <f>HYPERLINK("https%3A%2F%2Fwww.webofscience.com%2Fwos%2Fwoscc%2Ffull-record%2FWOS:000806906300001","View Full Record in Web of Science")</f>
        <v>View Full Record in Web of Science</v>
      </c>
    </row>
    <row r="397" spans="1:30" x14ac:dyDescent="0.35">
      <c r="A397">
        <v>396</v>
      </c>
      <c r="B397" t="s">
        <v>3426</v>
      </c>
      <c r="C397" t="s">
        <v>7365</v>
      </c>
      <c r="D397" t="s">
        <v>3426</v>
      </c>
      <c r="E397" t="s">
        <v>2866</v>
      </c>
      <c r="F397" t="s">
        <v>3810</v>
      </c>
      <c r="G397" t="s">
        <v>7366</v>
      </c>
      <c r="H397" t="s">
        <v>7367</v>
      </c>
      <c r="I397" t="s">
        <v>7368</v>
      </c>
      <c r="J397" t="s">
        <v>7369</v>
      </c>
      <c r="K397" t="s">
        <v>7370</v>
      </c>
      <c r="L397">
        <v>59</v>
      </c>
      <c r="M397" t="s">
        <v>3850</v>
      </c>
      <c r="N397" t="s">
        <v>3851</v>
      </c>
      <c r="O397" t="s">
        <v>3852</v>
      </c>
      <c r="P397" t="s">
        <v>3853</v>
      </c>
      <c r="Q397" t="s">
        <v>3854</v>
      </c>
      <c r="R397" t="s">
        <v>3855</v>
      </c>
      <c r="S397" t="s">
        <v>3856</v>
      </c>
      <c r="T397" t="s">
        <v>5045</v>
      </c>
      <c r="U397">
        <v>2017</v>
      </c>
      <c r="V397">
        <v>37</v>
      </c>
      <c r="W397">
        <v>5</v>
      </c>
      <c r="X397" t="s">
        <v>7371</v>
      </c>
      <c r="Y397" t="str">
        <f>HYPERLINK("http://dx.doi.org/10.1002/joc.4873","http://dx.doi.org/10.1002/joc.4873")</f>
        <v>http://dx.doi.org/10.1002/joc.4873</v>
      </c>
      <c r="Z397" t="s">
        <v>3825</v>
      </c>
      <c r="AA397" t="s">
        <v>3826</v>
      </c>
      <c r="AB397" s="3">
        <v>45672</v>
      </c>
      <c r="AC397" t="s">
        <v>7372</v>
      </c>
      <c r="AD397" t="str">
        <f>HYPERLINK("https%3A%2F%2Fwww.webofscience.com%2Fwos%2Fwoscc%2Ffull-record%2FWOS:000398859700036","View Full Record in Web of Science")</f>
        <v>View Full Record in Web of Science</v>
      </c>
    </row>
    <row r="398" spans="1:30" x14ac:dyDescent="0.35">
      <c r="A398">
        <v>397</v>
      </c>
      <c r="B398" t="s">
        <v>3427</v>
      </c>
      <c r="C398" t="s">
        <v>7373</v>
      </c>
      <c r="D398" t="s">
        <v>3427</v>
      </c>
      <c r="E398" t="s">
        <v>2984</v>
      </c>
      <c r="F398" t="s">
        <v>3810</v>
      </c>
      <c r="G398" t="s">
        <v>7374</v>
      </c>
      <c r="H398" t="s">
        <v>7375</v>
      </c>
      <c r="I398" t="s">
        <v>4122</v>
      </c>
      <c r="J398" t="s">
        <v>7376</v>
      </c>
      <c r="K398" t="s">
        <v>7377</v>
      </c>
      <c r="L398">
        <v>0</v>
      </c>
      <c r="M398" t="s">
        <v>7378</v>
      </c>
      <c r="N398" t="s">
        <v>7379</v>
      </c>
      <c r="O398" t="s">
        <v>7380</v>
      </c>
      <c r="P398" t="s">
        <v>7381</v>
      </c>
      <c r="Q398" t="s">
        <v>3808</v>
      </c>
      <c r="R398" t="s">
        <v>2984</v>
      </c>
      <c r="S398" t="s">
        <v>7382</v>
      </c>
      <c r="T398" t="s">
        <v>4016</v>
      </c>
      <c r="U398">
        <v>2020</v>
      </c>
      <c r="V398">
        <v>71</v>
      </c>
      <c r="W398">
        <v>4</v>
      </c>
      <c r="X398" t="s">
        <v>3808</v>
      </c>
      <c r="Y398" t="s">
        <v>3808</v>
      </c>
      <c r="Z398" t="s">
        <v>3825</v>
      </c>
      <c r="AA398" t="s">
        <v>3826</v>
      </c>
      <c r="AB398" s="3">
        <v>45672</v>
      </c>
      <c r="AC398" t="s">
        <v>7383</v>
      </c>
      <c r="AD398" t="str">
        <f>HYPERLINK("https%3A%2F%2Fwww.webofscience.com%2Fwos%2Fwoscc%2Ffull-record%2FWOS:000583272700008","View Full Record in Web of Science")</f>
        <v>View Full Record in Web of Science</v>
      </c>
    </row>
    <row r="399" spans="1:30" x14ac:dyDescent="0.35">
      <c r="A399">
        <v>398</v>
      </c>
      <c r="B399" t="s">
        <v>3428</v>
      </c>
      <c r="C399" t="s">
        <v>7384</v>
      </c>
      <c r="D399" t="s">
        <v>3428</v>
      </c>
      <c r="E399" t="s">
        <v>2927</v>
      </c>
      <c r="F399" t="s">
        <v>3810</v>
      </c>
      <c r="G399" t="s">
        <v>7385</v>
      </c>
      <c r="H399" t="s">
        <v>7386</v>
      </c>
      <c r="I399" t="s">
        <v>7387</v>
      </c>
      <c r="K399" t="s">
        <v>3808</v>
      </c>
      <c r="L399">
        <v>19</v>
      </c>
      <c r="M399" t="s">
        <v>4339</v>
      </c>
      <c r="N399" t="s">
        <v>4340</v>
      </c>
      <c r="O399" t="s">
        <v>4341</v>
      </c>
      <c r="P399" t="s">
        <v>5108</v>
      </c>
      <c r="Q399" t="s">
        <v>5109</v>
      </c>
      <c r="R399" t="s">
        <v>5110</v>
      </c>
      <c r="S399" t="s">
        <v>5111</v>
      </c>
      <c r="T399" t="s">
        <v>6473</v>
      </c>
      <c r="U399">
        <v>2017</v>
      </c>
      <c r="V399">
        <v>21</v>
      </c>
      <c r="W399">
        <v>5</v>
      </c>
      <c r="X399" t="s">
        <v>7388</v>
      </c>
      <c r="Y399" t="str">
        <f>HYPERLINK("http://dx.doi.org/10.5194/hess-21-2341-2017","http://dx.doi.org/10.5194/hess-21-2341-2017")</f>
        <v>http://dx.doi.org/10.5194/hess-21-2341-2017</v>
      </c>
      <c r="Z399" t="s">
        <v>4231</v>
      </c>
      <c r="AA399" t="s">
        <v>3826</v>
      </c>
      <c r="AB399" s="3">
        <v>45672</v>
      </c>
      <c r="AC399" t="s">
        <v>7389</v>
      </c>
      <c r="AD399" t="str">
        <f>HYPERLINK("https%3A%2F%2Fwww.webofscience.com%2Fwos%2Fwoscc%2Ffull-record%2FWOS:000400732900002","View Full Record in Web of Science")</f>
        <v>View Full Record in Web of Science</v>
      </c>
    </row>
    <row r="400" spans="1:30" x14ac:dyDescent="0.35">
      <c r="A400">
        <v>399</v>
      </c>
      <c r="B400" t="s">
        <v>3429</v>
      </c>
      <c r="C400" t="s">
        <v>6079</v>
      </c>
      <c r="D400" t="s">
        <v>3429</v>
      </c>
      <c r="E400" t="s">
        <v>2894</v>
      </c>
      <c r="F400" t="s">
        <v>3810</v>
      </c>
      <c r="G400" t="s">
        <v>7390</v>
      </c>
      <c r="H400" t="s">
        <v>7391</v>
      </c>
      <c r="I400" t="s">
        <v>4328</v>
      </c>
      <c r="K400" t="s">
        <v>3808</v>
      </c>
      <c r="L400">
        <v>0</v>
      </c>
      <c r="M400" t="s">
        <v>4252</v>
      </c>
      <c r="N400" t="s">
        <v>4253</v>
      </c>
      <c r="O400" t="s">
        <v>4254</v>
      </c>
      <c r="P400" t="s">
        <v>4255</v>
      </c>
      <c r="Q400" t="s">
        <v>4256</v>
      </c>
      <c r="R400" t="s">
        <v>4257</v>
      </c>
      <c r="S400" t="s">
        <v>4258</v>
      </c>
      <c r="T400" t="s">
        <v>5045</v>
      </c>
      <c r="U400">
        <v>2015</v>
      </c>
      <c r="V400">
        <v>120</v>
      </c>
      <c r="W400" t="s">
        <v>4259</v>
      </c>
      <c r="X400" t="s">
        <v>7392</v>
      </c>
      <c r="Y400" t="str">
        <f>HYPERLINK("http://dx.doi.org/10.1007/s00704-014-1142-y","http://dx.doi.org/10.1007/s00704-014-1142-y")</f>
        <v>http://dx.doi.org/10.1007/s00704-014-1142-y</v>
      </c>
      <c r="Z400" t="s">
        <v>3825</v>
      </c>
      <c r="AA400" t="s">
        <v>3826</v>
      </c>
      <c r="AB400" s="3">
        <v>45672</v>
      </c>
      <c r="AC400" t="s">
        <v>7393</v>
      </c>
      <c r="AD400" t="str">
        <f>HYPERLINK("https%3A%2F%2Fwww.webofscience.com%2Fwos%2Fwoscc%2Ffull-record%2FWOS:000351866800002","View Full Record in Web of Science")</f>
        <v>View Full Record in Web of Science</v>
      </c>
    </row>
    <row r="401" spans="1:30" x14ac:dyDescent="0.35">
      <c r="A401">
        <v>400</v>
      </c>
      <c r="B401" t="s">
        <v>3430</v>
      </c>
      <c r="C401" t="s">
        <v>7394</v>
      </c>
      <c r="D401" t="s">
        <v>3430</v>
      </c>
      <c r="E401" t="s">
        <v>2924</v>
      </c>
      <c r="F401" t="s">
        <v>3810</v>
      </c>
      <c r="G401" t="s">
        <v>7395</v>
      </c>
      <c r="H401" t="s">
        <v>7396</v>
      </c>
      <c r="I401" t="s">
        <v>7397</v>
      </c>
      <c r="J401" t="s">
        <v>7398</v>
      </c>
      <c r="K401" t="s">
        <v>7399</v>
      </c>
      <c r="L401">
        <v>120</v>
      </c>
      <c r="M401" t="s">
        <v>3911</v>
      </c>
      <c r="N401" t="s">
        <v>3912</v>
      </c>
      <c r="O401" t="s">
        <v>3913</v>
      </c>
      <c r="P401" t="s">
        <v>4965</v>
      </c>
      <c r="Q401" t="s">
        <v>4966</v>
      </c>
      <c r="R401" t="s">
        <v>4967</v>
      </c>
      <c r="S401" t="s">
        <v>4968</v>
      </c>
      <c r="T401" t="s">
        <v>7400</v>
      </c>
      <c r="U401">
        <v>2014</v>
      </c>
      <c r="V401">
        <v>41</v>
      </c>
      <c r="W401">
        <v>23</v>
      </c>
      <c r="X401" t="s">
        <v>7401</v>
      </c>
      <c r="Y401" t="str">
        <f>HYPERLINK("http://dx.doi.org/10.1002/2014GL061281","http://dx.doi.org/10.1002/2014GL061281")</f>
        <v>http://dx.doi.org/10.1002/2014GL061281</v>
      </c>
      <c r="Z401" t="s">
        <v>4116</v>
      </c>
      <c r="AA401" t="s">
        <v>3826</v>
      </c>
      <c r="AB401" s="3">
        <v>45672</v>
      </c>
      <c r="AC401" t="s">
        <v>7402</v>
      </c>
      <c r="AD401" t="str">
        <f>HYPERLINK("https%3A%2F%2Fwww.webofscience.com%2Fwos%2Fwoscc%2Ffull-record%2FWOS:000348462000051","View Full Record in Web of Science")</f>
        <v>View Full Record in Web of Science</v>
      </c>
    </row>
    <row r="402" spans="1:30" x14ac:dyDescent="0.35">
      <c r="A402">
        <v>401</v>
      </c>
      <c r="B402" t="s">
        <v>3431</v>
      </c>
      <c r="C402" t="s">
        <v>7403</v>
      </c>
      <c r="D402" t="s">
        <v>3431</v>
      </c>
      <c r="E402" t="s">
        <v>2985</v>
      </c>
      <c r="F402" t="s">
        <v>3810</v>
      </c>
      <c r="G402" t="s">
        <v>7404</v>
      </c>
      <c r="H402" t="s">
        <v>7405</v>
      </c>
      <c r="I402" t="s">
        <v>6806</v>
      </c>
      <c r="K402" t="s">
        <v>3808</v>
      </c>
      <c r="L402">
        <v>0</v>
      </c>
      <c r="M402" t="s">
        <v>7406</v>
      </c>
      <c r="N402" t="s">
        <v>7407</v>
      </c>
      <c r="O402" t="s">
        <v>7408</v>
      </c>
      <c r="P402" t="s">
        <v>7409</v>
      </c>
      <c r="Q402" t="s">
        <v>7410</v>
      </c>
      <c r="R402" t="s">
        <v>7411</v>
      </c>
      <c r="S402" t="s">
        <v>7412</v>
      </c>
      <c r="T402" t="s">
        <v>3872</v>
      </c>
      <c r="U402">
        <v>2020</v>
      </c>
      <c r="V402">
        <v>24</v>
      </c>
      <c r="W402">
        <v>3</v>
      </c>
      <c r="X402" t="s">
        <v>7413</v>
      </c>
      <c r="Y402" t="str">
        <f>HYPERLINK("http://dx.doi.org/10.15446/esrj.v24n3.77670","http://dx.doi.org/10.15446/esrj.v24n3.77670")</f>
        <v>http://dx.doi.org/10.15446/esrj.v24n3.77670</v>
      </c>
      <c r="Z402" t="s">
        <v>4116</v>
      </c>
      <c r="AA402" t="s">
        <v>3826</v>
      </c>
      <c r="AB402" s="3">
        <v>45672</v>
      </c>
      <c r="AC402" t="s">
        <v>7414</v>
      </c>
      <c r="AD402" t="str">
        <f>HYPERLINK("https%3A%2F%2Fwww.webofscience.com%2Fwos%2Fwoscc%2Ffull-record%2FWOS:000600896900007","View Full Record in Web of Science")</f>
        <v>View Full Record in Web of Science</v>
      </c>
    </row>
    <row r="403" spans="1:30" x14ac:dyDescent="0.35">
      <c r="A403">
        <v>402</v>
      </c>
      <c r="B403" t="s">
        <v>3432</v>
      </c>
      <c r="C403" t="s">
        <v>7415</v>
      </c>
      <c r="D403" t="s">
        <v>3432</v>
      </c>
      <c r="E403" t="s">
        <v>2869</v>
      </c>
      <c r="F403" t="s">
        <v>3810</v>
      </c>
      <c r="G403" t="s">
        <v>7416</v>
      </c>
      <c r="H403" t="s">
        <v>7417</v>
      </c>
      <c r="I403" t="s">
        <v>7418</v>
      </c>
      <c r="J403" t="s">
        <v>7419</v>
      </c>
      <c r="K403" t="s">
        <v>7420</v>
      </c>
      <c r="L403">
        <v>6</v>
      </c>
      <c r="M403" t="s">
        <v>3880</v>
      </c>
      <c r="N403" t="s">
        <v>3881</v>
      </c>
      <c r="O403" t="s">
        <v>3882</v>
      </c>
      <c r="P403" t="s">
        <v>3897</v>
      </c>
      <c r="Q403" t="s">
        <v>3898</v>
      </c>
      <c r="R403" t="s">
        <v>3899</v>
      </c>
      <c r="S403" t="s">
        <v>3900</v>
      </c>
      <c r="T403" t="s">
        <v>4577</v>
      </c>
      <c r="U403">
        <v>2019</v>
      </c>
      <c r="V403">
        <v>40</v>
      </c>
      <c r="W403">
        <v>19</v>
      </c>
      <c r="X403" t="s">
        <v>7421</v>
      </c>
      <c r="Y403" t="str">
        <f>HYPERLINK("http://dx.doi.org/10.1080/01431161.2019.1608394","http://dx.doi.org/10.1080/01431161.2019.1608394")</f>
        <v>http://dx.doi.org/10.1080/01431161.2019.1608394</v>
      </c>
      <c r="Z403" t="s">
        <v>3903</v>
      </c>
      <c r="AA403" t="s">
        <v>3826</v>
      </c>
      <c r="AB403" s="3">
        <v>45672</v>
      </c>
      <c r="AC403" t="s">
        <v>7422</v>
      </c>
      <c r="AD403" t="str">
        <f>HYPERLINK("https%3A%2F%2Fwww.webofscience.com%2Fwos%2Fwoscc%2Ffull-record%2FWOS:000471955100020","View Full Record in Web of Science")</f>
        <v>View Full Record in Web of Science</v>
      </c>
    </row>
    <row r="404" spans="1:30" x14ac:dyDescent="0.35">
      <c r="A404">
        <v>403</v>
      </c>
      <c r="B404" t="s">
        <v>3433</v>
      </c>
      <c r="C404" t="s">
        <v>7423</v>
      </c>
      <c r="D404" t="s">
        <v>3433</v>
      </c>
      <c r="E404" t="s">
        <v>2871</v>
      </c>
      <c r="F404" t="s">
        <v>3810</v>
      </c>
      <c r="G404" t="s">
        <v>7424</v>
      </c>
      <c r="H404" t="s">
        <v>7425</v>
      </c>
      <c r="I404" t="s">
        <v>7426</v>
      </c>
      <c r="J404" t="s">
        <v>7427</v>
      </c>
      <c r="K404" t="s">
        <v>7428</v>
      </c>
      <c r="L404">
        <v>14</v>
      </c>
      <c r="M404" t="s">
        <v>3866</v>
      </c>
      <c r="N404" t="s">
        <v>3817</v>
      </c>
      <c r="O404" t="s">
        <v>3867</v>
      </c>
      <c r="P404" t="s">
        <v>3928</v>
      </c>
      <c r="Q404" t="s">
        <v>3929</v>
      </c>
      <c r="R404" t="s">
        <v>3930</v>
      </c>
      <c r="S404" t="s">
        <v>3931</v>
      </c>
      <c r="T404" t="s">
        <v>3918</v>
      </c>
      <c r="U404">
        <v>2022</v>
      </c>
      <c r="V404">
        <v>112</v>
      </c>
      <c r="W404">
        <v>3</v>
      </c>
      <c r="X404" t="s">
        <v>7429</v>
      </c>
      <c r="Y404" t="str">
        <f>HYPERLINK("http://dx.doi.org/10.1007/s11069-022-05250-w","http://dx.doi.org/10.1007/s11069-022-05250-w")</f>
        <v>http://dx.doi.org/10.1007/s11069-022-05250-w</v>
      </c>
      <c r="Z404" t="s">
        <v>3934</v>
      </c>
      <c r="AA404" t="s">
        <v>3826</v>
      </c>
      <c r="AB404" s="3">
        <v>45672</v>
      </c>
      <c r="AC404" t="s">
        <v>7430</v>
      </c>
      <c r="AD404" t="str">
        <f>HYPERLINK("https%3A%2F%2Fwww.webofscience.com%2Fwos%2Fwoscc%2Ffull-record%2FWOS:000769571900005","View Full Record in Web of Science")</f>
        <v>View Full Record in Web of Science</v>
      </c>
    </row>
    <row r="405" spans="1:30" x14ac:dyDescent="0.35">
      <c r="A405">
        <v>404</v>
      </c>
      <c r="B405" t="s">
        <v>3434</v>
      </c>
      <c r="C405" t="s">
        <v>7431</v>
      </c>
      <c r="D405" t="s">
        <v>3434</v>
      </c>
      <c r="E405" t="s">
        <v>2872</v>
      </c>
      <c r="F405" t="s">
        <v>3810</v>
      </c>
      <c r="G405" t="s">
        <v>7432</v>
      </c>
      <c r="H405" t="s">
        <v>7433</v>
      </c>
      <c r="I405" t="s">
        <v>7434</v>
      </c>
      <c r="J405" t="s">
        <v>7435</v>
      </c>
      <c r="K405" t="s">
        <v>7436</v>
      </c>
      <c r="L405">
        <v>6</v>
      </c>
      <c r="M405" t="s">
        <v>3951</v>
      </c>
      <c r="N405" t="s">
        <v>3952</v>
      </c>
      <c r="O405" t="s">
        <v>3953</v>
      </c>
      <c r="P405" t="s">
        <v>3954</v>
      </c>
      <c r="Q405" t="s">
        <v>3955</v>
      </c>
      <c r="R405" t="s">
        <v>3956</v>
      </c>
      <c r="S405" t="s">
        <v>3957</v>
      </c>
      <c r="T405" t="s">
        <v>4163</v>
      </c>
      <c r="U405">
        <v>2021</v>
      </c>
      <c r="V405">
        <v>603</v>
      </c>
      <c r="W405" t="s">
        <v>3808</v>
      </c>
      <c r="X405" t="s">
        <v>7437</v>
      </c>
      <c r="Y405" t="str">
        <f>HYPERLINK("http://dx.doi.org/10.1016/j.jhydrol.2021.126951","http://dx.doi.org/10.1016/j.jhydrol.2021.126951")</f>
        <v>http://dx.doi.org/10.1016/j.jhydrol.2021.126951</v>
      </c>
      <c r="Z405" t="s">
        <v>3960</v>
      </c>
      <c r="AA405" t="s">
        <v>3826</v>
      </c>
      <c r="AB405" s="3">
        <v>45672</v>
      </c>
      <c r="AC405" t="s">
        <v>7438</v>
      </c>
      <c r="AD405" t="str">
        <f>HYPERLINK("https%3A%2F%2Fwww.webofscience.com%2Fwos%2Fwoscc%2Ffull-record%2FWOS:000706318300029","View Full Record in Web of Science")</f>
        <v>View Full Record in Web of Science</v>
      </c>
    </row>
    <row r="406" spans="1:30" x14ac:dyDescent="0.35">
      <c r="A406">
        <v>405</v>
      </c>
      <c r="B406" t="s">
        <v>3435</v>
      </c>
      <c r="C406" t="s">
        <v>7439</v>
      </c>
      <c r="D406" t="s">
        <v>3435</v>
      </c>
      <c r="E406" t="s">
        <v>2866</v>
      </c>
      <c r="F406" t="s">
        <v>3810</v>
      </c>
      <c r="G406" t="s">
        <v>7440</v>
      </c>
      <c r="H406" t="s">
        <v>7441</v>
      </c>
      <c r="I406" t="s">
        <v>7442</v>
      </c>
      <c r="J406" t="s">
        <v>7443</v>
      </c>
      <c r="K406" t="s">
        <v>7444</v>
      </c>
      <c r="L406">
        <v>5</v>
      </c>
      <c r="M406" t="s">
        <v>3850</v>
      </c>
      <c r="N406" t="s">
        <v>3851</v>
      </c>
      <c r="O406" t="s">
        <v>3852</v>
      </c>
      <c r="P406" t="s">
        <v>3853</v>
      </c>
      <c r="Q406" t="s">
        <v>3854</v>
      </c>
      <c r="R406" t="s">
        <v>3855</v>
      </c>
      <c r="S406" t="s">
        <v>3856</v>
      </c>
      <c r="T406" t="s">
        <v>4001</v>
      </c>
      <c r="U406">
        <v>2016</v>
      </c>
      <c r="V406">
        <v>36</v>
      </c>
      <c r="W406">
        <v>1</v>
      </c>
      <c r="X406" t="s">
        <v>7445</v>
      </c>
      <c r="Y406" t="str">
        <f>HYPERLINK("http://dx.doi.org/10.1002/joc.4361","http://dx.doi.org/10.1002/joc.4361")</f>
        <v>http://dx.doi.org/10.1002/joc.4361</v>
      </c>
      <c r="Z406" t="s">
        <v>3825</v>
      </c>
      <c r="AA406" t="s">
        <v>3826</v>
      </c>
      <c r="AB406" s="3">
        <v>45672</v>
      </c>
      <c r="AC406" t="s">
        <v>7446</v>
      </c>
      <c r="AD406" t="str">
        <f>HYPERLINK("https%3A%2F%2Fwww.webofscience.com%2Fwos%2Fwoscc%2Ffull-record%2FWOS:000367734800031","View Full Record in Web of Science")</f>
        <v>View Full Record in Web of Science</v>
      </c>
    </row>
    <row r="407" spans="1:30" x14ac:dyDescent="0.35">
      <c r="A407">
        <v>406</v>
      </c>
      <c r="B407" t="s">
        <v>3436</v>
      </c>
      <c r="C407" t="s">
        <v>7447</v>
      </c>
      <c r="D407" t="s">
        <v>3436</v>
      </c>
      <c r="E407" t="s">
        <v>2988</v>
      </c>
      <c r="F407" t="s">
        <v>3810</v>
      </c>
      <c r="G407" t="s">
        <v>7448</v>
      </c>
      <c r="H407" t="s">
        <v>7449</v>
      </c>
      <c r="I407" t="s">
        <v>7450</v>
      </c>
      <c r="J407" t="s">
        <v>7451</v>
      </c>
      <c r="K407" t="s">
        <v>7452</v>
      </c>
      <c r="L407">
        <v>3</v>
      </c>
      <c r="M407" t="s">
        <v>3951</v>
      </c>
      <c r="N407" t="s">
        <v>3952</v>
      </c>
      <c r="O407" t="s">
        <v>3953</v>
      </c>
      <c r="P407" t="s">
        <v>7453</v>
      </c>
      <c r="Q407" t="s">
        <v>3808</v>
      </c>
      <c r="R407" t="s">
        <v>7454</v>
      </c>
      <c r="S407" t="s">
        <v>7455</v>
      </c>
      <c r="T407" t="s">
        <v>4773</v>
      </c>
      <c r="U407">
        <v>2021</v>
      </c>
      <c r="V407">
        <v>6</v>
      </c>
      <c r="W407" t="s">
        <v>3808</v>
      </c>
      <c r="X407" t="s">
        <v>7456</v>
      </c>
      <c r="Y407" t="str">
        <f>HYPERLINK("http://dx.doi.org/10.1016/j.jaesx.2021.100072","http://dx.doi.org/10.1016/j.jaesx.2021.100072")</f>
        <v>http://dx.doi.org/10.1016/j.jaesx.2021.100072</v>
      </c>
      <c r="Z407" t="s">
        <v>4116</v>
      </c>
      <c r="AA407" t="s">
        <v>4117</v>
      </c>
      <c r="AB407" s="3">
        <v>45672</v>
      </c>
      <c r="AC407" t="s">
        <v>7457</v>
      </c>
      <c r="AD407" t="str">
        <f>HYPERLINK("https%3A%2F%2Fwww.webofscience.com%2Fwos%2Fwoscc%2Ffull-record%2FWOS:001038185100005","View Full Record in Web of Science")</f>
        <v>View Full Record in Web of Science</v>
      </c>
    </row>
    <row r="408" spans="1:30" x14ac:dyDescent="0.35">
      <c r="A408">
        <v>407</v>
      </c>
      <c r="B408" t="s">
        <v>3437</v>
      </c>
      <c r="C408" t="s">
        <v>7458</v>
      </c>
      <c r="D408" t="s">
        <v>3437</v>
      </c>
      <c r="E408" t="s">
        <v>2900</v>
      </c>
      <c r="F408" t="s">
        <v>3810</v>
      </c>
      <c r="G408" t="s">
        <v>7459</v>
      </c>
      <c r="H408" t="s">
        <v>7460</v>
      </c>
      <c r="I408" t="s">
        <v>7461</v>
      </c>
      <c r="J408" t="s">
        <v>7462</v>
      </c>
      <c r="K408" t="s">
        <v>7463</v>
      </c>
      <c r="L408">
        <v>31</v>
      </c>
      <c r="M408" t="s">
        <v>4339</v>
      </c>
      <c r="N408" t="s">
        <v>4340</v>
      </c>
      <c r="O408" t="s">
        <v>4341</v>
      </c>
      <c r="P408" t="s">
        <v>4342</v>
      </c>
      <c r="Q408" t="s">
        <v>4343</v>
      </c>
      <c r="R408" t="s">
        <v>4344</v>
      </c>
      <c r="S408" t="s">
        <v>4345</v>
      </c>
      <c r="T408" t="s">
        <v>7464</v>
      </c>
      <c r="U408">
        <v>2020</v>
      </c>
      <c r="V408">
        <v>20</v>
      </c>
      <c r="W408">
        <v>8</v>
      </c>
      <c r="X408" t="s">
        <v>7465</v>
      </c>
      <c r="Y408" t="str">
        <f>HYPERLINK("http://dx.doi.org/10.5194/nhess-20-2221-2020","http://dx.doi.org/10.5194/nhess-20-2221-2020")</f>
        <v>http://dx.doi.org/10.5194/nhess-20-2221-2020</v>
      </c>
      <c r="Z408" t="s">
        <v>3934</v>
      </c>
      <c r="AA408" t="s">
        <v>3826</v>
      </c>
      <c r="AB408" s="3">
        <v>45672</v>
      </c>
      <c r="AC408" t="s">
        <v>7466</v>
      </c>
      <c r="AD408" t="str">
        <f>HYPERLINK("https%3A%2F%2Fwww.webofscience.com%2Fwos%2Fwoscc%2Ffull-record%2FWOS:000562938000003","View Full Record in Web of Science")</f>
        <v>View Full Record in Web of Science</v>
      </c>
    </row>
    <row r="409" spans="1:30" x14ac:dyDescent="0.35">
      <c r="A409">
        <v>408</v>
      </c>
      <c r="B409" t="s">
        <v>3438</v>
      </c>
      <c r="C409" t="s">
        <v>7467</v>
      </c>
      <c r="D409" t="s">
        <v>3438</v>
      </c>
      <c r="E409" t="s">
        <v>2977</v>
      </c>
      <c r="F409" t="s">
        <v>3810</v>
      </c>
      <c r="G409" t="s">
        <v>7468</v>
      </c>
      <c r="H409" t="s">
        <v>7469</v>
      </c>
      <c r="I409" t="s">
        <v>7470</v>
      </c>
      <c r="J409" t="s">
        <v>7471</v>
      </c>
      <c r="K409" t="s">
        <v>7472</v>
      </c>
      <c r="L409">
        <v>1</v>
      </c>
      <c r="M409" t="s">
        <v>4046</v>
      </c>
      <c r="N409" t="s">
        <v>4047</v>
      </c>
      <c r="O409" t="s">
        <v>4048</v>
      </c>
      <c r="P409" t="s">
        <v>7162</v>
      </c>
      <c r="Q409" t="s">
        <v>7163</v>
      </c>
      <c r="R409" t="s">
        <v>7164</v>
      </c>
      <c r="S409" t="s">
        <v>7165</v>
      </c>
      <c r="T409" t="s">
        <v>6876</v>
      </c>
      <c r="U409">
        <v>2023</v>
      </c>
      <c r="V409">
        <v>305</v>
      </c>
      <c r="W409" t="s">
        <v>3808</v>
      </c>
      <c r="X409" t="s">
        <v>7473</v>
      </c>
      <c r="Y409" t="str">
        <f>HYPERLINK("http://dx.doi.org/10.1016/j.quascirev.2023.108015","http://dx.doi.org/10.1016/j.quascirev.2023.108015")</f>
        <v>http://dx.doi.org/10.1016/j.quascirev.2023.108015</v>
      </c>
      <c r="Z409" t="s">
        <v>4203</v>
      </c>
      <c r="AA409" t="s">
        <v>3826</v>
      </c>
      <c r="AB409" s="3">
        <v>45672</v>
      </c>
      <c r="AC409" t="s">
        <v>7474</v>
      </c>
      <c r="AD409" t="str">
        <f>HYPERLINK("https%3A%2F%2Fwww.webofscience.com%2Fwos%2Fwoscc%2Ffull-record%2FWOS:000961626100001","View Full Record in Web of Science")</f>
        <v>View Full Record in Web of Science</v>
      </c>
    </row>
    <row r="410" spans="1:30" x14ac:dyDescent="0.35">
      <c r="A410">
        <v>409</v>
      </c>
      <c r="B410" t="s">
        <v>3439</v>
      </c>
      <c r="C410" t="s">
        <v>7475</v>
      </c>
      <c r="D410" t="s">
        <v>3439</v>
      </c>
      <c r="E410" t="s">
        <v>2900</v>
      </c>
      <c r="F410" t="s">
        <v>3810</v>
      </c>
      <c r="G410" t="s">
        <v>7476</v>
      </c>
      <c r="H410" t="s">
        <v>7477</v>
      </c>
      <c r="I410" t="s">
        <v>7478</v>
      </c>
      <c r="J410" t="s">
        <v>7479</v>
      </c>
      <c r="K410" t="s">
        <v>7480</v>
      </c>
      <c r="L410">
        <v>20</v>
      </c>
      <c r="M410" t="s">
        <v>4339</v>
      </c>
      <c r="N410" t="s">
        <v>4340</v>
      </c>
      <c r="O410" t="s">
        <v>4341</v>
      </c>
      <c r="P410" t="s">
        <v>4342</v>
      </c>
      <c r="Q410" t="s">
        <v>3808</v>
      </c>
      <c r="R410" t="s">
        <v>4344</v>
      </c>
      <c r="S410" t="s">
        <v>4345</v>
      </c>
      <c r="T410" t="s">
        <v>7481</v>
      </c>
      <c r="U410">
        <v>2018</v>
      </c>
      <c r="V410">
        <v>18</v>
      </c>
      <c r="W410">
        <v>11</v>
      </c>
      <c r="X410" t="s">
        <v>7482</v>
      </c>
      <c r="Y410" t="str">
        <f>HYPERLINK("http://dx.doi.org/10.5194/nhess-18-2859-2018","http://dx.doi.org/10.5194/nhess-18-2859-2018")</f>
        <v>http://dx.doi.org/10.5194/nhess-18-2859-2018</v>
      </c>
      <c r="Z410" t="s">
        <v>3934</v>
      </c>
      <c r="AA410" t="s">
        <v>3826</v>
      </c>
      <c r="AB410" s="3">
        <v>45672</v>
      </c>
      <c r="AC410" t="s">
        <v>7483</v>
      </c>
      <c r="AD410" t="str">
        <f>HYPERLINK("https%3A%2F%2Fwww.webofscience.com%2Fwos%2Fwoscc%2Ffull-record%2FWOS:000449344000001","View Full Record in Web of Science")</f>
        <v>View Full Record in Web of Science</v>
      </c>
    </row>
    <row r="411" spans="1:30" x14ac:dyDescent="0.35">
      <c r="A411">
        <v>410</v>
      </c>
      <c r="B411" t="s">
        <v>3440</v>
      </c>
      <c r="C411" t="s">
        <v>7484</v>
      </c>
      <c r="D411" t="s">
        <v>3440</v>
      </c>
      <c r="E411" t="s">
        <v>2952</v>
      </c>
      <c r="F411" t="s">
        <v>3810</v>
      </c>
      <c r="G411" t="s">
        <v>7485</v>
      </c>
      <c r="H411" t="s">
        <v>7486</v>
      </c>
      <c r="I411" t="s">
        <v>7487</v>
      </c>
      <c r="J411" t="s">
        <v>7488</v>
      </c>
      <c r="K411" t="s">
        <v>7489</v>
      </c>
      <c r="L411">
        <v>6</v>
      </c>
      <c r="M411" t="s">
        <v>4339</v>
      </c>
      <c r="N411" t="s">
        <v>4340</v>
      </c>
      <c r="O411" t="s">
        <v>4341</v>
      </c>
      <c r="P411" t="s">
        <v>6187</v>
      </c>
      <c r="Q411" t="s">
        <v>6188</v>
      </c>
      <c r="R411" t="s">
        <v>6189</v>
      </c>
      <c r="S411" t="s">
        <v>6190</v>
      </c>
      <c r="T411" t="s">
        <v>4053</v>
      </c>
      <c r="U411">
        <v>2022</v>
      </c>
      <c r="V411">
        <v>18</v>
      </c>
      <c r="W411">
        <v>4</v>
      </c>
      <c r="X411" t="s">
        <v>7490</v>
      </c>
      <c r="Y411" t="str">
        <f>HYPERLINK("http://dx.doi.org/10.5194/os-18-1131-2022","http://dx.doi.org/10.5194/os-18-1131-2022")</f>
        <v>http://dx.doi.org/10.5194/os-18-1131-2022</v>
      </c>
      <c r="Z411" t="s">
        <v>6193</v>
      </c>
      <c r="AA411" t="s">
        <v>3826</v>
      </c>
      <c r="AB411" s="3">
        <v>45672</v>
      </c>
      <c r="AC411" t="s">
        <v>7491</v>
      </c>
      <c r="AD411" t="str">
        <f>HYPERLINK("https%3A%2F%2Fwww.webofscience.com%2Fwos%2Fwoscc%2Ffull-record%2FWOS:000834266600001","View Full Record in Web of Science")</f>
        <v>View Full Record in Web of Science</v>
      </c>
    </row>
    <row r="412" spans="1:30" x14ac:dyDescent="0.35">
      <c r="A412">
        <v>411</v>
      </c>
      <c r="B412" t="s">
        <v>3441</v>
      </c>
      <c r="C412" t="s">
        <v>7492</v>
      </c>
      <c r="D412" t="s">
        <v>3441</v>
      </c>
      <c r="E412" t="s">
        <v>2989</v>
      </c>
      <c r="F412" t="s">
        <v>3810</v>
      </c>
      <c r="G412" t="s">
        <v>7493</v>
      </c>
      <c r="H412" t="s">
        <v>7494</v>
      </c>
      <c r="I412" t="s">
        <v>7495</v>
      </c>
      <c r="J412" t="s">
        <v>7496</v>
      </c>
      <c r="K412" t="s">
        <v>7497</v>
      </c>
      <c r="L412">
        <v>19</v>
      </c>
      <c r="M412" t="s">
        <v>3911</v>
      </c>
      <c r="N412" t="s">
        <v>3912</v>
      </c>
      <c r="O412" t="s">
        <v>3913</v>
      </c>
      <c r="P412" t="s">
        <v>3808</v>
      </c>
      <c r="Q412" t="s">
        <v>7498</v>
      </c>
      <c r="R412" t="s">
        <v>7499</v>
      </c>
      <c r="S412" t="s">
        <v>7500</v>
      </c>
      <c r="T412" t="s">
        <v>4114</v>
      </c>
      <c r="U412">
        <v>2019</v>
      </c>
      <c r="V412">
        <v>11</v>
      </c>
      <c r="W412">
        <v>3</v>
      </c>
      <c r="X412" t="s">
        <v>7501</v>
      </c>
      <c r="Y412" t="str">
        <f>HYPERLINK("http://dx.doi.org/10.1029/2018MS001490","http://dx.doi.org/10.1029/2018MS001490")</f>
        <v>http://dx.doi.org/10.1029/2018MS001490</v>
      </c>
      <c r="Z412" t="s">
        <v>3825</v>
      </c>
      <c r="AA412" t="s">
        <v>3826</v>
      </c>
      <c r="AB412" s="3">
        <v>45672</v>
      </c>
      <c r="AC412" t="s">
        <v>7502</v>
      </c>
      <c r="AD412" t="str">
        <f>HYPERLINK("https%3A%2F%2Fwww.webofscience.com%2Fwos%2Fwoscc%2Ffull-record%2FWOS:000465080300009","View Full Record in Web of Science")</f>
        <v>View Full Record in Web of Science</v>
      </c>
    </row>
    <row r="413" spans="1:30" x14ac:dyDescent="0.35">
      <c r="A413">
        <v>412</v>
      </c>
      <c r="B413" t="s">
        <v>3442</v>
      </c>
      <c r="C413" t="s">
        <v>7503</v>
      </c>
      <c r="D413" t="s">
        <v>3442</v>
      </c>
      <c r="E413" t="s">
        <v>2924</v>
      </c>
      <c r="F413" t="s">
        <v>3810</v>
      </c>
      <c r="G413" t="s">
        <v>7504</v>
      </c>
      <c r="H413" t="s">
        <v>7505</v>
      </c>
      <c r="I413" t="s">
        <v>7506</v>
      </c>
      <c r="J413" t="s">
        <v>3808</v>
      </c>
      <c r="K413" t="s">
        <v>3808</v>
      </c>
      <c r="L413">
        <v>24</v>
      </c>
      <c r="M413" t="s">
        <v>3911</v>
      </c>
      <c r="N413" t="s">
        <v>3912</v>
      </c>
      <c r="O413" t="s">
        <v>3913</v>
      </c>
      <c r="P413" t="s">
        <v>4965</v>
      </c>
      <c r="Q413" t="s">
        <v>4966</v>
      </c>
      <c r="R413" t="s">
        <v>4967</v>
      </c>
      <c r="S413" t="s">
        <v>4968</v>
      </c>
      <c r="T413" t="s">
        <v>7507</v>
      </c>
      <c r="U413">
        <v>2017</v>
      </c>
      <c r="V413">
        <v>44</v>
      </c>
      <c r="W413">
        <v>22</v>
      </c>
      <c r="X413" t="s">
        <v>7508</v>
      </c>
      <c r="Y413" t="str">
        <f>HYPERLINK("http://dx.doi.org/10.1002/2017GL075760","http://dx.doi.org/10.1002/2017GL075760")</f>
        <v>http://dx.doi.org/10.1002/2017GL075760</v>
      </c>
      <c r="Z413" t="s">
        <v>4116</v>
      </c>
      <c r="AA413" t="s">
        <v>3826</v>
      </c>
      <c r="AB413" s="3">
        <v>45672</v>
      </c>
      <c r="AC413" t="s">
        <v>7509</v>
      </c>
      <c r="AD413" t="str">
        <f>HYPERLINK("https%3A%2F%2Fwww.webofscience.com%2Fwos%2Fwoscc%2Ffull-record%2FWOS:000419102300047","View Full Record in Web of Science")</f>
        <v>View Full Record in Web of Science</v>
      </c>
    </row>
    <row r="414" spans="1:30" x14ac:dyDescent="0.35">
      <c r="A414">
        <v>413</v>
      </c>
      <c r="B414" t="s">
        <v>3443</v>
      </c>
      <c r="C414" t="s">
        <v>7510</v>
      </c>
      <c r="D414" t="s">
        <v>3443</v>
      </c>
      <c r="E414" t="s">
        <v>2926</v>
      </c>
      <c r="F414" t="s">
        <v>3810</v>
      </c>
      <c r="G414" t="s">
        <v>7511</v>
      </c>
      <c r="H414" t="s">
        <v>7512</v>
      </c>
      <c r="I414" t="s">
        <v>7513</v>
      </c>
      <c r="K414" t="s">
        <v>3808</v>
      </c>
      <c r="L414">
        <v>4</v>
      </c>
      <c r="M414" t="s">
        <v>3951</v>
      </c>
      <c r="N414" t="s">
        <v>3952</v>
      </c>
      <c r="O414" t="s">
        <v>3953</v>
      </c>
      <c r="P414" t="s">
        <v>5029</v>
      </c>
      <c r="Q414" t="s">
        <v>3808</v>
      </c>
      <c r="R414" t="s">
        <v>5030</v>
      </c>
      <c r="S414" t="s">
        <v>5031</v>
      </c>
      <c r="T414" t="s">
        <v>7038</v>
      </c>
      <c r="U414">
        <v>2022</v>
      </c>
      <c r="V414">
        <v>80</v>
      </c>
      <c r="W414" t="s">
        <v>3808</v>
      </c>
      <c r="X414" t="s">
        <v>7514</v>
      </c>
      <c r="Y414" t="str">
        <f>HYPERLINK("http://dx.doi.org/10.1016/j.ijdrr.2022.103239","http://dx.doi.org/10.1016/j.ijdrr.2022.103239")</f>
        <v>http://dx.doi.org/10.1016/j.ijdrr.2022.103239</v>
      </c>
      <c r="Z414" t="s">
        <v>3934</v>
      </c>
      <c r="AA414" t="s">
        <v>3826</v>
      </c>
      <c r="AB414" s="3">
        <v>45672</v>
      </c>
      <c r="AC414" t="s">
        <v>7515</v>
      </c>
      <c r="AD414" t="str">
        <f>HYPERLINK("https%3A%2F%2Fwww.webofscience.com%2Fwos%2Fwoscc%2Ffull-record%2FWOS:000877545700004","View Full Record in Web of Science")</f>
        <v>View Full Record in Web of Science</v>
      </c>
    </row>
    <row r="415" spans="1:30" x14ac:dyDescent="0.35">
      <c r="A415">
        <v>414</v>
      </c>
      <c r="B415" t="s">
        <v>3444</v>
      </c>
      <c r="C415" t="s">
        <v>7516</v>
      </c>
      <c r="D415" t="s">
        <v>3444</v>
      </c>
      <c r="E415" t="s">
        <v>2981</v>
      </c>
      <c r="F415" t="s">
        <v>3810</v>
      </c>
      <c r="G415" t="s">
        <v>7517</v>
      </c>
      <c r="H415" t="s">
        <v>7518</v>
      </c>
      <c r="I415" t="s">
        <v>7519</v>
      </c>
      <c r="J415" t="s">
        <v>7520</v>
      </c>
      <c r="K415" t="s">
        <v>7521</v>
      </c>
      <c r="L415">
        <v>41</v>
      </c>
      <c r="M415" t="s">
        <v>3866</v>
      </c>
      <c r="N415" t="s">
        <v>3817</v>
      </c>
      <c r="O415" t="s">
        <v>3867</v>
      </c>
      <c r="P415" t="s">
        <v>7336</v>
      </c>
      <c r="Q415" t="s">
        <v>7337</v>
      </c>
      <c r="R415" t="s">
        <v>7338</v>
      </c>
      <c r="S415" t="s">
        <v>7339</v>
      </c>
      <c r="T415" t="s">
        <v>3872</v>
      </c>
      <c r="U415">
        <v>2015</v>
      </c>
      <c r="V415">
        <v>77</v>
      </c>
      <c r="W415">
        <v>9</v>
      </c>
      <c r="X415" t="s">
        <v>7522</v>
      </c>
      <c r="Y415" t="str">
        <f>HYPERLINK("http://dx.doi.org/10.1007/s00445-015-0960-9","http://dx.doi.org/10.1007/s00445-015-0960-9")</f>
        <v>http://dx.doi.org/10.1007/s00445-015-0960-9</v>
      </c>
      <c r="Z415" t="s">
        <v>4116</v>
      </c>
      <c r="AA415" t="s">
        <v>3826</v>
      </c>
      <c r="AB415" s="3">
        <v>45672</v>
      </c>
      <c r="AC415" t="s">
        <v>7523</v>
      </c>
      <c r="AD415" t="str">
        <f>HYPERLINK("https%3A%2F%2Fwww.webofscience.com%2Fwos%2Fwoscc%2Ffull-record%2FWOS:000359429800003","View Full Record in Web of Science")</f>
        <v>View Full Record in Web of Science</v>
      </c>
    </row>
    <row r="416" spans="1:30" x14ac:dyDescent="0.35">
      <c r="A416">
        <v>415</v>
      </c>
      <c r="B416" t="s">
        <v>3445</v>
      </c>
      <c r="C416" t="s">
        <v>7524</v>
      </c>
      <c r="D416" t="s">
        <v>3445</v>
      </c>
      <c r="E416" t="s">
        <v>2972</v>
      </c>
      <c r="F416" t="s">
        <v>3810</v>
      </c>
      <c r="G416" t="s">
        <v>7525</v>
      </c>
      <c r="H416" t="s">
        <v>7526</v>
      </c>
      <c r="I416" t="s">
        <v>7527</v>
      </c>
      <c r="J416" t="s">
        <v>7528</v>
      </c>
      <c r="K416" t="s">
        <v>7529</v>
      </c>
      <c r="L416">
        <v>18</v>
      </c>
      <c r="M416" t="s">
        <v>5326</v>
      </c>
      <c r="N416" t="s">
        <v>4047</v>
      </c>
      <c r="O416" t="s">
        <v>5327</v>
      </c>
      <c r="P416" t="s">
        <v>6872</v>
      </c>
      <c r="Q416" t="s">
        <v>6873</v>
      </c>
      <c r="R416" t="s">
        <v>6874</v>
      </c>
      <c r="S416" t="s">
        <v>6875</v>
      </c>
      <c r="T416" t="s">
        <v>4636</v>
      </c>
      <c r="U416">
        <v>2018</v>
      </c>
      <c r="V416">
        <v>153</v>
      </c>
      <c r="W416" t="s">
        <v>3808</v>
      </c>
      <c r="X416" t="s">
        <v>7530</v>
      </c>
      <c r="Y416" t="str">
        <f>HYPERLINK("http://dx.doi.org/10.1016/j.ocecoaman.2017.12.007","http://dx.doi.org/10.1016/j.ocecoaman.2017.12.007")</f>
        <v>http://dx.doi.org/10.1016/j.ocecoaman.2017.12.007</v>
      </c>
      <c r="Z416" t="s">
        <v>6878</v>
      </c>
      <c r="AA416" t="s">
        <v>3826</v>
      </c>
      <c r="AB416" s="3">
        <v>45672</v>
      </c>
      <c r="AC416" t="s">
        <v>7531</v>
      </c>
      <c r="AD416" t="str">
        <f>HYPERLINK("https%3A%2F%2Fwww.webofscience.com%2Fwos%2Fwoscc%2Ffull-record%2FWOS:000424073400009","View Full Record in Web of Science")</f>
        <v>View Full Record in Web of Science</v>
      </c>
    </row>
    <row r="417" spans="1:30" x14ac:dyDescent="0.35">
      <c r="A417">
        <v>416</v>
      </c>
      <c r="B417" t="s">
        <v>3446</v>
      </c>
      <c r="C417" t="s">
        <v>7532</v>
      </c>
      <c r="D417" t="s">
        <v>3446</v>
      </c>
      <c r="E417" t="s">
        <v>2924</v>
      </c>
      <c r="F417" t="s">
        <v>3810</v>
      </c>
      <c r="G417" t="s">
        <v>7533</v>
      </c>
      <c r="H417" t="s">
        <v>7534</v>
      </c>
      <c r="I417" t="s">
        <v>7535</v>
      </c>
      <c r="J417" t="s">
        <v>7536</v>
      </c>
      <c r="K417" t="s">
        <v>7537</v>
      </c>
      <c r="L417">
        <v>20</v>
      </c>
      <c r="M417" t="s">
        <v>3911</v>
      </c>
      <c r="N417" t="s">
        <v>3912</v>
      </c>
      <c r="O417" t="s">
        <v>3913</v>
      </c>
      <c r="P417" t="s">
        <v>4965</v>
      </c>
      <c r="Q417" t="s">
        <v>4966</v>
      </c>
      <c r="R417" t="s">
        <v>4967</v>
      </c>
      <c r="S417" t="s">
        <v>4968</v>
      </c>
      <c r="T417" t="s">
        <v>7538</v>
      </c>
      <c r="U417">
        <v>2020</v>
      </c>
      <c r="V417">
        <v>47</v>
      </c>
      <c r="W417">
        <v>16</v>
      </c>
      <c r="X417" t="s">
        <v>7539</v>
      </c>
      <c r="Y417" t="str">
        <f>HYPERLINK("http://dx.doi.org/10.1029/2020GL089396","http://dx.doi.org/10.1029/2020GL089396")</f>
        <v>http://dx.doi.org/10.1029/2020GL089396</v>
      </c>
      <c r="Z417" t="s">
        <v>4116</v>
      </c>
      <c r="AA417" t="s">
        <v>3826</v>
      </c>
      <c r="AB417" s="3">
        <v>45672</v>
      </c>
      <c r="AC417" t="s">
        <v>7540</v>
      </c>
      <c r="AD417" t="str">
        <f>HYPERLINK("https%3A%2F%2Fwww.webofscience.com%2Fwos%2Fwoscc%2Ffull-record%2FWOS:000566245300026","View Full Record in Web of Science")</f>
        <v>View Full Record in Web of Science</v>
      </c>
    </row>
    <row r="418" spans="1:30" x14ac:dyDescent="0.35">
      <c r="A418">
        <v>417</v>
      </c>
      <c r="B418" t="s">
        <v>3447</v>
      </c>
      <c r="C418" t="s">
        <v>7541</v>
      </c>
      <c r="D418" t="s">
        <v>3447</v>
      </c>
      <c r="E418" t="s">
        <v>2990</v>
      </c>
      <c r="F418" t="s">
        <v>3810</v>
      </c>
      <c r="G418" t="s">
        <v>7542</v>
      </c>
      <c r="H418" t="s">
        <v>7543</v>
      </c>
      <c r="I418" t="s">
        <v>7544</v>
      </c>
      <c r="J418" t="s">
        <v>7545</v>
      </c>
      <c r="K418" t="s">
        <v>7546</v>
      </c>
      <c r="L418">
        <v>12</v>
      </c>
      <c r="M418" t="s">
        <v>4211</v>
      </c>
      <c r="N418" t="s">
        <v>3952</v>
      </c>
      <c r="O418" t="s">
        <v>4212</v>
      </c>
      <c r="P418" t="s">
        <v>7547</v>
      </c>
      <c r="Q418" t="s">
        <v>7548</v>
      </c>
      <c r="R418" t="s">
        <v>7549</v>
      </c>
      <c r="S418" t="s">
        <v>7550</v>
      </c>
      <c r="T418" t="s">
        <v>4411</v>
      </c>
      <c r="U418">
        <v>2017</v>
      </c>
      <c r="V418">
        <v>472</v>
      </c>
      <c r="W418" t="s">
        <v>3808</v>
      </c>
      <c r="X418" t="s">
        <v>7551</v>
      </c>
      <c r="Y418" t="str">
        <f>HYPERLINK("http://dx.doi.org/10.1016/j.epsl.2017.04.015","http://dx.doi.org/10.1016/j.epsl.2017.04.015")</f>
        <v>http://dx.doi.org/10.1016/j.epsl.2017.04.015</v>
      </c>
      <c r="Z418" t="s">
        <v>3920</v>
      </c>
      <c r="AA418" t="s">
        <v>3826</v>
      </c>
      <c r="AB418" s="3">
        <v>45672</v>
      </c>
      <c r="AC418" t="s">
        <v>7552</v>
      </c>
      <c r="AD418" t="str">
        <f>HYPERLINK("https%3A%2F%2Fwww.webofscience.com%2Fwos%2Fwoscc%2Ffull-record%2FWOS:000405153600021","View Full Record in Web of Science")</f>
        <v>View Full Record in Web of Science</v>
      </c>
    </row>
    <row r="419" spans="1:30" x14ac:dyDescent="0.35">
      <c r="A419">
        <v>418</v>
      </c>
      <c r="B419" t="s">
        <v>3448</v>
      </c>
      <c r="C419" t="s">
        <v>7553</v>
      </c>
      <c r="D419" t="s">
        <v>3448</v>
      </c>
      <c r="E419" t="s">
        <v>2877</v>
      </c>
      <c r="F419" t="s">
        <v>3810</v>
      </c>
      <c r="G419" t="s">
        <v>7554</v>
      </c>
      <c r="H419" t="s">
        <v>7555</v>
      </c>
      <c r="I419" t="s">
        <v>4122</v>
      </c>
      <c r="J419" t="s">
        <v>7556</v>
      </c>
      <c r="K419" t="s">
        <v>7557</v>
      </c>
      <c r="L419">
        <v>14</v>
      </c>
      <c r="M419" t="s">
        <v>4033</v>
      </c>
      <c r="N419" t="s">
        <v>4034</v>
      </c>
      <c r="O419" t="s">
        <v>4035</v>
      </c>
      <c r="P419" t="s">
        <v>4036</v>
      </c>
      <c r="Q419" t="s">
        <v>4037</v>
      </c>
      <c r="R419" t="s">
        <v>4038</v>
      </c>
      <c r="S419" t="s">
        <v>4039</v>
      </c>
      <c r="T419" t="s">
        <v>3918</v>
      </c>
      <c r="U419">
        <v>2019</v>
      </c>
      <c r="V419">
        <v>32</v>
      </c>
      <c r="W419">
        <v>14</v>
      </c>
      <c r="X419" t="s">
        <v>7558</v>
      </c>
      <c r="Y419" t="str">
        <f>HYPERLINK("http://dx.doi.org/10.1175/JCLI-D-18-0480.1","http://dx.doi.org/10.1175/JCLI-D-18-0480.1")</f>
        <v>http://dx.doi.org/10.1175/JCLI-D-18-0480.1</v>
      </c>
      <c r="Z419" t="s">
        <v>3825</v>
      </c>
      <c r="AA419" t="s">
        <v>3826</v>
      </c>
      <c r="AB419" s="3">
        <v>45672</v>
      </c>
      <c r="AC419" t="s">
        <v>7559</v>
      </c>
      <c r="AD419" t="str">
        <f>HYPERLINK("https%3A%2F%2Fwww.webofscience.com%2Fwos%2Fwoscc%2Ffull-record%2FWOS:000472082600004","View Full Record in Web of Science")</f>
        <v>View Full Record in Web of Science</v>
      </c>
    </row>
    <row r="420" spans="1:30" x14ac:dyDescent="0.35">
      <c r="A420">
        <v>419</v>
      </c>
      <c r="B420" t="s">
        <v>3449</v>
      </c>
      <c r="C420" t="s">
        <v>67</v>
      </c>
      <c r="D420" t="s">
        <v>3449</v>
      </c>
      <c r="E420" t="s">
        <v>2918</v>
      </c>
      <c r="F420" t="s">
        <v>3810</v>
      </c>
      <c r="G420" t="s">
        <v>7560</v>
      </c>
      <c r="H420" t="s">
        <v>7561</v>
      </c>
      <c r="I420" t="s">
        <v>5026</v>
      </c>
      <c r="K420" t="s">
        <v>3808</v>
      </c>
      <c r="L420">
        <v>11</v>
      </c>
      <c r="M420" t="s">
        <v>4277</v>
      </c>
      <c r="N420" t="s">
        <v>4278</v>
      </c>
      <c r="O420" t="s">
        <v>4279</v>
      </c>
      <c r="P420" t="s">
        <v>4790</v>
      </c>
      <c r="Q420" t="s">
        <v>3808</v>
      </c>
      <c r="R420" t="s">
        <v>2918</v>
      </c>
      <c r="S420" t="s">
        <v>4791</v>
      </c>
      <c r="T420" t="s">
        <v>3872</v>
      </c>
      <c r="U420">
        <v>2019</v>
      </c>
      <c r="V420">
        <v>2</v>
      </c>
      <c r="W420">
        <v>3</v>
      </c>
      <c r="X420" t="s">
        <v>7562</v>
      </c>
      <c r="Y420" t="str">
        <f>HYPERLINK("http://dx.doi.org/10.3390/quat2030027","http://dx.doi.org/10.3390/quat2030027")</f>
        <v>http://dx.doi.org/10.3390/quat2030027</v>
      </c>
      <c r="Z420" t="s">
        <v>4116</v>
      </c>
      <c r="AA420" t="s">
        <v>4117</v>
      </c>
      <c r="AB420" s="3">
        <v>45672</v>
      </c>
      <c r="AC420" t="s">
        <v>7563</v>
      </c>
      <c r="AD420" t="str">
        <f>HYPERLINK("https%3A%2F%2Fwww.webofscience.com%2Fwos%2Fwoscc%2Ffull-record%2FWOS:000487949900009","View Full Record in Web of Science")</f>
        <v>View Full Record in Web of Science</v>
      </c>
    </row>
    <row r="421" spans="1:30" x14ac:dyDescent="0.35">
      <c r="A421">
        <v>420</v>
      </c>
      <c r="B421" t="s">
        <v>3450</v>
      </c>
      <c r="C421" t="s">
        <v>7564</v>
      </c>
      <c r="D421" t="s">
        <v>3450</v>
      </c>
      <c r="E421" t="s">
        <v>2924</v>
      </c>
      <c r="F421" t="s">
        <v>3810</v>
      </c>
      <c r="G421" t="s">
        <v>7565</v>
      </c>
      <c r="H421" t="s">
        <v>7566</v>
      </c>
      <c r="I421" t="s">
        <v>7567</v>
      </c>
      <c r="J421" t="s">
        <v>7568</v>
      </c>
      <c r="K421" t="s">
        <v>7569</v>
      </c>
      <c r="L421">
        <v>87</v>
      </c>
      <c r="M421" t="s">
        <v>3911</v>
      </c>
      <c r="N421" t="s">
        <v>3912</v>
      </c>
      <c r="O421" t="s">
        <v>3913</v>
      </c>
      <c r="P421" t="s">
        <v>4965</v>
      </c>
      <c r="Q421" t="s">
        <v>4966</v>
      </c>
      <c r="R421" t="s">
        <v>4967</v>
      </c>
      <c r="S421" t="s">
        <v>4968</v>
      </c>
      <c r="T421" t="s">
        <v>7507</v>
      </c>
      <c r="U421">
        <v>2019</v>
      </c>
      <c r="V421">
        <v>46</v>
      </c>
      <c r="W421">
        <v>22</v>
      </c>
      <c r="X421" t="s">
        <v>7570</v>
      </c>
      <c r="Y421" t="str">
        <f>HYPERLINK("http://dx.doi.org/10.1029/2019GL085395","http://dx.doi.org/10.1029/2019GL085395")</f>
        <v>http://dx.doi.org/10.1029/2019GL085395</v>
      </c>
      <c r="Z421" t="s">
        <v>4116</v>
      </c>
      <c r="AA421" t="s">
        <v>3826</v>
      </c>
      <c r="AB421" s="3">
        <v>45672</v>
      </c>
      <c r="AC421" t="s">
        <v>7571</v>
      </c>
      <c r="AD421" t="str">
        <f>HYPERLINK("https%3A%2F%2Fwww.webofscience.com%2Fwos%2Fwoscc%2Ffull-record%2FWOS:000499042700001","View Full Record in Web of Science")</f>
        <v>View Full Record in Web of Science</v>
      </c>
    </row>
    <row r="422" spans="1:30" x14ac:dyDescent="0.35">
      <c r="A422">
        <v>421</v>
      </c>
      <c r="B422" t="s">
        <v>3451</v>
      </c>
      <c r="C422" t="s">
        <v>7572</v>
      </c>
      <c r="D422" t="s">
        <v>3451</v>
      </c>
      <c r="E422" t="s">
        <v>2924</v>
      </c>
      <c r="F422" t="s">
        <v>3810</v>
      </c>
      <c r="G422" t="s">
        <v>7573</v>
      </c>
      <c r="H422" t="s">
        <v>7574</v>
      </c>
      <c r="I422" t="s">
        <v>7575</v>
      </c>
      <c r="J422" t="s">
        <v>7576</v>
      </c>
      <c r="K422" t="s">
        <v>7577</v>
      </c>
      <c r="L422">
        <v>38</v>
      </c>
      <c r="M422" t="s">
        <v>3911</v>
      </c>
      <c r="N422" t="s">
        <v>3912</v>
      </c>
      <c r="O422" t="s">
        <v>3913</v>
      </c>
      <c r="P422" t="s">
        <v>4965</v>
      </c>
      <c r="Q422" t="s">
        <v>4966</v>
      </c>
      <c r="R422" t="s">
        <v>4967</v>
      </c>
      <c r="S422" t="s">
        <v>4968</v>
      </c>
      <c r="T422" t="s">
        <v>4839</v>
      </c>
      <c r="U422">
        <v>2017</v>
      </c>
      <c r="V422">
        <v>44</v>
      </c>
      <c r="W422">
        <v>20</v>
      </c>
      <c r="X422" t="s">
        <v>7578</v>
      </c>
      <c r="Y422" t="str">
        <f>HYPERLINK("http://dx.doi.org/10.1002/2017GL075210","http://dx.doi.org/10.1002/2017GL075210")</f>
        <v>http://dx.doi.org/10.1002/2017GL075210</v>
      </c>
      <c r="Z422" t="s">
        <v>4116</v>
      </c>
      <c r="AA422" t="s">
        <v>3826</v>
      </c>
      <c r="AB422" s="3">
        <v>45672</v>
      </c>
      <c r="AC422" t="s">
        <v>7579</v>
      </c>
      <c r="AD422" t="str">
        <f>HYPERLINK("https%3A%2F%2Fwww.webofscience.com%2Fwos%2Fwoscc%2Ffull-record%2FWOS:000416761600053","View Full Record in Web of Science")</f>
        <v>View Full Record in Web of Science</v>
      </c>
    </row>
    <row r="423" spans="1:30" x14ac:dyDescent="0.35">
      <c r="A423">
        <v>422</v>
      </c>
      <c r="B423" t="s">
        <v>3452</v>
      </c>
      <c r="C423" t="s">
        <v>7580</v>
      </c>
      <c r="D423" t="s">
        <v>3452</v>
      </c>
      <c r="E423" t="s">
        <v>2991</v>
      </c>
      <c r="F423" t="s">
        <v>3810</v>
      </c>
      <c r="G423" t="s">
        <v>7581</v>
      </c>
      <c r="H423" t="s">
        <v>7582</v>
      </c>
      <c r="I423" t="s">
        <v>7583</v>
      </c>
      <c r="J423" t="s">
        <v>7584</v>
      </c>
      <c r="K423" t="s">
        <v>7585</v>
      </c>
      <c r="L423">
        <v>0</v>
      </c>
      <c r="M423" t="s">
        <v>7586</v>
      </c>
      <c r="N423" t="s">
        <v>7587</v>
      </c>
      <c r="O423" t="s">
        <v>7588</v>
      </c>
      <c r="P423" t="s">
        <v>7589</v>
      </c>
      <c r="Q423" t="s">
        <v>3808</v>
      </c>
      <c r="R423" t="s">
        <v>7590</v>
      </c>
      <c r="S423" t="s">
        <v>7591</v>
      </c>
      <c r="T423" t="s">
        <v>4163</v>
      </c>
      <c r="U423">
        <v>2016</v>
      </c>
      <c r="V423">
        <v>22</v>
      </c>
      <c r="W423">
        <v>4</v>
      </c>
      <c r="X423" t="s">
        <v>7592</v>
      </c>
      <c r="Y423" t="str">
        <f>HYPERLINK("http://dx.doi.org/10.16555/j.1006-8775.2016.04.003","http://dx.doi.org/10.16555/j.1006-8775.2016.04.003")</f>
        <v>http://dx.doi.org/10.16555/j.1006-8775.2016.04.003</v>
      </c>
      <c r="Z423" t="s">
        <v>3825</v>
      </c>
      <c r="AA423" t="s">
        <v>3826</v>
      </c>
      <c r="AB423" s="3">
        <v>45672</v>
      </c>
      <c r="AC423" t="s">
        <v>7593</v>
      </c>
      <c r="AD423" t="str">
        <f>HYPERLINK("https%3A%2F%2Fwww.webofscience.com%2Fwos%2Fwoscc%2Ffull-record%2FWOS:000391740100003","View Full Record in Web of Science")</f>
        <v>View Full Record in Web of Science</v>
      </c>
    </row>
    <row r="424" spans="1:30" x14ac:dyDescent="0.35">
      <c r="A424">
        <v>423</v>
      </c>
      <c r="B424" t="s">
        <v>3453</v>
      </c>
      <c r="C424" t="s">
        <v>7594</v>
      </c>
      <c r="D424" t="s">
        <v>3453</v>
      </c>
      <c r="E424" t="s">
        <v>2894</v>
      </c>
      <c r="F424" t="s">
        <v>3810</v>
      </c>
      <c r="G424" t="s">
        <v>7595</v>
      </c>
      <c r="H424" t="s">
        <v>7596</v>
      </c>
      <c r="I424" t="s">
        <v>7597</v>
      </c>
      <c r="J424" t="s">
        <v>7598</v>
      </c>
      <c r="K424" t="s">
        <v>7599</v>
      </c>
      <c r="L424">
        <v>39</v>
      </c>
      <c r="M424" t="s">
        <v>4252</v>
      </c>
      <c r="N424" t="s">
        <v>4253</v>
      </c>
      <c r="O424" t="s">
        <v>4254</v>
      </c>
      <c r="P424" t="s">
        <v>4255</v>
      </c>
      <c r="Q424" t="s">
        <v>4256</v>
      </c>
      <c r="R424" t="s">
        <v>4257</v>
      </c>
      <c r="S424" t="s">
        <v>4258</v>
      </c>
      <c r="T424" t="s">
        <v>4001</v>
      </c>
      <c r="U424">
        <v>2015</v>
      </c>
      <c r="V424">
        <v>119</v>
      </c>
      <c r="W424" t="s">
        <v>4259</v>
      </c>
      <c r="X424" t="s">
        <v>7600</v>
      </c>
      <c r="Y424" t="str">
        <f>HYPERLINK("http://dx.doi.org/10.1007/s00704-014-1111-5","http://dx.doi.org/10.1007/s00704-014-1111-5")</f>
        <v>http://dx.doi.org/10.1007/s00704-014-1111-5</v>
      </c>
      <c r="Z424" t="s">
        <v>3825</v>
      </c>
      <c r="AA424" t="s">
        <v>3826</v>
      </c>
      <c r="AB424" s="3">
        <v>45672</v>
      </c>
      <c r="AC424" t="s">
        <v>7601</v>
      </c>
      <c r="AD424" t="str">
        <f>HYPERLINK("https%3A%2F%2Fwww.webofscience.com%2Fwos%2Fwoscc%2Ffull-record%2FWOS:000347409100019","View Full Record in Web of Science")</f>
        <v>View Full Record in Web of Science</v>
      </c>
    </row>
    <row r="425" spans="1:30" x14ac:dyDescent="0.35">
      <c r="A425">
        <v>424</v>
      </c>
      <c r="B425" t="s">
        <v>3454</v>
      </c>
      <c r="C425" t="s">
        <v>7602</v>
      </c>
      <c r="D425" t="s">
        <v>3454</v>
      </c>
      <c r="E425" t="s">
        <v>2988</v>
      </c>
      <c r="F425" t="s">
        <v>3810</v>
      </c>
      <c r="G425" t="s">
        <v>7603</v>
      </c>
      <c r="H425" t="s">
        <v>7604</v>
      </c>
      <c r="I425" t="s">
        <v>7605</v>
      </c>
      <c r="J425" t="s">
        <v>7606</v>
      </c>
      <c r="K425" t="s">
        <v>7607</v>
      </c>
      <c r="L425">
        <v>0</v>
      </c>
      <c r="M425" t="s">
        <v>3951</v>
      </c>
      <c r="N425" t="s">
        <v>3952</v>
      </c>
      <c r="O425" t="s">
        <v>3953</v>
      </c>
      <c r="P425" t="s">
        <v>7453</v>
      </c>
      <c r="Q425" t="s">
        <v>3808</v>
      </c>
      <c r="R425" t="s">
        <v>7454</v>
      </c>
      <c r="S425" t="s">
        <v>7455</v>
      </c>
      <c r="T425" t="s">
        <v>4773</v>
      </c>
      <c r="U425">
        <v>2023</v>
      </c>
      <c r="V425">
        <v>10</v>
      </c>
      <c r="W425" t="s">
        <v>3808</v>
      </c>
      <c r="X425" t="s">
        <v>7608</v>
      </c>
      <c r="Y425" t="str">
        <f>HYPERLINK("http://dx.doi.org/10.1016/j.jaesx.2023.100161","http://dx.doi.org/10.1016/j.jaesx.2023.100161")</f>
        <v>http://dx.doi.org/10.1016/j.jaesx.2023.100161</v>
      </c>
      <c r="Z425" t="s">
        <v>4116</v>
      </c>
      <c r="AA425" t="s">
        <v>4117</v>
      </c>
      <c r="AB425" s="3">
        <v>45672</v>
      </c>
      <c r="AC425" t="s">
        <v>7609</v>
      </c>
      <c r="AD425" t="str">
        <f>HYPERLINK("https%3A%2F%2Fwww.webofscience.com%2Fwos%2Fwoscc%2Ffull-record%2FWOS:001060313400001","View Full Record in Web of Science")</f>
        <v>View Full Record in Web of Science</v>
      </c>
    </row>
    <row r="426" spans="1:30" x14ac:dyDescent="0.35">
      <c r="A426">
        <v>425</v>
      </c>
      <c r="B426" t="s">
        <v>3455</v>
      </c>
      <c r="C426" t="s">
        <v>7610</v>
      </c>
      <c r="D426" t="s">
        <v>3455</v>
      </c>
      <c r="E426" t="s">
        <v>2976</v>
      </c>
      <c r="F426" t="s">
        <v>3810</v>
      </c>
      <c r="G426" t="s">
        <v>7611</v>
      </c>
      <c r="H426" t="s">
        <v>7612</v>
      </c>
      <c r="I426" t="s">
        <v>7613</v>
      </c>
      <c r="J426" t="s">
        <v>7614</v>
      </c>
      <c r="K426" t="s">
        <v>7615</v>
      </c>
      <c r="L426">
        <v>52</v>
      </c>
      <c r="M426" t="s">
        <v>7068</v>
      </c>
      <c r="N426" t="s">
        <v>7069</v>
      </c>
      <c r="O426" t="s">
        <v>7070</v>
      </c>
      <c r="P426" t="s">
        <v>7071</v>
      </c>
      <c r="Q426" t="s">
        <v>3808</v>
      </c>
      <c r="R426" t="s">
        <v>2976</v>
      </c>
      <c r="S426" t="s">
        <v>4055</v>
      </c>
      <c r="T426" t="s">
        <v>4163</v>
      </c>
      <c r="U426">
        <v>2015</v>
      </c>
      <c r="V426">
        <v>28</v>
      </c>
      <c r="W426">
        <v>4</v>
      </c>
      <c r="X426" t="s">
        <v>7616</v>
      </c>
      <c r="Y426" t="str">
        <f>HYPERLINK("http://dx.doi.org/10.5670/oceanog.2015.78","http://dx.doi.org/10.5670/oceanog.2015.78")</f>
        <v>http://dx.doi.org/10.5670/oceanog.2015.78</v>
      </c>
      <c r="Z426" t="s">
        <v>4055</v>
      </c>
      <c r="AA426" t="s">
        <v>3826</v>
      </c>
      <c r="AB426" s="3">
        <v>45672</v>
      </c>
      <c r="AC426" t="s">
        <v>7617</v>
      </c>
      <c r="AD426" t="str">
        <f>HYPERLINK("https%3A%2F%2Fwww.webofscience.com%2Fwos%2Fwoscc%2Ffull-record%2FWOS:000368447000005","View Full Record in Web of Science")</f>
        <v>View Full Record in Web of Science</v>
      </c>
    </row>
    <row r="427" spans="1:30" x14ac:dyDescent="0.35">
      <c r="A427">
        <v>426</v>
      </c>
      <c r="B427" t="s">
        <v>3456</v>
      </c>
      <c r="C427" t="s">
        <v>7618</v>
      </c>
      <c r="D427" t="s">
        <v>3456</v>
      </c>
      <c r="E427" t="s">
        <v>2900</v>
      </c>
      <c r="F427" t="s">
        <v>3810</v>
      </c>
      <c r="G427" t="s">
        <v>7619</v>
      </c>
      <c r="H427" t="s">
        <v>7620</v>
      </c>
      <c r="I427" t="s">
        <v>7621</v>
      </c>
      <c r="J427" t="s">
        <v>7622</v>
      </c>
      <c r="K427" t="s">
        <v>7623</v>
      </c>
      <c r="L427">
        <v>10</v>
      </c>
      <c r="M427" t="s">
        <v>4339</v>
      </c>
      <c r="N427" t="s">
        <v>4340</v>
      </c>
      <c r="O427" t="s">
        <v>4341</v>
      </c>
      <c r="P427" t="s">
        <v>4342</v>
      </c>
      <c r="Q427" t="s">
        <v>4343</v>
      </c>
      <c r="R427" t="s">
        <v>4344</v>
      </c>
      <c r="S427" t="s">
        <v>4345</v>
      </c>
      <c r="T427" t="s">
        <v>5379</v>
      </c>
      <c r="U427">
        <v>2016</v>
      </c>
      <c r="V427">
        <v>16</v>
      </c>
      <c r="W427">
        <v>12</v>
      </c>
      <c r="X427" t="s">
        <v>7624</v>
      </c>
      <c r="Y427" t="str">
        <f>HYPERLINK("http://dx.doi.org/10.5194/nhess-16-2683-2016","http://dx.doi.org/10.5194/nhess-16-2683-2016")</f>
        <v>http://dx.doi.org/10.5194/nhess-16-2683-2016</v>
      </c>
      <c r="Z427" t="s">
        <v>3934</v>
      </c>
      <c r="AA427" t="s">
        <v>3826</v>
      </c>
      <c r="AB427" s="3">
        <v>45672</v>
      </c>
      <c r="AC427" t="s">
        <v>7625</v>
      </c>
      <c r="AD427" t="str">
        <f>HYPERLINK("https%3A%2F%2Fwww.webofscience.com%2Fwos%2Fwoscc%2Ffull-record%2FWOS:000391283600001","View Full Record in Web of Science")</f>
        <v>View Full Record in Web of Science</v>
      </c>
    </row>
    <row r="428" spans="1:30" x14ac:dyDescent="0.35">
      <c r="A428">
        <v>427</v>
      </c>
      <c r="B428" t="s">
        <v>3457</v>
      </c>
      <c r="C428" t="s">
        <v>7626</v>
      </c>
      <c r="D428" t="s">
        <v>3457</v>
      </c>
      <c r="E428" t="s">
        <v>2943</v>
      </c>
      <c r="F428" t="s">
        <v>3810</v>
      </c>
      <c r="G428" t="s">
        <v>7627</v>
      </c>
      <c r="H428" t="s">
        <v>7628</v>
      </c>
      <c r="I428" t="s">
        <v>7629</v>
      </c>
      <c r="J428" t="s">
        <v>7630</v>
      </c>
      <c r="K428" t="s">
        <v>7631</v>
      </c>
      <c r="L428">
        <v>4</v>
      </c>
      <c r="M428" t="s">
        <v>5750</v>
      </c>
      <c r="N428" t="s">
        <v>5751</v>
      </c>
      <c r="O428" t="s">
        <v>5752</v>
      </c>
      <c r="P428" t="s">
        <v>5753</v>
      </c>
      <c r="Q428" t="s">
        <v>5754</v>
      </c>
      <c r="R428" t="s">
        <v>5755</v>
      </c>
      <c r="S428" t="s">
        <v>5756</v>
      </c>
      <c r="T428" t="s">
        <v>3958</v>
      </c>
      <c r="U428">
        <v>2019</v>
      </c>
      <c r="V428">
        <v>12</v>
      </c>
      <c r="W428">
        <v>11</v>
      </c>
      <c r="X428" t="s">
        <v>7632</v>
      </c>
      <c r="Y428" t="str">
        <f>HYPERLINK("http://dx.doi.org/10.1109/JSTARS.2019.2937949","http://dx.doi.org/10.1109/JSTARS.2019.2937949")</f>
        <v>http://dx.doi.org/10.1109/JSTARS.2019.2937949</v>
      </c>
      <c r="Z428" t="s">
        <v>5758</v>
      </c>
      <c r="AA428" t="s">
        <v>3826</v>
      </c>
      <c r="AB428" s="3">
        <v>45672</v>
      </c>
      <c r="AC428" t="s">
        <v>7633</v>
      </c>
      <c r="AD428" t="str">
        <f>HYPERLINK("https%3A%2F%2Fwww.webofscience.com%2Fwos%2Fwoscc%2Ffull-record%2FWOS:000508437700006","View Full Record in Web of Science")</f>
        <v>View Full Record in Web of Science</v>
      </c>
    </row>
    <row r="429" spans="1:30" x14ac:dyDescent="0.35">
      <c r="A429">
        <v>428</v>
      </c>
      <c r="B429" t="s">
        <v>3458</v>
      </c>
      <c r="C429" t="s">
        <v>7634</v>
      </c>
      <c r="D429" t="s">
        <v>3458</v>
      </c>
      <c r="E429" t="s">
        <v>2948</v>
      </c>
      <c r="F429" t="s">
        <v>3810</v>
      </c>
      <c r="G429" t="s">
        <v>7635</v>
      </c>
      <c r="H429" t="s">
        <v>7636</v>
      </c>
      <c r="I429" t="s">
        <v>7637</v>
      </c>
      <c r="J429" t="s">
        <v>7638</v>
      </c>
      <c r="K429" t="s">
        <v>7639</v>
      </c>
      <c r="L429">
        <v>55</v>
      </c>
      <c r="M429" t="s">
        <v>4033</v>
      </c>
      <c r="N429" t="s">
        <v>4034</v>
      </c>
      <c r="O429" t="s">
        <v>4035</v>
      </c>
      <c r="P429" t="s">
        <v>5973</v>
      </c>
      <c r="Q429" t="s">
        <v>5974</v>
      </c>
      <c r="R429" t="s">
        <v>5975</v>
      </c>
      <c r="S429" t="s">
        <v>5976</v>
      </c>
      <c r="T429" t="s">
        <v>3823</v>
      </c>
      <c r="U429">
        <v>2015</v>
      </c>
      <c r="V429">
        <v>143</v>
      </c>
      <c r="W429">
        <v>2</v>
      </c>
      <c r="X429" t="s">
        <v>7640</v>
      </c>
      <c r="Y429" t="str">
        <f>HYPERLINK("http://dx.doi.org/10.1175/MWR-D-14-00227.1","http://dx.doi.org/10.1175/MWR-D-14-00227.1")</f>
        <v>http://dx.doi.org/10.1175/MWR-D-14-00227.1</v>
      </c>
      <c r="Z429" t="s">
        <v>3825</v>
      </c>
      <c r="AA429" t="s">
        <v>3826</v>
      </c>
      <c r="AB429" s="3">
        <v>45672</v>
      </c>
      <c r="AC429" t="s">
        <v>7641</v>
      </c>
      <c r="AD429" t="str">
        <f>HYPERLINK("https%3A%2F%2Fwww.webofscience.com%2Fwos%2Fwoscc%2Ffull-record%2FWOS:000349422400008","View Full Record in Web of Science")</f>
        <v>View Full Record in Web of Science</v>
      </c>
    </row>
    <row r="430" spans="1:30" x14ac:dyDescent="0.35">
      <c r="A430">
        <v>429</v>
      </c>
      <c r="B430" t="s">
        <v>3459</v>
      </c>
      <c r="C430" t="s">
        <v>7642</v>
      </c>
      <c r="D430" t="s">
        <v>3459</v>
      </c>
      <c r="E430" t="s">
        <v>2934</v>
      </c>
      <c r="F430" t="s">
        <v>3810</v>
      </c>
      <c r="G430" t="s">
        <v>7643</v>
      </c>
      <c r="H430" t="s">
        <v>7644</v>
      </c>
      <c r="I430" t="s">
        <v>7645</v>
      </c>
      <c r="J430" t="s">
        <v>7646</v>
      </c>
      <c r="K430" t="s">
        <v>7647</v>
      </c>
      <c r="L430">
        <v>0</v>
      </c>
      <c r="M430" t="s">
        <v>5272</v>
      </c>
      <c r="N430" t="s">
        <v>5273</v>
      </c>
      <c r="O430" t="s">
        <v>5274</v>
      </c>
      <c r="P430" t="s">
        <v>5275</v>
      </c>
      <c r="Q430" t="s">
        <v>3808</v>
      </c>
      <c r="R430" t="s">
        <v>5276</v>
      </c>
      <c r="S430" t="s">
        <v>5277</v>
      </c>
      <c r="T430" t="s">
        <v>7648</v>
      </c>
      <c r="U430">
        <v>2023</v>
      </c>
      <c r="V430">
        <v>6</v>
      </c>
      <c r="W430">
        <v>1</v>
      </c>
      <c r="X430" t="s">
        <v>7649</v>
      </c>
      <c r="Y430" t="str">
        <f>HYPERLINK("http://dx.doi.org/10.1038/s41612-023-00537-6","http://dx.doi.org/10.1038/s41612-023-00537-6")</f>
        <v>http://dx.doi.org/10.1038/s41612-023-00537-6</v>
      </c>
      <c r="Z430" t="s">
        <v>3825</v>
      </c>
      <c r="AA430" t="s">
        <v>3826</v>
      </c>
      <c r="AB430" s="3">
        <v>45672</v>
      </c>
      <c r="AC430" t="s">
        <v>7650</v>
      </c>
      <c r="AD430" t="str">
        <f>HYPERLINK("https%3A%2F%2Fwww.webofscience.com%2Fwos%2Fwoscc%2Ffull-record%2FWOS:001129421200001","View Full Record in Web of Science")</f>
        <v>View Full Record in Web of Science</v>
      </c>
    </row>
    <row r="431" spans="1:30" x14ac:dyDescent="0.35">
      <c r="A431">
        <v>430</v>
      </c>
      <c r="B431" t="s">
        <v>3460</v>
      </c>
      <c r="C431" t="s">
        <v>7651</v>
      </c>
      <c r="D431" t="s">
        <v>3460</v>
      </c>
      <c r="E431" t="s">
        <v>2864</v>
      </c>
      <c r="F431" t="s">
        <v>3810</v>
      </c>
      <c r="G431" t="s">
        <v>7652</v>
      </c>
      <c r="H431" t="s">
        <v>7653</v>
      </c>
      <c r="I431" t="s">
        <v>7654</v>
      </c>
      <c r="K431" t="s">
        <v>3808</v>
      </c>
      <c r="L431">
        <v>20</v>
      </c>
      <c r="M431" t="s">
        <v>3834</v>
      </c>
      <c r="N431" t="s">
        <v>3835</v>
      </c>
      <c r="O431" t="s">
        <v>3836</v>
      </c>
      <c r="P431" t="s">
        <v>3837</v>
      </c>
      <c r="Q431" t="s">
        <v>3838</v>
      </c>
      <c r="R431" t="s">
        <v>3839</v>
      </c>
      <c r="S431" t="s">
        <v>3840</v>
      </c>
      <c r="T431" t="s">
        <v>6191</v>
      </c>
      <c r="U431">
        <v>2020</v>
      </c>
      <c r="V431">
        <v>2020</v>
      </c>
      <c r="W431" t="s">
        <v>3808</v>
      </c>
      <c r="X431" t="s">
        <v>7655</v>
      </c>
      <c r="Y431" t="str">
        <f>HYPERLINK("http://dx.doi.org/10.1155/2020/8881118","http://dx.doi.org/10.1155/2020/8881118")</f>
        <v>http://dx.doi.org/10.1155/2020/8881118</v>
      </c>
      <c r="Z431" t="s">
        <v>3825</v>
      </c>
      <c r="AA431" t="s">
        <v>3826</v>
      </c>
      <c r="AB431" s="3">
        <v>45672</v>
      </c>
      <c r="AC431" t="s">
        <v>7656</v>
      </c>
      <c r="AD431" t="str">
        <f>HYPERLINK("https%3A%2F%2Fwww.webofscience.com%2Fwos%2Fwoscc%2Ffull-record%2FWOS:000591665400001","View Full Record in Web of Science")</f>
        <v>View Full Record in Web of Science</v>
      </c>
    </row>
    <row r="432" spans="1:30" x14ac:dyDescent="0.35">
      <c r="A432">
        <v>431</v>
      </c>
      <c r="B432" t="s">
        <v>3461</v>
      </c>
      <c r="C432" t="s">
        <v>7657</v>
      </c>
      <c r="D432" t="s">
        <v>3461</v>
      </c>
      <c r="E432" t="s">
        <v>2992</v>
      </c>
      <c r="F432" t="s">
        <v>3810</v>
      </c>
      <c r="G432" t="s">
        <v>7658</v>
      </c>
      <c r="H432" t="s">
        <v>7659</v>
      </c>
      <c r="I432" t="s">
        <v>7660</v>
      </c>
      <c r="J432" t="s">
        <v>7661</v>
      </c>
      <c r="K432" t="s">
        <v>7662</v>
      </c>
      <c r="L432">
        <v>1</v>
      </c>
      <c r="M432" t="s">
        <v>4046</v>
      </c>
      <c r="N432" t="s">
        <v>4047</v>
      </c>
      <c r="O432" t="s">
        <v>4048</v>
      </c>
      <c r="P432" t="s">
        <v>7663</v>
      </c>
      <c r="Q432" t="s">
        <v>7664</v>
      </c>
      <c r="R432" t="s">
        <v>7665</v>
      </c>
      <c r="S432" t="s">
        <v>7666</v>
      </c>
      <c r="T432" t="s">
        <v>4163</v>
      </c>
      <c r="U432">
        <v>2021</v>
      </c>
      <c r="V432">
        <v>124</v>
      </c>
      <c r="W432" t="s">
        <v>3808</v>
      </c>
      <c r="X432" t="s">
        <v>7667</v>
      </c>
      <c r="Y432" t="str">
        <f>HYPERLINK("http://dx.doi.org/10.1016/j.pce.2021.103069","http://dx.doi.org/10.1016/j.pce.2021.103069")</f>
        <v>http://dx.doi.org/10.1016/j.pce.2021.103069</v>
      </c>
      <c r="Z432" t="s">
        <v>3934</v>
      </c>
      <c r="AA432" t="s">
        <v>3826</v>
      </c>
      <c r="AB432" s="3">
        <v>45672</v>
      </c>
      <c r="AC432" t="s">
        <v>7668</v>
      </c>
      <c r="AD432" t="str">
        <f>HYPERLINK("https%3A%2F%2Fwww.webofscience.com%2Fwos%2Fwoscc%2Ffull-record%2FWOS:000724422400001","View Full Record in Web of Science")</f>
        <v>View Full Record in Web of Science</v>
      </c>
    </row>
    <row r="433" spans="1:30" x14ac:dyDescent="0.35">
      <c r="A433">
        <v>432</v>
      </c>
      <c r="B433" t="s">
        <v>3462</v>
      </c>
      <c r="C433" t="s">
        <v>7669</v>
      </c>
      <c r="D433" t="s">
        <v>3462</v>
      </c>
      <c r="E433" t="s">
        <v>2886</v>
      </c>
      <c r="F433" t="s">
        <v>3810</v>
      </c>
      <c r="G433" t="s">
        <v>7670</v>
      </c>
      <c r="H433" t="s">
        <v>7671</v>
      </c>
      <c r="I433" t="s">
        <v>7672</v>
      </c>
      <c r="J433" t="s">
        <v>7673</v>
      </c>
      <c r="K433" t="s">
        <v>7674</v>
      </c>
      <c r="L433">
        <v>20</v>
      </c>
      <c r="M433" t="s">
        <v>4061</v>
      </c>
      <c r="N433" t="s">
        <v>4062</v>
      </c>
      <c r="O433" t="s">
        <v>4063</v>
      </c>
      <c r="P433" t="s">
        <v>4125</v>
      </c>
      <c r="Q433" t="s">
        <v>4126</v>
      </c>
      <c r="R433" t="s">
        <v>4127</v>
      </c>
      <c r="S433" t="s">
        <v>4128</v>
      </c>
      <c r="T433" t="s">
        <v>3918</v>
      </c>
      <c r="U433">
        <v>2018</v>
      </c>
      <c r="V433">
        <v>11</v>
      </c>
      <c r="W433">
        <v>14</v>
      </c>
      <c r="X433" t="s">
        <v>7675</v>
      </c>
      <c r="Y433" t="str">
        <f>HYPERLINK("http://dx.doi.org/10.1007/s12517-018-3702-4","http://dx.doi.org/10.1007/s12517-018-3702-4")</f>
        <v>http://dx.doi.org/10.1007/s12517-018-3702-4</v>
      </c>
      <c r="Z433" t="s">
        <v>4116</v>
      </c>
      <c r="AA433" t="s">
        <v>3826</v>
      </c>
      <c r="AB433" s="3">
        <v>45672</v>
      </c>
      <c r="AC433" t="s">
        <v>7676</v>
      </c>
      <c r="AD433" t="str">
        <f>HYPERLINK("https%3A%2F%2Fwww.webofscience.com%2Fwos%2Fwoscc%2Ffull-record%2FWOS:000438762300002","View Full Record in Web of Science")</f>
        <v>View Full Record in Web of Science</v>
      </c>
    </row>
    <row r="434" spans="1:30" x14ac:dyDescent="0.35">
      <c r="A434">
        <v>433</v>
      </c>
      <c r="B434" t="s">
        <v>3463</v>
      </c>
      <c r="C434" t="s">
        <v>7677</v>
      </c>
      <c r="D434" t="s">
        <v>3463</v>
      </c>
      <c r="E434" t="s">
        <v>2872</v>
      </c>
      <c r="F434" t="s">
        <v>3810</v>
      </c>
      <c r="G434" t="s">
        <v>7678</v>
      </c>
      <c r="H434" t="s">
        <v>7679</v>
      </c>
      <c r="I434" t="s">
        <v>7680</v>
      </c>
      <c r="J434" t="s">
        <v>7681</v>
      </c>
      <c r="K434" t="s">
        <v>7682</v>
      </c>
      <c r="L434">
        <v>16</v>
      </c>
      <c r="M434" t="s">
        <v>3951</v>
      </c>
      <c r="N434" t="s">
        <v>3952</v>
      </c>
      <c r="O434" t="s">
        <v>3953</v>
      </c>
      <c r="P434" t="s">
        <v>3954</v>
      </c>
      <c r="Q434" t="s">
        <v>3955</v>
      </c>
      <c r="R434" t="s">
        <v>3956</v>
      </c>
      <c r="S434" t="s">
        <v>3957</v>
      </c>
      <c r="T434" t="s">
        <v>3918</v>
      </c>
      <c r="U434">
        <v>2021</v>
      </c>
      <c r="V434">
        <v>598</v>
      </c>
      <c r="W434" t="s">
        <v>3808</v>
      </c>
      <c r="X434" t="s">
        <v>7683</v>
      </c>
      <c r="Y434" t="str">
        <f>HYPERLINK("http://dx.doi.org/10.1016/j.jhydrol.2021.126461","http://dx.doi.org/10.1016/j.jhydrol.2021.126461")</f>
        <v>http://dx.doi.org/10.1016/j.jhydrol.2021.126461</v>
      </c>
      <c r="Z434" t="s">
        <v>3960</v>
      </c>
      <c r="AA434" t="s">
        <v>3826</v>
      </c>
      <c r="AB434" s="3">
        <v>45672</v>
      </c>
      <c r="AC434" t="s">
        <v>7684</v>
      </c>
      <c r="AD434" t="str">
        <f>HYPERLINK("https%3A%2F%2Fwww.webofscience.com%2Fwos%2Fwoscc%2Ffull-record%2FWOS:000661813200184","View Full Record in Web of Science")</f>
        <v>View Full Record in Web of Science</v>
      </c>
    </row>
    <row r="435" spans="1:30" x14ac:dyDescent="0.35">
      <c r="A435">
        <v>434</v>
      </c>
      <c r="B435" t="s">
        <v>3464</v>
      </c>
      <c r="C435" t="s">
        <v>7685</v>
      </c>
      <c r="D435" t="s">
        <v>3464</v>
      </c>
      <c r="E435" t="s">
        <v>2894</v>
      </c>
      <c r="F435" t="s">
        <v>3810</v>
      </c>
      <c r="G435" t="s">
        <v>7686</v>
      </c>
      <c r="H435" t="s">
        <v>7687</v>
      </c>
      <c r="I435" t="s">
        <v>7688</v>
      </c>
      <c r="J435" t="s">
        <v>7689</v>
      </c>
      <c r="K435" t="s">
        <v>7690</v>
      </c>
      <c r="L435">
        <v>14</v>
      </c>
      <c r="M435" t="s">
        <v>4252</v>
      </c>
      <c r="N435" t="s">
        <v>4253</v>
      </c>
      <c r="O435" t="s">
        <v>4254</v>
      </c>
      <c r="P435" t="s">
        <v>4255</v>
      </c>
      <c r="Q435" t="s">
        <v>4256</v>
      </c>
      <c r="R435" t="s">
        <v>4257</v>
      </c>
      <c r="S435" t="s">
        <v>4258</v>
      </c>
      <c r="T435" t="s">
        <v>3918</v>
      </c>
      <c r="U435">
        <v>2019</v>
      </c>
      <c r="V435">
        <v>137</v>
      </c>
      <c r="W435" t="s">
        <v>4259</v>
      </c>
      <c r="X435" t="s">
        <v>7691</v>
      </c>
      <c r="Y435" t="str">
        <f>HYPERLINK("http://dx.doi.org/10.1007/s00704-018-2617-z","http://dx.doi.org/10.1007/s00704-018-2617-z")</f>
        <v>http://dx.doi.org/10.1007/s00704-018-2617-z</v>
      </c>
      <c r="Z435" t="s">
        <v>3825</v>
      </c>
      <c r="AA435" t="s">
        <v>3826</v>
      </c>
      <c r="AB435" s="3">
        <v>45672</v>
      </c>
      <c r="AC435" t="s">
        <v>7692</v>
      </c>
      <c r="AD435" t="str">
        <f>HYPERLINK("https%3A%2F%2Fwww.webofscience.com%2Fwos%2Fwoscc%2Ffull-record%2FWOS:000475737500040","View Full Record in Web of Science")</f>
        <v>View Full Record in Web of Science</v>
      </c>
    </row>
    <row r="436" spans="1:30" x14ac:dyDescent="0.35">
      <c r="A436">
        <v>435</v>
      </c>
      <c r="B436" t="s">
        <v>3465</v>
      </c>
      <c r="C436" t="s">
        <v>7693</v>
      </c>
      <c r="D436" t="s">
        <v>3465</v>
      </c>
      <c r="E436" t="s">
        <v>2891</v>
      </c>
      <c r="F436" t="s">
        <v>3810</v>
      </c>
      <c r="G436" t="s">
        <v>7694</v>
      </c>
      <c r="H436" t="s">
        <v>7695</v>
      </c>
      <c r="I436" t="s">
        <v>7696</v>
      </c>
      <c r="J436" t="s">
        <v>7697</v>
      </c>
      <c r="K436" t="s">
        <v>7698</v>
      </c>
      <c r="L436">
        <v>5</v>
      </c>
      <c r="M436" t="s">
        <v>4239</v>
      </c>
      <c r="N436" t="s">
        <v>4240</v>
      </c>
      <c r="O436" t="s">
        <v>4241</v>
      </c>
      <c r="P436" t="s">
        <v>4242</v>
      </c>
      <c r="Q436" t="s">
        <v>3808</v>
      </c>
      <c r="R436" t="s">
        <v>4243</v>
      </c>
      <c r="S436" t="s">
        <v>4244</v>
      </c>
      <c r="T436" t="s">
        <v>3808</v>
      </c>
      <c r="U436">
        <v>2017</v>
      </c>
      <c r="V436">
        <v>38</v>
      </c>
      <c r="W436">
        <v>1</v>
      </c>
      <c r="X436" t="s">
        <v>3808</v>
      </c>
      <c r="Y436" t="s">
        <v>3808</v>
      </c>
      <c r="Z436" t="s">
        <v>3973</v>
      </c>
      <c r="AA436" t="s">
        <v>3826</v>
      </c>
      <c r="AB436" s="3">
        <v>45672</v>
      </c>
      <c r="AC436" t="s">
        <v>7699</v>
      </c>
      <c r="AD436" t="str">
        <f>HYPERLINK("https%3A%2F%2Fwww.webofscience.com%2Fwos%2Fwoscc%2Ffull-record%2FWOS:000397479700001","View Full Record in Web of Science")</f>
        <v>View Full Record in Web of Science</v>
      </c>
    </row>
    <row r="437" spans="1:30" x14ac:dyDescent="0.35">
      <c r="A437">
        <v>436</v>
      </c>
      <c r="B437" t="s">
        <v>3466</v>
      </c>
      <c r="C437" t="s">
        <v>7700</v>
      </c>
      <c r="D437" t="s">
        <v>3466</v>
      </c>
      <c r="E437" t="s">
        <v>2926</v>
      </c>
      <c r="F437" t="s">
        <v>3810</v>
      </c>
      <c r="G437" t="s">
        <v>7701</v>
      </c>
      <c r="H437" t="s">
        <v>7702</v>
      </c>
      <c r="I437" t="s">
        <v>7703</v>
      </c>
      <c r="K437" t="s">
        <v>3808</v>
      </c>
      <c r="L437">
        <v>2</v>
      </c>
      <c r="M437" t="s">
        <v>3951</v>
      </c>
      <c r="N437" t="s">
        <v>3952</v>
      </c>
      <c r="O437" t="s">
        <v>3953</v>
      </c>
      <c r="P437" t="s">
        <v>5029</v>
      </c>
      <c r="Q437" t="s">
        <v>3808</v>
      </c>
      <c r="R437" t="s">
        <v>5030</v>
      </c>
      <c r="S437" t="s">
        <v>5031</v>
      </c>
      <c r="T437" t="s">
        <v>3872</v>
      </c>
      <c r="U437">
        <v>2023</v>
      </c>
      <c r="V437">
        <v>95</v>
      </c>
      <c r="W437" t="s">
        <v>3808</v>
      </c>
      <c r="X437" t="s">
        <v>7704</v>
      </c>
      <c r="Y437" t="str">
        <f>HYPERLINK("http://dx.doi.org/10.1016/j.ijdrr.2023.103861","http://dx.doi.org/10.1016/j.ijdrr.2023.103861")</f>
        <v>http://dx.doi.org/10.1016/j.ijdrr.2023.103861</v>
      </c>
      <c r="Z437" t="s">
        <v>3934</v>
      </c>
      <c r="AA437" t="s">
        <v>3826</v>
      </c>
      <c r="AB437" s="3">
        <v>45672</v>
      </c>
      <c r="AC437" t="s">
        <v>7705</v>
      </c>
      <c r="AD437" t="str">
        <f>HYPERLINK("https%3A%2F%2Fwww.webofscience.com%2Fwos%2Fwoscc%2Ffull-record%2FWOS:001050092800001","View Full Record in Web of Science")</f>
        <v>View Full Record in Web of Science</v>
      </c>
    </row>
    <row r="438" spans="1:30" x14ac:dyDescent="0.35">
      <c r="A438">
        <v>437</v>
      </c>
      <c r="B438" t="s">
        <v>3467</v>
      </c>
      <c r="C438" t="s">
        <v>7706</v>
      </c>
      <c r="D438" t="s">
        <v>3467</v>
      </c>
      <c r="E438" t="s">
        <v>2894</v>
      </c>
      <c r="F438" t="s">
        <v>3810</v>
      </c>
      <c r="G438" t="s">
        <v>7707</v>
      </c>
      <c r="H438" t="s">
        <v>7708</v>
      </c>
      <c r="I438" t="s">
        <v>7709</v>
      </c>
      <c r="J438" t="s">
        <v>7710</v>
      </c>
      <c r="K438" t="s">
        <v>7711</v>
      </c>
      <c r="L438">
        <v>8</v>
      </c>
      <c r="M438" t="s">
        <v>4252</v>
      </c>
      <c r="N438" t="s">
        <v>4253</v>
      </c>
      <c r="O438" t="s">
        <v>4254</v>
      </c>
      <c r="P438" t="s">
        <v>4255</v>
      </c>
      <c r="Q438" t="s">
        <v>4256</v>
      </c>
      <c r="R438" t="s">
        <v>4257</v>
      </c>
      <c r="S438" t="s">
        <v>4258</v>
      </c>
      <c r="T438" t="s">
        <v>3823</v>
      </c>
      <c r="U438">
        <v>2015</v>
      </c>
      <c r="V438">
        <v>119</v>
      </c>
      <c r="W438" t="s">
        <v>4268</v>
      </c>
      <c r="X438" t="s">
        <v>7712</v>
      </c>
      <c r="Y438" t="str">
        <f>HYPERLINK("http://dx.doi.org/10.1007/s00704-014-1146-7","http://dx.doi.org/10.1007/s00704-014-1146-7")</f>
        <v>http://dx.doi.org/10.1007/s00704-014-1146-7</v>
      </c>
      <c r="Z438" t="s">
        <v>3825</v>
      </c>
      <c r="AA438" t="s">
        <v>3826</v>
      </c>
      <c r="AB438" s="3">
        <v>45672</v>
      </c>
      <c r="AC438" t="s">
        <v>7713</v>
      </c>
      <c r="AD438" t="str">
        <f>HYPERLINK("https%3A%2F%2Fwww.webofscience.com%2Fwos%2Fwoscc%2Ffull-record%2FWOS:000349020900025","View Full Record in Web of Science")</f>
        <v>View Full Record in Web of Science</v>
      </c>
    </row>
    <row r="439" spans="1:30" x14ac:dyDescent="0.35">
      <c r="A439">
        <v>438</v>
      </c>
      <c r="B439" t="s">
        <v>3468</v>
      </c>
      <c r="C439" t="s">
        <v>7714</v>
      </c>
      <c r="D439" t="s">
        <v>3468</v>
      </c>
      <c r="E439" t="s">
        <v>2924</v>
      </c>
      <c r="F439" t="s">
        <v>3810</v>
      </c>
      <c r="G439" t="s">
        <v>7715</v>
      </c>
      <c r="H439" t="s">
        <v>7716</v>
      </c>
      <c r="I439" t="s">
        <v>7717</v>
      </c>
      <c r="J439" t="s">
        <v>7718</v>
      </c>
      <c r="K439" t="s">
        <v>7719</v>
      </c>
      <c r="L439">
        <v>3</v>
      </c>
      <c r="M439" t="s">
        <v>3911</v>
      </c>
      <c r="N439" t="s">
        <v>3912</v>
      </c>
      <c r="O439" t="s">
        <v>3913</v>
      </c>
      <c r="P439" t="s">
        <v>4965</v>
      </c>
      <c r="Q439" t="s">
        <v>4966</v>
      </c>
      <c r="R439" t="s">
        <v>4967</v>
      </c>
      <c r="S439" t="s">
        <v>4968</v>
      </c>
      <c r="T439" t="s">
        <v>7538</v>
      </c>
      <c r="U439">
        <v>2022</v>
      </c>
      <c r="V439">
        <v>49</v>
      </c>
      <c r="W439">
        <v>16</v>
      </c>
      <c r="X439" t="s">
        <v>7720</v>
      </c>
      <c r="Y439" t="str">
        <f>HYPERLINK("http://dx.doi.org/10.1029/2022GL098940","http://dx.doi.org/10.1029/2022GL098940")</f>
        <v>http://dx.doi.org/10.1029/2022GL098940</v>
      </c>
      <c r="Z439" t="s">
        <v>4116</v>
      </c>
      <c r="AA439" t="s">
        <v>3826</v>
      </c>
      <c r="AB439" s="3">
        <v>45672</v>
      </c>
      <c r="AC439" t="s">
        <v>7721</v>
      </c>
      <c r="AD439" t="str">
        <f>HYPERLINK("https%3A%2F%2Fwww.webofscience.com%2Fwos%2Fwoscc%2Ffull-record%2FWOS:000842463000001","View Full Record in Web of Science")</f>
        <v>View Full Record in Web of Science</v>
      </c>
    </row>
    <row r="440" spans="1:30" x14ac:dyDescent="0.35">
      <c r="A440">
        <v>439</v>
      </c>
      <c r="B440" t="s">
        <v>3469</v>
      </c>
      <c r="C440" t="s">
        <v>7722</v>
      </c>
      <c r="D440" t="s">
        <v>3469</v>
      </c>
      <c r="E440" t="s">
        <v>2962</v>
      </c>
      <c r="F440" t="s">
        <v>3810</v>
      </c>
      <c r="G440" t="s">
        <v>7723</v>
      </c>
      <c r="H440" t="s">
        <v>7724</v>
      </c>
      <c r="I440" t="s">
        <v>7725</v>
      </c>
      <c r="J440" t="s">
        <v>7726</v>
      </c>
      <c r="K440" t="s">
        <v>7727</v>
      </c>
      <c r="L440">
        <v>12</v>
      </c>
      <c r="M440" t="s">
        <v>3850</v>
      </c>
      <c r="N440" t="s">
        <v>3851</v>
      </c>
      <c r="O440" t="s">
        <v>3852</v>
      </c>
      <c r="P440" t="s">
        <v>6497</v>
      </c>
      <c r="Q440" t="s">
        <v>6498</v>
      </c>
      <c r="R440" t="s">
        <v>6499</v>
      </c>
      <c r="S440" t="s">
        <v>6500</v>
      </c>
      <c r="T440" t="s">
        <v>3918</v>
      </c>
      <c r="U440">
        <v>2018</v>
      </c>
      <c r="V440">
        <v>43</v>
      </c>
      <c r="W440">
        <v>9</v>
      </c>
      <c r="X440" t="s">
        <v>7728</v>
      </c>
      <c r="Y440" t="str">
        <f>HYPERLINK("http://dx.doi.org/10.1002/esp.4363","http://dx.doi.org/10.1002/esp.4363")</f>
        <v>http://dx.doi.org/10.1002/esp.4363</v>
      </c>
      <c r="Z440" t="s">
        <v>4203</v>
      </c>
      <c r="AA440" t="s">
        <v>3826</v>
      </c>
      <c r="AB440" s="3">
        <v>45672</v>
      </c>
      <c r="AC440" t="s">
        <v>7729</v>
      </c>
      <c r="AD440" t="str">
        <f>HYPERLINK("https%3A%2F%2Fwww.webofscience.com%2Fwos%2Fwoscc%2Ffull-record%2FWOS:000437831300012","View Full Record in Web of Science")</f>
        <v>View Full Record in Web of Science</v>
      </c>
    </row>
    <row r="441" spans="1:30" x14ac:dyDescent="0.35">
      <c r="A441">
        <v>440</v>
      </c>
      <c r="B441" t="s">
        <v>3470</v>
      </c>
      <c r="C441" t="s">
        <v>7730</v>
      </c>
      <c r="D441" t="s">
        <v>3470</v>
      </c>
      <c r="E441" t="s">
        <v>2862</v>
      </c>
      <c r="F441" t="s">
        <v>3810</v>
      </c>
      <c r="G441" t="s">
        <v>7731</v>
      </c>
      <c r="H441" t="s">
        <v>7732</v>
      </c>
      <c r="I441" t="s">
        <v>7733</v>
      </c>
      <c r="J441" t="s">
        <v>7734</v>
      </c>
      <c r="K441" t="s">
        <v>7735</v>
      </c>
      <c r="L441">
        <v>86</v>
      </c>
      <c r="M441" t="s">
        <v>3816</v>
      </c>
      <c r="N441" t="s">
        <v>3817</v>
      </c>
      <c r="O441" t="s">
        <v>3818</v>
      </c>
      <c r="P441" t="s">
        <v>3819</v>
      </c>
      <c r="Q441" t="s">
        <v>3820</v>
      </c>
      <c r="R441" t="s">
        <v>3821</v>
      </c>
      <c r="S441" t="s">
        <v>3822</v>
      </c>
      <c r="T441" t="s">
        <v>6634</v>
      </c>
      <c r="U441">
        <v>2021</v>
      </c>
      <c r="V441">
        <v>254</v>
      </c>
      <c r="W441" t="s">
        <v>3808</v>
      </c>
      <c r="X441" t="s">
        <v>7736</v>
      </c>
      <c r="Y441" t="str">
        <f>HYPERLINK("http://dx.doi.org/10.1016/j.atmosres.2021.105525","http://dx.doi.org/10.1016/j.atmosres.2021.105525")</f>
        <v>http://dx.doi.org/10.1016/j.atmosres.2021.105525</v>
      </c>
      <c r="Z441" t="s">
        <v>3825</v>
      </c>
      <c r="AA441" t="s">
        <v>3826</v>
      </c>
      <c r="AB441" s="3">
        <v>45672</v>
      </c>
      <c r="AC441" t="s">
        <v>7737</v>
      </c>
      <c r="AD441" t="str">
        <f>HYPERLINK("https%3A%2F%2Fwww.webofscience.com%2Fwos%2Fwoscc%2Ffull-record%2FWOS:000636299900002","View Full Record in Web of Science")</f>
        <v>View Full Record in Web of Science</v>
      </c>
    </row>
    <row r="442" spans="1:30" x14ac:dyDescent="0.35">
      <c r="A442">
        <v>441</v>
      </c>
      <c r="B442" t="s">
        <v>3471</v>
      </c>
      <c r="C442" t="s">
        <v>7738</v>
      </c>
      <c r="D442" t="s">
        <v>3471</v>
      </c>
      <c r="E442" t="s">
        <v>2958</v>
      </c>
      <c r="F442" t="s">
        <v>3810</v>
      </c>
      <c r="G442" t="s">
        <v>7739</v>
      </c>
      <c r="H442" t="s">
        <v>7740</v>
      </c>
      <c r="I442" t="s">
        <v>7741</v>
      </c>
      <c r="J442" t="s">
        <v>7742</v>
      </c>
      <c r="K442" t="s">
        <v>7743</v>
      </c>
      <c r="L442">
        <v>4</v>
      </c>
      <c r="M442" t="s">
        <v>3911</v>
      </c>
      <c r="N442" t="s">
        <v>3912</v>
      </c>
      <c r="O442" t="s">
        <v>3913</v>
      </c>
      <c r="P442" t="s">
        <v>6340</v>
      </c>
      <c r="Q442" t="s">
        <v>6341</v>
      </c>
      <c r="R442" t="s">
        <v>6342</v>
      </c>
      <c r="S442" t="s">
        <v>6343</v>
      </c>
      <c r="T442" t="s">
        <v>3974</v>
      </c>
      <c r="U442">
        <v>2021</v>
      </c>
      <c r="V442">
        <v>126</v>
      </c>
      <c r="W442">
        <v>6</v>
      </c>
      <c r="X442" t="s">
        <v>7744</v>
      </c>
      <c r="Y442" t="str">
        <f>HYPERLINK("http://dx.doi.org/10.1029/2021JC017237","http://dx.doi.org/10.1029/2021JC017237")</f>
        <v>http://dx.doi.org/10.1029/2021JC017237</v>
      </c>
      <c r="Z442" t="s">
        <v>4055</v>
      </c>
      <c r="AA442" t="s">
        <v>3826</v>
      </c>
      <c r="AB442" s="3">
        <v>45672</v>
      </c>
      <c r="AC442" t="s">
        <v>7745</v>
      </c>
      <c r="AD442" t="str">
        <f>HYPERLINK("https%3A%2F%2Fwww.webofscience.com%2Fwos%2Fwoscc%2Ffull-record%2FWOS:000665203500028","View Full Record in Web of Science")</f>
        <v>View Full Record in Web of Science</v>
      </c>
    </row>
    <row r="443" spans="1:30" x14ac:dyDescent="0.35">
      <c r="A443">
        <v>442</v>
      </c>
      <c r="B443" t="s">
        <v>3472</v>
      </c>
      <c r="C443" t="s">
        <v>7746</v>
      </c>
      <c r="D443" t="s">
        <v>3472</v>
      </c>
      <c r="E443" t="s">
        <v>2942</v>
      </c>
      <c r="F443" t="s">
        <v>3810</v>
      </c>
      <c r="G443" t="s">
        <v>7747</v>
      </c>
      <c r="H443" t="s">
        <v>7748</v>
      </c>
      <c r="I443" t="s">
        <v>7749</v>
      </c>
      <c r="J443" t="s">
        <v>7750</v>
      </c>
      <c r="K443" t="s">
        <v>7751</v>
      </c>
      <c r="L443">
        <v>3</v>
      </c>
      <c r="M443" t="s">
        <v>5554</v>
      </c>
      <c r="N443" t="s">
        <v>4378</v>
      </c>
      <c r="O443" t="s">
        <v>5555</v>
      </c>
      <c r="P443" t="s">
        <v>5556</v>
      </c>
      <c r="Q443" t="s">
        <v>5557</v>
      </c>
      <c r="R443" t="s">
        <v>5558</v>
      </c>
      <c r="S443" t="s">
        <v>5559</v>
      </c>
      <c r="T443" t="s">
        <v>4114</v>
      </c>
      <c r="U443">
        <v>2020</v>
      </c>
      <c r="V443">
        <v>15</v>
      </c>
      <c r="W443">
        <v>3</v>
      </c>
      <c r="X443" t="s">
        <v>7752</v>
      </c>
      <c r="Y443" t="str">
        <f>HYPERLINK("http://dx.doi.org/10.20965/jdr.2020.p0324","http://dx.doi.org/10.20965/jdr.2020.p0324")</f>
        <v>http://dx.doi.org/10.20965/jdr.2020.p0324</v>
      </c>
      <c r="Z443" t="s">
        <v>4116</v>
      </c>
      <c r="AA443" t="s">
        <v>4117</v>
      </c>
      <c r="AB443" s="3">
        <v>45672</v>
      </c>
      <c r="AC443" t="s">
        <v>7753</v>
      </c>
      <c r="AD443" t="str">
        <f>HYPERLINK("https%3A%2F%2Fwww.webofscience.com%2Fwos%2Fwoscc%2Ffull-record%2FWOS:000522815300009","View Full Record in Web of Science")</f>
        <v>View Full Record in Web of Science</v>
      </c>
    </row>
    <row r="444" spans="1:30" x14ac:dyDescent="0.35">
      <c r="A444">
        <v>443</v>
      </c>
      <c r="B444" t="s">
        <v>3473</v>
      </c>
      <c r="C444" t="s">
        <v>7754</v>
      </c>
      <c r="D444" t="s">
        <v>3473</v>
      </c>
      <c r="E444" t="s">
        <v>2920</v>
      </c>
      <c r="F444" t="s">
        <v>3810</v>
      </c>
      <c r="G444" t="s">
        <v>7755</v>
      </c>
      <c r="H444" t="s">
        <v>7756</v>
      </c>
      <c r="I444" t="s">
        <v>7757</v>
      </c>
      <c r="J444" t="s">
        <v>7758</v>
      </c>
      <c r="K444" t="s">
        <v>7759</v>
      </c>
      <c r="L444">
        <v>9</v>
      </c>
      <c r="M444" t="s">
        <v>4046</v>
      </c>
      <c r="N444" t="s">
        <v>4047</v>
      </c>
      <c r="O444" t="s">
        <v>4048</v>
      </c>
      <c r="P444" t="s">
        <v>4835</v>
      </c>
      <c r="Q444" t="s">
        <v>4836</v>
      </c>
      <c r="R444" t="s">
        <v>4837</v>
      </c>
      <c r="S444" t="s">
        <v>4838</v>
      </c>
      <c r="T444" t="s">
        <v>7760</v>
      </c>
      <c r="U444">
        <v>2017</v>
      </c>
      <c r="V444">
        <v>455</v>
      </c>
      <c r="W444" t="s">
        <v>3808</v>
      </c>
      <c r="X444" t="s">
        <v>7761</v>
      </c>
      <c r="Y444" t="str">
        <f>HYPERLINK("http://dx.doi.org/10.1016/j.quaint.2017.06.020","http://dx.doi.org/10.1016/j.quaint.2017.06.020")</f>
        <v>http://dx.doi.org/10.1016/j.quaint.2017.06.020</v>
      </c>
      <c r="Z444" t="s">
        <v>4203</v>
      </c>
      <c r="AA444" t="s">
        <v>3826</v>
      </c>
      <c r="AB444" s="3">
        <v>45672</v>
      </c>
      <c r="AC444" t="s">
        <v>7762</v>
      </c>
      <c r="AD444" t="str">
        <f>HYPERLINK("https%3A%2F%2Fwww.webofscience.com%2Fwos%2Fwoscc%2Ffull-record%2FWOS:000411478800001","View Full Record in Web of Science")</f>
        <v>View Full Record in Web of Science</v>
      </c>
    </row>
    <row r="445" spans="1:30" x14ac:dyDescent="0.35">
      <c r="A445">
        <v>444</v>
      </c>
      <c r="B445" t="s">
        <v>3474</v>
      </c>
      <c r="C445" t="s">
        <v>7763</v>
      </c>
      <c r="D445" t="s">
        <v>3474</v>
      </c>
      <c r="E445" t="s">
        <v>2924</v>
      </c>
      <c r="F445" t="s">
        <v>3810</v>
      </c>
      <c r="G445" t="s">
        <v>7764</v>
      </c>
      <c r="H445" t="s">
        <v>7765</v>
      </c>
      <c r="I445" t="s">
        <v>7766</v>
      </c>
      <c r="J445" t="s">
        <v>7767</v>
      </c>
      <c r="K445" t="s">
        <v>7768</v>
      </c>
      <c r="L445">
        <v>13</v>
      </c>
      <c r="M445" t="s">
        <v>3911</v>
      </c>
      <c r="N445" t="s">
        <v>3912</v>
      </c>
      <c r="O445" t="s">
        <v>3913</v>
      </c>
      <c r="P445" t="s">
        <v>4965</v>
      </c>
      <c r="Q445" t="s">
        <v>4966</v>
      </c>
      <c r="R445" t="s">
        <v>4967</v>
      </c>
      <c r="S445" t="s">
        <v>4968</v>
      </c>
      <c r="T445" t="s">
        <v>5875</v>
      </c>
      <c r="U445">
        <v>2017</v>
      </c>
      <c r="V445">
        <v>44</v>
      </c>
      <c r="W445">
        <v>10</v>
      </c>
      <c r="X445" t="s">
        <v>7769</v>
      </c>
      <c r="Y445" t="str">
        <f>HYPERLINK("http://dx.doi.org/10.1002/2017GL073355","http://dx.doi.org/10.1002/2017GL073355")</f>
        <v>http://dx.doi.org/10.1002/2017GL073355</v>
      </c>
      <c r="Z445" t="s">
        <v>4116</v>
      </c>
      <c r="AA445" t="s">
        <v>3826</v>
      </c>
      <c r="AB445" s="3">
        <v>45672</v>
      </c>
      <c r="AC445" t="s">
        <v>7770</v>
      </c>
      <c r="AD445" t="str">
        <f>HYPERLINK("https%3A%2F%2Fwww.webofscience.com%2Fwos%2Fwoscc%2Ffull-record%2FWOS:000404131900071","View Full Record in Web of Science")</f>
        <v>View Full Record in Web of Science</v>
      </c>
    </row>
    <row r="446" spans="1:30" x14ac:dyDescent="0.35">
      <c r="A446">
        <v>445</v>
      </c>
      <c r="B446" t="s">
        <v>3475</v>
      </c>
      <c r="C446" t="s">
        <v>7771</v>
      </c>
      <c r="D446" t="s">
        <v>3475</v>
      </c>
      <c r="E446" t="s">
        <v>2872</v>
      </c>
      <c r="F446" t="s">
        <v>3810</v>
      </c>
      <c r="G446" t="s">
        <v>7772</v>
      </c>
      <c r="H446" t="s">
        <v>7773</v>
      </c>
      <c r="I446" t="s">
        <v>7774</v>
      </c>
      <c r="J446" t="s">
        <v>7775</v>
      </c>
      <c r="K446" t="s">
        <v>7776</v>
      </c>
      <c r="L446">
        <v>36</v>
      </c>
      <c r="M446" t="s">
        <v>3951</v>
      </c>
      <c r="N446" t="s">
        <v>3952</v>
      </c>
      <c r="O446" t="s">
        <v>3953</v>
      </c>
      <c r="P446" t="s">
        <v>3954</v>
      </c>
      <c r="Q446" t="s">
        <v>3955</v>
      </c>
      <c r="R446" t="s">
        <v>3956</v>
      </c>
      <c r="S446" t="s">
        <v>3957</v>
      </c>
      <c r="T446" t="s">
        <v>4163</v>
      </c>
      <c r="U446">
        <v>2019</v>
      </c>
      <c r="V446">
        <v>579</v>
      </c>
      <c r="W446" t="s">
        <v>3808</v>
      </c>
      <c r="X446" t="s">
        <v>7777</v>
      </c>
      <c r="Y446" t="str">
        <f>HYPERLINK("http://dx.doi.org/10.1016/j.jhydrol.2019.124177","http://dx.doi.org/10.1016/j.jhydrol.2019.124177")</f>
        <v>http://dx.doi.org/10.1016/j.jhydrol.2019.124177</v>
      </c>
      <c r="Z446" t="s">
        <v>3960</v>
      </c>
      <c r="AA446" t="s">
        <v>3826</v>
      </c>
      <c r="AB446" s="3">
        <v>45672</v>
      </c>
      <c r="AC446" t="s">
        <v>7778</v>
      </c>
      <c r="AD446" t="str">
        <f>HYPERLINK("https%3A%2F%2Fwww.webofscience.com%2Fwos%2Fwoscc%2Ffull-record%2FWOS:000500371200034","View Full Record in Web of Science")</f>
        <v>View Full Record in Web of Science</v>
      </c>
    </row>
    <row r="447" spans="1:30" x14ac:dyDescent="0.35">
      <c r="A447">
        <v>446</v>
      </c>
      <c r="B447" t="s">
        <v>3476</v>
      </c>
      <c r="C447" t="s">
        <v>7779</v>
      </c>
      <c r="D447" t="s">
        <v>3476</v>
      </c>
      <c r="E447" t="s">
        <v>2993</v>
      </c>
      <c r="F447" t="s">
        <v>3810</v>
      </c>
      <c r="G447" t="s">
        <v>7780</v>
      </c>
      <c r="H447" t="s">
        <v>7781</v>
      </c>
      <c r="I447" t="s">
        <v>7782</v>
      </c>
      <c r="J447" t="s">
        <v>7783</v>
      </c>
      <c r="K447" t="s">
        <v>7784</v>
      </c>
      <c r="L447">
        <v>1</v>
      </c>
      <c r="M447" t="s">
        <v>3866</v>
      </c>
      <c r="N447" t="s">
        <v>3817</v>
      </c>
      <c r="O447" t="s">
        <v>4290</v>
      </c>
      <c r="P447" t="s">
        <v>7785</v>
      </c>
      <c r="Q447" t="s">
        <v>7786</v>
      </c>
      <c r="R447" t="s">
        <v>7787</v>
      </c>
      <c r="S447" t="s">
        <v>4560</v>
      </c>
      <c r="T447" t="s">
        <v>4163</v>
      </c>
      <c r="U447">
        <v>2014</v>
      </c>
      <c r="V447">
        <v>8</v>
      </c>
      <c r="W447">
        <v>4</v>
      </c>
      <c r="X447" t="s">
        <v>7788</v>
      </c>
      <c r="Y447" t="str">
        <f>HYPERLINK("http://dx.doi.org/10.1007/s11707-014-0429-8","http://dx.doi.org/10.1007/s11707-014-0429-8")</f>
        <v>http://dx.doi.org/10.1007/s11707-014-0429-8</v>
      </c>
      <c r="Z447" t="s">
        <v>4116</v>
      </c>
      <c r="AA447" t="s">
        <v>3826</v>
      </c>
      <c r="AB447" s="3">
        <v>45672</v>
      </c>
      <c r="AC447" t="s">
        <v>7789</v>
      </c>
      <c r="AD447" t="str">
        <f>HYPERLINK("https%3A%2F%2Fwww.webofscience.com%2Fwos%2Fwoscc%2Ffull-record%2FWOS:000345389600012","View Full Record in Web of Science")</f>
        <v>View Full Record in Web of Science</v>
      </c>
    </row>
    <row r="448" spans="1:30" x14ac:dyDescent="0.35">
      <c r="A448">
        <v>447</v>
      </c>
      <c r="B448" t="s">
        <v>3477</v>
      </c>
      <c r="C448" t="s">
        <v>7790</v>
      </c>
      <c r="D448" t="s">
        <v>3477</v>
      </c>
      <c r="E448" t="s">
        <v>2932</v>
      </c>
      <c r="F448" t="s">
        <v>3810</v>
      </c>
      <c r="G448" t="s">
        <v>7791</v>
      </c>
      <c r="H448" t="s">
        <v>7792</v>
      </c>
      <c r="I448" t="s">
        <v>7793</v>
      </c>
      <c r="K448" t="s">
        <v>7794</v>
      </c>
      <c r="L448">
        <v>14</v>
      </c>
      <c r="M448" t="s">
        <v>4922</v>
      </c>
      <c r="N448" t="s">
        <v>4109</v>
      </c>
      <c r="O448" t="s">
        <v>4923</v>
      </c>
      <c r="P448" t="s">
        <v>5241</v>
      </c>
      <c r="Q448" t="s">
        <v>5242</v>
      </c>
      <c r="R448" t="s">
        <v>5243</v>
      </c>
      <c r="S448" t="s">
        <v>5244</v>
      </c>
      <c r="T448" t="s">
        <v>4163</v>
      </c>
      <c r="U448">
        <v>2019</v>
      </c>
      <c r="V448">
        <v>36</v>
      </c>
      <c r="W448">
        <v>12</v>
      </c>
      <c r="X448" t="s">
        <v>7795</v>
      </c>
      <c r="Y448" t="str">
        <f>HYPERLINK("http://dx.doi.org/10.1007/s00376-019-9075-0","http://dx.doi.org/10.1007/s00376-019-9075-0")</f>
        <v>http://dx.doi.org/10.1007/s00376-019-9075-0</v>
      </c>
      <c r="Z448" t="s">
        <v>3825</v>
      </c>
      <c r="AA448" t="s">
        <v>3826</v>
      </c>
      <c r="AB448" s="3">
        <v>45672</v>
      </c>
      <c r="AC448" t="s">
        <v>7796</v>
      </c>
      <c r="AD448" t="str">
        <f>HYPERLINK("https%3A%2F%2Fwww.webofscience.com%2Fwos%2Fwoscc%2Ffull-record%2FWOS:000495292800005","View Full Record in Web of Science")</f>
        <v>View Full Record in Web of Science</v>
      </c>
    </row>
    <row r="449" spans="1:30" x14ac:dyDescent="0.35">
      <c r="A449">
        <v>448</v>
      </c>
      <c r="B449" t="s">
        <v>3478</v>
      </c>
      <c r="C449" t="s">
        <v>7797</v>
      </c>
      <c r="D449" t="s">
        <v>3478</v>
      </c>
      <c r="E449" t="s">
        <v>2928</v>
      </c>
      <c r="F449" t="s">
        <v>3810</v>
      </c>
      <c r="G449" t="s">
        <v>7798</v>
      </c>
      <c r="H449" t="s">
        <v>7799</v>
      </c>
      <c r="I449" t="s">
        <v>7800</v>
      </c>
      <c r="J449" t="s">
        <v>7801</v>
      </c>
      <c r="K449" t="s">
        <v>7802</v>
      </c>
      <c r="L449">
        <v>27</v>
      </c>
      <c r="M449" t="s">
        <v>3911</v>
      </c>
      <c r="N449" t="s">
        <v>3912</v>
      </c>
      <c r="O449" t="s">
        <v>3913</v>
      </c>
      <c r="P449" t="s">
        <v>5129</v>
      </c>
      <c r="Q449" t="s">
        <v>5130</v>
      </c>
      <c r="R449" t="s">
        <v>5131</v>
      </c>
      <c r="S449" t="s">
        <v>5132</v>
      </c>
      <c r="T449" t="s">
        <v>5054</v>
      </c>
      <c r="U449">
        <v>2014</v>
      </c>
      <c r="V449">
        <v>119</v>
      </c>
      <c r="W449">
        <v>18</v>
      </c>
      <c r="X449" t="s">
        <v>7803</v>
      </c>
      <c r="Y449" t="str">
        <f>HYPERLINK("http://dx.doi.org/10.1002/2014JD022024","http://dx.doi.org/10.1002/2014JD022024")</f>
        <v>http://dx.doi.org/10.1002/2014JD022024</v>
      </c>
      <c r="Z449" t="s">
        <v>3825</v>
      </c>
      <c r="AA449" t="s">
        <v>3826</v>
      </c>
      <c r="AB449" s="3">
        <v>45672</v>
      </c>
      <c r="AC449" t="s">
        <v>7804</v>
      </c>
      <c r="AD449" t="str">
        <f>HYPERLINK("https%3A%2F%2Fwww.webofscience.com%2Fwos%2Fwoscc%2Ffull-record%2FWOS:000344052800010","View Full Record in Web of Science")</f>
        <v>View Full Record in Web of Science</v>
      </c>
    </row>
    <row r="450" spans="1:30" x14ac:dyDescent="0.35">
      <c r="A450">
        <v>449</v>
      </c>
      <c r="B450" t="s">
        <v>3479</v>
      </c>
      <c r="C450" t="s">
        <v>7805</v>
      </c>
      <c r="D450" t="s">
        <v>3479</v>
      </c>
      <c r="E450" t="s">
        <v>2900</v>
      </c>
      <c r="F450" t="s">
        <v>3810</v>
      </c>
      <c r="G450" t="s">
        <v>7806</v>
      </c>
      <c r="H450" t="s">
        <v>7807</v>
      </c>
      <c r="I450" t="s">
        <v>7808</v>
      </c>
      <c r="J450" t="s">
        <v>7809</v>
      </c>
      <c r="K450" t="s">
        <v>7810</v>
      </c>
      <c r="L450">
        <v>2</v>
      </c>
      <c r="M450" t="s">
        <v>4339</v>
      </c>
      <c r="N450" t="s">
        <v>4340</v>
      </c>
      <c r="O450" t="s">
        <v>4341</v>
      </c>
      <c r="P450" t="s">
        <v>4342</v>
      </c>
      <c r="Q450" t="s">
        <v>4343</v>
      </c>
      <c r="R450" t="s">
        <v>4344</v>
      </c>
      <c r="S450" t="s">
        <v>4345</v>
      </c>
      <c r="T450" t="s">
        <v>7811</v>
      </c>
      <c r="U450">
        <v>2023</v>
      </c>
      <c r="V450">
        <v>23</v>
      </c>
      <c r="W450">
        <v>6</v>
      </c>
      <c r="X450" t="s">
        <v>7812</v>
      </c>
      <c r="Y450" t="str">
        <f>HYPERLINK("http://dx.doi.org/10.5194/nhess-23-2333-2023","http://dx.doi.org/10.5194/nhess-23-2333-2023")</f>
        <v>http://dx.doi.org/10.5194/nhess-23-2333-2023</v>
      </c>
      <c r="Z450" t="s">
        <v>3934</v>
      </c>
      <c r="AA450" t="s">
        <v>3826</v>
      </c>
      <c r="AB450" s="3">
        <v>45672</v>
      </c>
      <c r="AC450" t="s">
        <v>7813</v>
      </c>
      <c r="AD450" t="str">
        <f>HYPERLINK("https%3A%2F%2Fwww.webofscience.com%2Fwos%2Fwoscc%2Ffull-record%2FWOS:001019821100001","View Full Record in Web of Science")</f>
        <v>View Full Record in Web of Science</v>
      </c>
    </row>
    <row r="451" spans="1:30" x14ac:dyDescent="0.35">
      <c r="A451">
        <v>450</v>
      </c>
      <c r="B451" t="s">
        <v>3480</v>
      </c>
      <c r="C451" t="s">
        <v>7814</v>
      </c>
      <c r="D451" t="s">
        <v>3480</v>
      </c>
      <c r="E451" t="s">
        <v>2894</v>
      </c>
      <c r="F451" t="s">
        <v>3810</v>
      </c>
      <c r="G451" t="s">
        <v>7815</v>
      </c>
      <c r="H451" t="s">
        <v>7816</v>
      </c>
      <c r="I451" t="s">
        <v>7817</v>
      </c>
      <c r="J451" t="s">
        <v>7818</v>
      </c>
      <c r="K451" t="s">
        <v>7819</v>
      </c>
      <c r="L451">
        <v>3</v>
      </c>
      <c r="M451" t="s">
        <v>4252</v>
      </c>
      <c r="N451" t="s">
        <v>4253</v>
      </c>
      <c r="O451" t="s">
        <v>4254</v>
      </c>
      <c r="P451" t="s">
        <v>4255</v>
      </c>
      <c r="Q451" t="s">
        <v>4256</v>
      </c>
      <c r="R451" t="s">
        <v>4257</v>
      </c>
      <c r="S451" t="s">
        <v>4258</v>
      </c>
      <c r="T451" t="s">
        <v>5045</v>
      </c>
      <c r="U451">
        <v>2020</v>
      </c>
      <c r="V451">
        <v>140</v>
      </c>
      <c r="W451" t="s">
        <v>4259</v>
      </c>
      <c r="X451" t="s">
        <v>7820</v>
      </c>
      <c r="Y451" t="str">
        <f>HYPERLINK("http://dx.doi.org/10.1007/s00704-019-03044-y","http://dx.doi.org/10.1007/s00704-019-03044-y")</f>
        <v>http://dx.doi.org/10.1007/s00704-019-03044-y</v>
      </c>
      <c r="Z451" t="s">
        <v>3825</v>
      </c>
      <c r="AA451" t="s">
        <v>3826</v>
      </c>
      <c r="AB451" s="3">
        <v>45672</v>
      </c>
      <c r="AC451" t="s">
        <v>7821</v>
      </c>
      <c r="AD451" t="str">
        <f>HYPERLINK("https%3A%2F%2Fwww.webofscience.com%2Fwos%2Fwoscc%2Ffull-record%2FWOS:000516124200001","View Full Record in Web of Science")</f>
        <v>View Full Record in Web of Science</v>
      </c>
    </row>
    <row r="452" spans="1:30" x14ac:dyDescent="0.35">
      <c r="A452">
        <v>451</v>
      </c>
      <c r="B452" t="s">
        <v>3481</v>
      </c>
      <c r="C452" t="s">
        <v>7822</v>
      </c>
      <c r="D452" t="s">
        <v>3481</v>
      </c>
      <c r="E452" t="s">
        <v>2951</v>
      </c>
      <c r="F452" t="s">
        <v>3810</v>
      </c>
      <c r="G452" t="s">
        <v>7823</v>
      </c>
      <c r="H452" t="s">
        <v>7824</v>
      </c>
      <c r="I452" t="s">
        <v>7825</v>
      </c>
      <c r="J452" t="s">
        <v>3808</v>
      </c>
      <c r="K452" t="s">
        <v>3808</v>
      </c>
      <c r="L452">
        <v>1</v>
      </c>
      <c r="M452" t="s">
        <v>6159</v>
      </c>
      <c r="N452" t="s">
        <v>3952</v>
      </c>
      <c r="O452" t="s">
        <v>6160</v>
      </c>
      <c r="P452" t="s">
        <v>6161</v>
      </c>
      <c r="Q452" t="s">
        <v>6162</v>
      </c>
      <c r="R452" t="s">
        <v>6163</v>
      </c>
      <c r="S452" t="s">
        <v>6164</v>
      </c>
      <c r="T452" t="s">
        <v>3808</v>
      </c>
      <c r="U452">
        <v>2022</v>
      </c>
      <c r="V452">
        <v>8</v>
      </c>
      <c r="W452">
        <v>3</v>
      </c>
      <c r="X452" t="s">
        <v>7826</v>
      </c>
      <c r="Y452" t="str">
        <f>HYPERLINK("http://dx.doi.org/10.3233/JCC220020","http://dx.doi.org/10.3233/JCC220020")</f>
        <v>http://dx.doi.org/10.3233/JCC220020</v>
      </c>
      <c r="Z452" t="s">
        <v>3825</v>
      </c>
      <c r="AA452" t="s">
        <v>4117</v>
      </c>
      <c r="AB452" s="3">
        <v>45672</v>
      </c>
      <c r="AC452" t="s">
        <v>7827</v>
      </c>
      <c r="AD452" t="str">
        <f>HYPERLINK("https%3A%2F%2Fwww.webofscience.com%2Fwos%2Fwoscc%2Ffull-record%2FWOS:000849737700006","View Full Record in Web of Science")</f>
        <v>View Full Record in Web of Science</v>
      </c>
    </row>
    <row r="453" spans="1:30" x14ac:dyDescent="0.35">
      <c r="A453">
        <v>452</v>
      </c>
      <c r="B453" t="s">
        <v>3482</v>
      </c>
      <c r="C453" t="s">
        <v>7828</v>
      </c>
      <c r="D453" t="s">
        <v>3482</v>
      </c>
      <c r="E453" t="s">
        <v>2960</v>
      </c>
      <c r="F453" t="s">
        <v>3810</v>
      </c>
      <c r="G453" t="s">
        <v>7829</v>
      </c>
      <c r="H453" t="s">
        <v>7830</v>
      </c>
      <c r="I453" t="s">
        <v>7831</v>
      </c>
      <c r="J453" t="s">
        <v>3808</v>
      </c>
      <c r="K453" t="s">
        <v>3808</v>
      </c>
      <c r="L453">
        <v>11</v>
      </c>
      <c r="M453" t="s">
        <v>4277</v>
      </c>
      <c r="N453" t="s">
        <v>4278</v>
      </c>
      <c r="O453" t="s">
        <v>4279</v>
      </c>
      <c r="P453" t="s">
        <v>3808</v>
      </c>
      <c r="Q453" t="s">
        <v>6415</v>
      </c>
      <c r="R453" t="s">
        <v>6416</v>
      </c>
      <c r="S453" t="s">
        <v>6417</v>
      </c>
      <c r="T453" t="s">
        <v>4001</v>
      </c>
      <c r="U453">
        <v>2022</v>
      </c>
      <c r="V453">
        <v>12</v>
      </c>
      <c r="W453">
        <v>1</v>
      </c>
      <c r="X453" t="s">
        <v>7832</v>
      </c>
      <c r="Y453" t="str">
        <f>HYPERLINK("http://dx.doi.org/10.3390/min12010044","http://dx.doi.org/10.3390/min12010044")</f>
        <v>http://dx.doi.org/10.3390/min12010044</v>
      </c>
      <c r="Z453" t="s">
        <v>6419</v>
      </c>
      <c r="AA453" t="s">
        <v>3826</v>
      </c>
      <c r="AB453" s="3">
        <v>45672</v>
      </c>
      <c r="AC453" t="s">
        <v>7833</v>
      </c>
      <c r="AD453" t="str">
        <f>HYPERLINK("https%3A%2F%2Fwww.webofscience.com%2Fwos%2Fwoscc%2Ffull-record%2FWOS:000757308300001","View Full Record in Web of Science")</f>
        <v>View Full Record in Web of Science</v>
      </c>
    </row>
    <row r="454" spans="1:30" x14ac:dyDescent="0.35">
      <c r="A454">
        <v>453</v>
      </c>
      <c r="B454" t="s">
        <v>3483</v>
      </c>
      <c r="C454" t="s">
        <v>7834</v>
      </c>
      <c r="D454" t="s">
        <v>3483</v>
      </c>
      <c r="E454" t="s">
        <v>2913</v>
      </c>
      <c r="F454" t="s">
        <v>3810</v>
      </c>
      <c r="G454" t="s">
        <v>7835</v>
      </c>
      <c r="H454" t="s">
        <v>7836</v>
      </c>
      <c r="I454" t="s">
        <v>7837</v>
      </c>
      <c r="K454" t="s">
        <v>3808</v>
      </c>
      <c r="L454">
        <v>1</v>
      </c>
      <c r="M454" t="s">
        <v>4377</v>
      </c>
      <c r="N454" t="s">
        <v>4378</v>
      </c>
      <c r="O454" t="s">
        <v>4379</v>
      </c>
      <c r="P454" t="s">
        <v>4691</v>
      </c>
      <c r="Q454" t="s">
        <v>3808</v>
      </c>
      <c r="R454" t="s">
        <v>2913</v>
      </c>
      <c r="S454" t="s">
        <v>2913</v>
      </c>
      <c r="T454" t="s">
        <v>7838</v>
      </c>
      <c r="U454">
        <v>2019</v>
      </c>
      <c r="V454">
        <v>15</v>
      </c>
      <c r="W454" t="s">
        <v>3808</v>
      </c>
      <c r="X454" t="s">
        <v>7839</v>
      </c>
      <c r="Y454" t="str">
        <f>HYPERLINK("http://dx.doi.org/10.2151/sola.2019-015","http://dx.doi.org/10.2151/sola.2019-015")</f>
        <v>http://dx.doi.org/10.2151/sola.2019-015</v>
      </c>
      <c r="Z454" t="s">
        <v>3825</v>
      </c>
      <c r="AA454" t="s">
        <v>3826</v>
      </c>
      <c r="AB454" s="3">
        <v>45672</v>
      </c>
      <c r="AC454" t="s">
        <v>7840</v>
      </c>
      <c r="AD454" t="str">
        <f>HYPERLINK("https%3A%2F%2Fwww.webofscience.com%2Fwos%2Fwoscc%2Ffull-record%2FWOS:000464128100001","View Full Record in Web of Science")</f>
        <v>View Full Record in Web of Science</v>
      </c>
    </row>
    <row r="455" spans="1:30" x14ac:dyDescent="0.35">
      <c r="A455">
        <v>454</v>
      </c>
      <c r="B455" t="s">
        <v>3484</v>
      </c>
      <c r="C455" t="s">
        <v>7841</v>
      </c>
      <c r="D455" t="s">
        <v>3484</v>
      </c>
      <c r="E455" t="s">
        <v>2991</v>
      </c>
      <c r="F455" t="s">
        <v>3810</v>
      </c>
      <c r="G455" t="s">
        <v>7842</v>
      </c>
      <c r="H455" t="s">
        <v>7843</v>
      </c>
      <c r="I455" t="s">
        <v>7844</v>
      </c>
      <c r="J455" t="s">
        <v>7845</v>
      </c>
      <c r="K455" t="s">
        <v>7846</v>
      </c>
      <c r="L455">
        <v>2</v>
      </c>
      <c r="M455" t="s">
        <v>7586</v>
      </c>
      <c r="N455" t="s">
        <v>7587</v>
      </c>
      <c r="O455" t="s">
        <v>7588</v>
      </c>
      <c r="P455" t="s">
        <v>7589</v>
      </c>
      <c r="Q455" t="s">
        <v>3808</v>
      </c>
      <c r="R455" t="s">
        <v>7590</v>
      </c>
      <c r="S455" t="s">
        <v>7591</v>
      </c>
      <c r="T455" t="s">
        <v>4114</v>
      </c>
      <c r="U455">
        <v>2014</v>
      </c>
      <c r="V455">
        <v>20</v>
      </c>
      <c r="W455">
        <v>1</v>
      </c>
      <c r="X455" t="s">
        <v>3808</v>
      </c>
      <c r="Y455" t="s">
        <v>3808</v>
      </c>
      <c r="Z455" t="s">
        <v>3825</v>
      </c>
      <c r="AA455" t="s">
        <v>3826</v>
      </c>
      <c r="AB455" s="3">
        <v>45672</v>
      </c>
      <c r="AC455" t="s">
        <v>7847</v>
      </c>
      <c r="AD455" t="str">
        <f>HYPERLINK("https%3A%2F%2Fwww.webofscience.com%2Fwos%2Fwoscc%2Ffull-record%2FWOS:000332591400001","View Full Record in Web of Science")</f>
        <v>View Full Record in Web of Science</v>
      </c>
    </row>
    <row r="456" spans="1:30" x14ac:dyDescent="0.35">
      <c r="A456">
        <v>455</v>
      </c>
      <c r="B456" t="s">
        <v>3485</v>
      </c>
      <c r="C456" t="s">
        <v>7848</v>
      </c>
      <c r="D456" t="s">
        <v>3485</v>
      </c>
      <c r="E456" t="s">
        <v>2951</v>
      </c>
      <c r="F456" t="s">
        <v>3810</v>
      </c>
      <c r="G456" t="s">
        <v>7849</v>
      </c>
      <c r="H456" t="s">
        <v>7850</v>
      </c>
      <c r="I456" t="s">
        <v>7851</v>
      </c>
      <c r="J456" t="s">
        <v>7852</v>
      </c>
      <c r="K456" t="s">
        <v>7853</v>
      </c>
      <c r="L456">
        <v>0</v>
      </c>
      <c r="M456" t="s">
        <v>6159</v>
      </c>
      <c r="N456" t="s">
        <v>3952</v>
      </c>
      <c r="O456" t="s">
        <v>6160</v>
      </c>
      <c r="P456" t="s">
        <v>6161</v>
      </c>
      <c r="Q456" t="s">
        <v>6162</v>
      </c>
      <c r="R456" t="s">
        <v>6163</v>
      </c>
      <c r="S456" t="s">
        <v>6164</v>
      </c>
      <c r="T456" t="s">
        <v>3808</v>
      </c>
      <c r="U456">
        <v>2020</v>
      </c>
      <c r="V456">
        <v>6</v>
      </c>
      <c r="W456">
        <v>1</v>
      </c>
      <c r="X456" t="s">
        <v>7854</v>
      </c>
      <c r="Y456" t="str">
        <f>HYPERLINK("http://dx.doi.org/10.3233/JCC200001","http://dx.doi.org/10.3233/JCC200001")</f>
        <v>http://dx.doi.org/10.3233/JCC200001</v>
      </c>
      <c r="Z456" t="s">
        <v>3825</v>
      </c>
      <c r="AA456" t="s">
        <v>4117</v>
      </c>
      <c r="AB456" s="3">
        <v>45672</v>
      </c>
      <c r="AC456" t="s">
        <v>7855</v>
      </c>
      <c r="AD456" t="str">
        <f>HYPERLINK("https%3A%2F%2Fwww.webofscience.com%2Fwos%2Fwoscc%2Ffull-record%2FWOS:000516763300002","View Full Record in Web of Science")</f>
        <v>View Full Record in Web of Science</v>
      </c>
    </row>
    <row r="457" spans="1:30" x14ac:dyDescent="0.35">
      <c r="A457">
        <v>456</v>
      </c>
      <c r="B457" t="s">
        <v>3486</v>
      </c>
      <c r="C457" t="s">
        <v>7856</v>
      </c>
      <c r="D457" t="s">
        <v>3486</v>
      </c>
      <c r="E457" t="s">
        <v>2913</v>
      </c>
      <c r="F457" t="s">
        <v>3810</v>
      </c>
      <c r="G457" t="s">
        <v>7857</v>
      </c>
      <c r="H457" t="s">
        <v>7858</v>
      </c>
      <c r="I457" t="s">
        <v>7859</v>
      </c>
      <c r="J457" t="s">
        <v>7860</v>
      </c>
      <c r="K457" t="s">
        <v>7861</v>
      </c>
      <c r="L457">
        <v>7</v>
      </c>
      <c r="M457" t="s">
        <v>4377</v>
      </c>
      <c r="N457" t="s">
        <v>4378</v>
      </c>
      <c r="O457" t="s">
        <v>4379</v>
      </c>
      <c r="P457" t="s">
        <v>4691</v>
      </c>
      <c r="Q457" t="s">
        <v>3808</v>
      </c>
      <c r="R457" t="s">
        <v>2913</v>
      </c>
      <c r="S457" t="s">
        <v>2913</v>
      </c>
      <c r="T457" t="s">
        <v>3808</v>
      </c>
      <c r="U457">
        <v>2017</v>
      </c>
      <c r="V457">
        <v>13</v>
      </c>
      <c r="W457" t="s">
        <v>3808</v>
      </c>
      <c r="X457" t="s">
        <v>7862</v>
      </c>
      <c r="Y457" t="str">
        <f>HYPERLINK("http://dx.doi.org/10.2151/sola.2017-003","http://dx.doi.org/10.2151/sola.2017-003")</f>
        <v>http://dx.doi.org/10.2151/sola.2017-003</v>
      </c>
      <c r="Z457" t="s">
        <v>3825</v>
      </c>
      <c r="AA457" t="s">
        <v>3826</v>
      </c>
      <c r="AB457" s="3">
        <v>45672</v>
      </c>
      <c r="AC457" t="s">
        <v>7863</v>
      </c>
      <c r="AD457" t="str">
        <f>HYPERLINK("https%3A%2F%2Fwww.webofscience.com%2Fwos%2Fwoscc%2Ffull-record%2FWOS:000397155600005","View Full Record in Web of Science")</f>
        <v>View Full Record in Web of Science</v>
      </c>
    </row>
    <row r="458" spans="1:30" x14ac:dyDescent="0.35">
      <c r="A458">
        <v>457</v>
      </c>
      <c r="B458" t="s">
        <v>3487</v>
      </c>
      <c r="C458" t="s">
        <v>7864</v>
      </c>
      <c r="D458" t="s">
        <v>3487</v>
      </c>
      <c r="E458" t="s">
        <v>2924</v>
      </c>
      <c r="F458" t="s">
        <v>3810</v>
      </c>
      <c r="G458" t="s">
        <v>7865</v>
      </c>
      <c r="H458" t="s">
        <v>7866</v>
      </c>
      <c r="I458" t="s">
        <v>4812</v>
      </c>
      <c r="J458" t="s">
        <v>7867</v>
      </c>
      <c r="K458" t="s">
        <v>7868</v>
      </c>
      <c r="L458">
        <v>3</v>
      </c>
      <c r="M458" t="s">
        <v>3911</v>
      </c>
      <c r="N458" t="s">
        <v>3912</v>
      </c>
      <c r="O458" t="s">
        <v>3913</v>
      </c>
      <c r="P458" t="s">
        <v>4965</v>
      </c>
      <c r="Q458" t="s">
        <v>4966</v>
      </c>
      <c r="R458" t="s">
        <v>4967</v>
      </c>
      <c r="S458" t="s">
        <v>4968</v>
      </c>
      <c r="T458" t="s">
        <v>3958</v>
      </c>
      <c r="U458">
        <v>2016</v>
      </c>
      <c r="V458">
        <v>43</v>
      </c>
      <c r="W458">
        <v>21</v>
      </c>
      <c r="X458" t="s">
        <v>7869</v>
      </c>
      <c r="Y458" t="str">
        <f>HYPERLINK("http://dx.doi.org/10.1002/2016GL071208","http://dx.doi.org/10.1002/2016GL071208")</f>
        <v>http://dx.doi.org/10.1002/2016GL071208</v>
      </c>
      <c r="Z458" t="s">
        <v>4116</v>
      </c>
      <c r="AA458" t="s">
        <v>3826</v>
      </c>
      <c r="AB458" s="3">
        <v>45672</v>
      </c>
      <c r="AC458" t="s">
        <v>7870</v>
      </c>
      <c r="AD458" t="str">
        <f>HYPERLINK("https%3A%2F%2Fwww.webofscience.com%2Fwos%2Fwoscc%2Ffull-record%2FWOS:000389305000043","View Full Record in Web of Science")</f>
        <v>View Full Record in Web of Science</v>
      </c>
    </row>
    <row r="459" spans="1:30" x14ac:dyDescent="0.35">
      <c r="A459">
        <v>458</v>
      </c>
      <c r="B459" t="s">
        <v>3488</v>
      </c>
      <c r="C459" t="s">
        <v>7871</v>
      </c>
      <c r="D459" t="s">
        <v>3488</v>
      </c>
      <c r="E459" t="s">
        <v>2866</v>
      </c>
      <c r="F459" t="s">
        <v>3810</v>
      </c>
      <c r="G459" t="s">
        <v>7872</v>
      </c>
      <c r="H459" t="s">
        <v>7873</v>
      </c>
      <c r="I459" t="s">
        <v>7874</v>
      </c>
      <c r="J459" t="s">
        <v>7875</v>
      </c>
      <c r="K459" t="s">
        <v>7876</v>
      </c>
      <c r="L459">
        <v>29</v>
      </c>
      <c r="M459" t="s">
        <v>5298</v>
      </c>
      <c r="N459" t="s">
        <v>3851</v>
      </c>
      <c r="O459" t="s">
        <v>3852</v>
      </c>
      <c r="P459" t="s">
        <v>3853</v>
      </c>
      <c r="Q459" t="s">
        <v>3854</v>
      </c>
      <c r="R459" t="s">
        <v>3855</v>
      </c>
      <c r="S459" t="s">
        <v>3856</v>
      </c>
      <c r="T459" t="s">
        <v>3932</v>
      </c>
      <c r="U459">
        <v>2015</v>
      </c>
      <c r="V459">
        <v>35</v>
      </c>
      <c r="W459">
        <v>6</v>
      </c>
      <c r="X459" t="s">
        <v>7877</v>
      </c>
      <c r="Y459" t="str">
        <f>HYPERLINK("http://dx.doi.org/10.1002/joc.4032","http://dx.doi.org/10.1002/joc.4032")</f>
        <v>http://dx.doi.org/10.1002/joc.4032</v>
      </c>
      <c r="Z459" t="s">
        <v>3825</v>
      </c>
      <c r="AA459" t="s">
        <v>3826</v>
      </c>
      <c r="AB459" s="3">
        <v>45672</v>
      </c>
      <c r="AC459" t="s">
        <v>7878</v>
      </c>
      <c r="AD459" t="str">
        <f>HYPERLINK("https%3A%2F%2Fwww.webofscience.com%2Fwos%2Fwoscc%2Ffull-record%2FWOS:000353987800015","View Full Record in Web of Science")</f>
        <v>View Full Record in Web of Science</v>
      </c>
    </row>
    <row r="460" spans="1:30" x14ac:dyDescent="0.35">
      <c r="A460">
        <v>459</v>
      </c>
      <c r="B460" t="s">
        <v>3489</v>
      </c>
      <c r="C460" t="s">
        <v>7879</v>
      </c>
      <c r="D460" t="s">
        <v>3489</v>
      </c>
      <c r="E460" t="s">
        <v>2872</v>
      </c>
      <c r="F460" t="s">
        <v>3810</v>
      </c>
      <c r="G460" t="s">
        <v>7880</v>
      </c>
      <c r="H460" t="s">
        <v>7881</v>
      </c>
      <c r="I460" t="s">
        <v>7882</v>
      </c>
      <c r="J460" t="s">
        <v>7883</v>
      </c>
      <c r="K460" t="s">
        <v>7884</v>
      </c>
      <c r="L460">
        <v>28</v>
      </c>
      <c r="M460" t="s">
        <v>4211</v>
      </c>
      <c r="N460" t="s">
        <v>3952</v>
      </c>
      <c r="O460" t="s">
        <v>4212</v>
      </c>
      <c r="P460" t="s">
        <v>3954</v>
      </c>
      <c r="Q460" t="s">
        <v>3955</v>
      </c>
      <c r="R460" t="s">
        <v>3956</v>
      </c>
      <c r="S460" t="s">
        <v>3957</v>
      </c>
      <c r="T460" t="s">
        <v>4016</v>
      </c>
      <c r="U460">
        <v>2017</v>
      </c>
      <c r="V460">
        <v>553</v>
      </c>
      <c r="W460" t="s">
        <v>3808</v>
      </c>
      <c r="X460" t="s">
        <v>7885</v>
      </c>
      <c r="Y460" t="str">
        <f>HYPERLINK("http://dx.doi.org/10.1016/j.jhydrol.2017.08.004","http://dx.doi.org/10.1016/j.jhydrol.2017.08.004")</f>
        <v>http://dx.doi.org/10.1016/j.jhydrol.2017.08.004</v>
      </c>
      <c r="Z460" t="s">
        <v>3960</v>
      </c>
      <c r="AA460" t="s">
        <v>3826</v>
      </c>
      <c r="AB460" s="3">
        <v>45672</v>
      </c>
      <c r="AC460" t="s">
        <v>7886</v>
      </c>
      <c r="AD460" t="str">
        <f>HYPERLINK("https%3A%2F%2Fwww.webofscience.com%2Fwos%2Fwoscc%2Ffull-record%2FWOS:000412612700029","View Full Record in Web of Science")</f>
        <v>View Full Record in Web of Science</v>
      </c>
    </row>
    <row r="461" spans="1:30" x14ac:dyDescent="0.35">
      <c r="A461">
        <v>460</v>
      </c>
      <c r="B461" t="s">
        <v>3490</v>
      </c>
      <c r="C461" t="s">
        <v>7887</v>
      </c>
      <c r="D461" t="s">
        <v>3490</v>
      </c>
      <c r="E461" t="s">
        <v>2994</v>
      </c>
      <c r="F461" t="s">
        <v>3810</v>
      </c>
      <c r="G461" t="s">
        <v>7888</v>
      </c>
      <c r="H461" t="s">
        <v>7889</v>
      </c>
      <c r="I461" t="s">
        <v>7890</v>
      </c>
      <c r="J461" t="s">
        <v>7891</v>
      </c>
      <c r="K461" t="s">
        <v>7892</v>
      </c>
      <c r="L461">
        <v>12</v>
      </c>
      <c r="M461" t="s">
        <v>4211</v>
      </c>
      <c r="N461" t="s">
        <v>3952</v>
      </c>
      <c r="O461" t="s">
        <v>4212</v>
      </c>
      <c r="P461" t="s">
        <v>7893</v>
      </c>
      <c r="Q461" t="s">
        <v>3808</v>
      </c>
      <c r="R461" t="s">
        <v>4912</v>
      </c>
      <c r="S461" t="s">
        <v>4913</v>
      </c>
      <c r="T461" t="s">
        <v>4114</v>
      </c>
      <c r="U461">
        <v>2017</v>
      </c>
      <c r="V461">
        <v>55</v>
      </c>
      <c r="W461" t="s">
        <v>3808</v>
      </c>
      <c r="X461" t="s">
        <v>7894</v>
      </c>
      <c r="Y461" t="str">
        <f>HYPERLINK("http://dx.doi.org/10.1016/j.jag.2016.11.004","http://dx.doi.org/10.1016/j.jag.2016.11.004")</f>
        <v>http://dx.doi.org/10.1016/j.jag.2016.11.004</v>
      </c>
      <c r="Z461" t="s">
        <v>4475</v>
      </c>
      <c r="AA461" t="s">
        <v>3826</v>
      </c>
      <c r="AB461" s="3">
        <v>45672</v>
      </c>
      <c r="AC461" t="s">
        <v>7895</v>
      </c>
      <c r="AD461" t="str">
        <f>HYPERLINK("https%3A%2F%2Fwww.webofscience.com%2Fwos%2Fwoscc%2Ffull-record%2FWOS:000389165800007","View Full Record in Web of Science")</f>
        <v>View Full Record in Web of Science</v>
      </c>
    </row>
    <row r="462" spans="1:30" x14ac:dyDescent="0.35">
      <c r="A462">
        <v>461</v>
      </c>
      <c r="B462" t="s">
        <v>3491</v>
      </c>
      <c r="C462" t="s">
        <v>7896</v>
      </c>
      <c r="D462" t="s">
        <v>3491</v>
      </c>
      <c r="E462" t="s">
        <v>2924</v>
      </c>
      <c r="F462" t="s">
        <v>3810</v>
      </c>
      <c r="G462" t="s">
        <v>7897</v>
      </c>
      <c r="H462" t="s">
        <v>7898</v>
      </c>
      <c r="I462" t="s">
        <v>7899</v>
      </c>
      <c r="J462" t="s">
        <v>7900</v>
      </c>
      <c r="K462" t="s">
        <v>7901</v>
      </c>
      <c r="L462">
        <v>75</v>
      </c>
      <c r="M462" t="s">
        <v>3911</v>
      </c>
      <c r="N462" t="s">
        <v>3912</v>
      </c>
      <c r="O462" t="s">
        <v>3913</v>
      </c>
      <c r="P462" t="s">
        <v>4965</v>
      </c>
      <c r="Q462" t="s">
        <v>4966</v>
      </c>
      <c r="R462" t="s">
        <v>4967</v>
      </c>
      <c r="S462" t="s">
        <v>4968</v>
      </c>
      <c r="T462" t="s">
        <v>5133</v>
      </c>
      <c r="U462">
        <v>2015</v>
      </c>
      <c r="V462">
        <v>42</v>
      </c>
      <c r="W462">
        <v>9</v>
      </c>
      <c r="X462" t="s">
        <v>7902</v>
      </c>
      <c r="Y462" t="str">
        <f>HYPERLINK("http://dx.doi.org/10.1002/2015GL063891","http://dx.doi.org/10.1002/2015GL063891")</f>
        <v>http://dx.doi.org/10.1002/2015GL063891</v>
      </c>
      <c r="Z462" t="s">
        <v>4116</v>
      </c>
      <c r="AA462" t="s">
        <v>3826</v>
      </c>
      <c r="AB462" s="3">
        <v>45672</v>
      </c>
      <c r="AC462" t="s">
        <v>7903</v>
      </c>
      <c r="AD462" t="str">
        <f>HYPERLINK("https%3A%2F%2Fwww.webofscience.com%2Fwos%2Fwoscc%2Ffull-record%2FWOS:000355878300057","View Full Record in Web of Science")</f>
        <v>View Full Record in Web of Science</v>
      </c>
    </row>
    <row r="463" spans="1:30" x14ac:dyDescent="0.35">
      <c r="A463">
        <v>462</v>
      </c>
      <c r="B463" t="s">
        <v>3492</v>
      </c>
      <c r="C463" t="s">
        <v>7904</v>
      </c>
      <c r="D463" t="s">
        <v>3492</v>
      </c>
      <c r="E463" t="s">
        <v>2924</v>
      </c>
      <c r="F463" t="s">
        <v>3810</v>
      </c>
      <c r="G463" t="s">
        <v>7905</v>
      </c>
      <c r="H463" t="s">
        <v>7906</v>
      </c>
      <c r="I463" t="s">
        <v>7907</v>
      </c>
      <c r="J463" t="s">
        <v>7908</v>
      </c>
      <c r="K463" t="s">
        <v>7909</v>
      </c>
      <c r="L463">
        <v>53</v>
      </c>
      <c r="M463" t="s">
        <v>3911</v>
      </c>
      <c r="N463" t="s">
        <v>3912</v>
      </c>
      <c r="O463" t="s">
        <v>3913</v>
      </c>
      <c r="P463" t="s">
        <v>4965</v>
      </c>
      <c r="Q463" t="s">
        <v>4966</v>
      </c>
      <c r="R463" t="s">
        <v>4967</v>
      </c>
      <c r="S463" t="s">
        <v>4968</v>
      </c>
      <c r="T463" t="s">
        <v>7910</v>
      </c>
      <c r="U463">
        <v>2015</v>
      </c>
      <c r="V463">
        <v>42</v>
      </c>
      <c r="W463">
        <v>3</v>
      </c>
      <c r="X463" t="s">
        <v>7911</v>
      </c>
      <c r="Y463" t="str">
        <f>HYPERLINK("http://dx.doi.org/10.1002/2014GL062437","http://dx.doi.org/10.1002/2014GL062437")</f>
        <v>http://dx.doi.org/10.1002/2014GL062437</v>
      </c>
      <c r="Z463" t="s">
        <v>4116</v>
      </c>
      <c r="AA463" t="s">
        <v>3826</v>
      </c>
      <c r="AB463" s="3">
        <v>45672</v>
      </c>
      <c r="AC463" t="s">
        <v>7912</v>
      </c>
      <c r="AD463" t="str">
        <f>HYPERLINK("https%3A%2F%2Fwww.webofscience.com%2Fwos%2Fwoscc%2Ffull-record%2FWOS:000351355600032","View Full Record in Web of Science")</f>
        <v>View Full Record in Web of Science</v>
      </c>
    </row>
    <row r="464" spans="1:30" x14ac:dyDescent="0.35">
      <c r="A464">
        <v>463</v>
      </c>
      <c r="B464" t="s">
        <v>3493</v>
      </c>
      <c r="C464" t="s">
        <v>7913</v>
      </c>
      <c r="D464" t="s">
        <v>3493</v>
      </c>
      <c r="E464" t="s">
        <v>2995</v>
      </c>
      <c r="F464" t="s">
        <v>3810</v>
      </c>
      <c r="G464" t="s">
        <v>7914</v>
      </c>
      <c r="H464" t="s">
        <v>7915</v>
      </c>
      <c r="I464" t="s">
        <v>7916</v>
      </c>
      <c r="J464" t="s">
        <v>7262</v>
      </c>
      <c r="K464" t="s">
        <v>7917</v>
      </c>
      <c r="L464">
        <v>56</v>
      </c>
      <c r="M464" t="s">
        <v>4046</v>
      </c>
      <c r="N464" t="s">
        <v>4047</v>
      </c>
      <c r="O464" t="s">
        <v>4048</v>
      </c>
      <c r="P464" t="s">
        <v>7918</v>
      </c>
      <c r="Q464" t="s">
        <v>7919</v>
      </c>
      <c r="R464" t="s">
        <v>7920</v>
      </c>
      <c r="S464" t="s">
        <v>7921</v>
      </c>
      <c r="T464" t="s">
        <v>4659</v>
      </c>
      <c r="U464">
        <v>2022</v>
      </c>
      <c r="V464">
        <v>316</v>
      </c>
      <c r="W464" t="s">
        <v>3808</v>
      </c>
      <c r="X464" t="s">
        <v>7922</v>
      </c>
      <c r="Y464" t="str">
        <f>HYPERLINK("http://dx.doi.org/10.1016/j.gca.2021.10.009","http://dx.doi.org/10.1016/j.gca.2021.10.009")</f>
        <v>http://dx.doi.org/10.1016/j.gca.2021.10.009</v>
      </c>
      <c r="Z464" t="s">
        <v>3920</v>
      </c>
      <c r="AA464" t="s">
        <v>3826</v>
      </c>
      <c r="AB464" s="3">
        <v>45672</v>
      </c>
      <c r="AC464" t="s">
        <v>7923</v>
      </c>
      <c r="AD464" t="str">
        <f>HYPERLINK("https%3A%2F%2Fwww.webofscience.com%2Fwos%2Fwoscc%2Ffull-record%2FWOS:000718563300007","View Full Record in Web of Science")</f>
        <v>View Full Record in Web of Science</v>
      </c>
    </row>
    <row r="465" spans="1:30" x14ac:dyDescent="0.35">
      <c r="A465">
        <v>464</v>
      </c>
      <c r="B465" t="s">
        <v>3494</v>
      </c>
      <c r="C465" t="s">
        <v>7924</v>
      </c>
      <c r="D465" t="s">
        <v>3494</v>
      </c>
      <c r="E465" t="s">
        <v>2964</v>
      </c>
      <c r="F465" t="s">
        <v>3810</v>
      </c>
      <c r="G465" t="s">
        <v>7925</v>
      </c>
      <c r="H465" t="s">
        <v>7926</v>
      </c>
      <c r="I465" t="s">
        <v>6151</v>
      </c>
      <c r="K465" t="s">
        <v>3808</v>
      </c>
      <c r="L465">
        <v>3</v>
      </c>
      <c r="M465" t="s">
        <v>6680</v>
      </c>
      <c r="N465" t="s">
        <v>6681</v>
      </c>
      <c r="O465" t="s">
        <v>6682</v>
      </c>
      <c r="P465" t="s">
        <v>6683</v>
      </c>
      <c r="Q465" t="s">
        <v>6684</v>
      </c>
      <c r="R465" t="s">
        <v>6685</v>
      </c>
      <c r="S465" t="s">
        <v>6686</v>
      </c>
      <c r="T465" t="s">
        <v>4137</v>
      </c>
      <c r="U465">
        <v>2020</v>
      </c>
      <c r="V465">
        <v>68</v>
      </c>
      <c r="W465">
        <v>4</v>
      </c>
      <c r="X465" t="s">
        <v>7927</v>
      </c>
      <c r="Y465" t="str">
        <f>HYPERLINK("http://dx.doi.org/10.1007/s11600-020-00451-y","http://dx.doi.org/10.1007/s11600-020-00451-y")</f>
        <v>http://dx.doi.org/10.1007/s11600-020-00451-y</v>
      </c>
      <c r="Z465" t="s">
        <v>3920</v>
      </c>
      <c r="AA465" t="s">
        <v>3826</v>
      </c>
      <c r="AB465" s="3">
        <v>45672</v>
      </c>
      <c r="AC465" t="s">
        <v>7928</v>
      </c>
      <c r="AD465" t="str">
        <f>HYPERLINK("https%3A%2F%2Fwww.webofscience.com%2Fwos%2Fwoscc%2Ffull-record%2FWOS:000539193800001","View Full Record in Web of Science")</f>
        <v>View Full Record in Web of Science</v>
      </c>
    </row>
    <row r="466" spans="1:30" x14ac:dyDescent="0.35">
      <c r="A466">
        <v>465</v>
      </c>
      <c r="B466" t="s">
        <v>3495</v>
      </c>
      <c r="C466" t="s">
        <v>7929</v>
      </c>
      <c r="D466" t="s">
        <v>3495</v>
      </c>
      <c r="E466" t="s">
        <v>2928</v>
      </c>
      <c r="F466" t="s">
        <v>3810</v>
      </c>
      <c r="G466" t="s">
        <v>7930</v>
      </c>
      <c r="H466" t="s">
        <v>7931</v>
      </c>
      <c r="I466" t="s">
        <v>7932</v>
      </c>
      <c r="J466" t="s">
        <v>7262</v>
      </c>
      <c r="K466" t="s">
        <v>7933</v>
      </c>
      <c r="L466">
        <v>5</v>
      </c>
      <c r="M466" t="s">
        <v>3911</v>
      </c>
      <c r="N466" t="s">
        <v>3912</v>
      </c>
      <c r="O466" t="s">
        <v>3913</v>
      </c>
      <c r="P466" t="s">
        <v>5129</v>
      </c>
      <c r="Q466" t="s">
        <v>5130</v>
      </c>
      <c r="R466" t="s">
        <v>5131</v>
      </c>
      <c r="S466" t="s">
        <v>5132</v>
      </c>
      <c r="T466" t="s">
        <v>7934</v>
      </c>
      <c r="U466">
        <v>2022</v>
      </c>
      <c r="V466">
        <v>127</v>
      </c>
      <c r="W466">
        <v>11</v>
      </c>
      <c r="X466" t="s">
        <v>7935</v>
      </c>
      <c r="Y466" t="str">
        <f>HYPERLINK("http://dx.doi.org/10.1029/2022JD036560","http://dx.doi.org/10.1029/2022JD036560")</f>
        <v>http://dx.doi.org/10.1029/2022JD036560</v>
      </c>
      <c r="Z466" t="s">
        <v>3825</v>
      </c>
      <c r="AA466" t="s">
        <v>3826</v>
      </c>
      <c r="AB466" s="3">
        <v>45672</v>
      </c>
      <c r="AC466" t="s">
        <v>7936</v>
      </c>
      <c r="AD466" t="str">
        <f>HYPERLINK("https%3A%2F%2Fwww.webofscience.com%2Fwos%2Fwoscc%2Ffull-record%2FWOS:000811134500001","View Full Record in Web of Science")</f>
        <v>View Full Record in Web of Science</v>
      </c>
    </row>
    <row r="467" spans="1:30" x14ac:dyDescent="0.35">
      <c r="A467">
        <v>466</v>
      </c>
      <c r="B467" t="s">
        <v>3496</v>
      </c>
      <c r="C467" t="s">
        <v>7937</v>
      </c>
      <c r="D467" t="s">
        <v>3496</v>
      </c>
      <c r="E467" t="s">
        <v>2877</v>
      </c>
      <c r="F467" t="s">
        <v>3810</v>
      </c>
      <c r="G467" t="s">
        <v>7938</v>
      </c>
      <c r="H467" t="s">
        <v>7939</v>
      </c>
      <c r="I467" t="s">
        <v>7940</v>
      </c>
      <c r="J467" t="s">
        <v>7941</v>
      </c>
      <c r="K467" t="s">
        <v>7942</v>
      </c>
      <c r="L467">
        <v>37</v>
      </c>
      <c r="M467" t="s">
        <v>4033</v>
      </c>
      <c r="N467" t="s">
        <v>4034</v>
      </c>
      <c r="O467" t="s">
        <v>4035</v>
      </c>
      <c r="P467" t="s">
        <v>4036</v>
      </c>
      <c r="Q467" t="s">
        <v>4037</v>
      </c>
      <c r="R467" t="s">
        <v>4038</v>
      </c>
      <c r="S467" t="s">
        <v>4039</v>
      </c>
      <c r="T467" t="s">
        <v>3958</v>
      </c>
      <c r="U467">
        <v>2018</v>
      </c>
      <c r="V467">
        <v>31</v>
      </c>
      <c r="W467">
        <v>22</v>
      </c>
      <c r="X467" t="s">
        <v>7943</v>
      </c>
      <c r="Y467" t="str">
        <f>HYPERLINK("http://dx.doi.org/10.1175/JCLI-D-18-0197.1","http://dx.doi.org/10.1175/JCLI-D-18-0197.1")</f>
        <v>http://dx.doi.org/10.1175/JCLI-D-18-0197.1</v>
      </c>
      <c r="Z467" t="s">
        <v>3825</v>
      </c>
      <c r="AA467" t="s">
        <v>3826</v>
      </c>
      <c r="AB467" s="3">
        <v>45672</v>
      </c>
      <c r="AC467" t="s">
        <v>7944</v>
      </c>
      <c r="AD467" t="str">
        <f>HYPERLINK("https%3A%2F%2Fwww.webofscience.com%2Fwos%2Fwoscc%2Ffull-record%2FWOS:000447362300001","View Full Record in Web of Science")</f>
        <v>View Full Record in Web of Science</v>
      </c>
    </row>
    <row r="468" spans="1:30" x14ac:dyDescent="0.35">
      <c r="A468">
        <v>467</v>
      </c>
      <c r="B468" t="s">
        <v>3497</v>
      </c>
      <c r="C468" t="s">
        <v>7945</v>
      </c>
      <c r="D468" t="s">
        <v>3497</v>
      </c>
      <c r="E468" t="s">
        <v>2869</v>
      </c>
      <c r="F468" t="s">
        <v>3810</v>
      </c>
      <c r="G468" t="s">
        <v>7946</v>
      </c>
      <c r="H468" t="s">
        <v>7947</v>
      </c>
      <c r="I468" t="s">
        <v>7948</v>
      </c>
      <c r="J468" t="s">
        <v>7949</v>
      </c>
      <c r="K468" t="s">
        <v>7950</v>
      </c>
      <c r="L468">
        <v>18</v>
      </c>
      <c r="M468" t="s">
        <v>3880</v>
      </c>
      <c r="N468" t="s">
        <v>3881</v>
      </c>
      <c r="O468" t="s">
        <v>3882</v>
      </c>
      <c r="P468" t="s">
        <v>3897</v>
      </c>
      <c r="Q468" t="s">
        <v>3898</v>
      </c>
      <c r="R468" t="s">
        <v>3899</v>
      </c>
      <c r="S468" t="s">
        <v>3900</v>
      </c>
      <c r="T468" t="s">
        <v>7951</v>
      </c>
      <c r="U468">
        <v>2019</v>
      </c>
      <c r="V468">
        <v>40</v>
      </c>
      <c r="W468">
        <v>14</v>
      </c>
      <c r="X468" t="s">
        <v>7952</v>
      </c>
      <c r="Y468" t="str">
        <f>HYPERLINK("http://dx.doi.org/10.1080/01431161.2019.1580789","http://dx.doi.org/10.1080/01431161.2019.1580789")</f>
        <v>http://dx.doi.org/10.1080/01431161.2019.1580789</v>
      </c>
      <c r="Z468" t="s">
        <v>3903</v>
      </c>
      <c r="AA468" t="s">
        <v>3826</v>
      </c>
      <c r="AB468" s="3">
        <v>45672</v>
      </c>
      <c r="AC468" t="s">
        <v>7953</v>
      </c>
      <c r="AD468" t="str">
        <f>HYPERLINK("https%3A%2F%2Fwww.webofscience.com%2Fwos%2Fwoscc%2Ffull-record%2FWOS:000465406100013","View Full Record in Web of Science")</f>
        <v>View Full Record in Web of Science</v>
      </c>
    </row>
    <row r="469" spans="1:30" x14ac:dyDescent="0.35">
      <c r="A469">
        <v>468</v>
      </c>
      <c r="B469" t="s">
        <v>3498</v>
      </c>
      <c r="C469" t="s">
        <v>7954</v>
      </c>
      <c r="D469" t="s">
        <v>3498</v>
      </c>
      <c r="E469" t="s">
        <v>2996</v>
      </c>
      <c r="F469" t="s">
        <v>3810</v>
      </c>
      <c r="G469" t="s">
        <v>7955</v>
      </c>
      <c r="H469" t="s">
        <v>7956</v>
      </c>
      <c r="I469" t="s">
        <v>7957</v>
      </c>
      <c r="J469" t="s">
        <v>7958</v>
      </c>
      <c r="K469" t="s">
        <v>7959</v>
      </c>
      <c r="L469">
        <v>1</v>
      </c>
      <c r="M469" t="s">
        <v>3880</v>
      </c>
      <c r="N469" t="s">
        <v>3881</v>
      </c>
      <c r="O469" t="s">
        <v>3882</v>
      </c>
      <c r="P469" t="s">
        <v>3808</v>
      </c>
      <c r="Q469" t="s">
        <v>7960</v>
      </c>
      <c r="R469" t="s">
        <v>2996</v>
      </c>
      <c r="S469" t="s">
        <v>7961</v>
      </c>
      <c r="T469" t="s">
        <v>3887</v>
      </c>
      <c r="U469">
        <v>2022</v>
      </c>
      <c r="V469">
        <v>34</v>
      </c>
      <c r="W469">
        <v>1</v>
      </c>
      <c r="X469" t="s">
        <v>7962</v>
      </c>
      <c r="Y469" t="str">
        <f>HYPERLINK("http://dx.doi.org/10.1080/27669645.2022.2089484","http://dx.doi.org/10.1080/27669645.2022.2089484")</f>
        <v>http://dx.doi.org/10.1080/27669645.2022.2089484</v>
      </c>
      <c r="Z469" t="s">
        <v>4116</v>
      </c>
      <c r="AA469" t="s">
        <v>3826</v>
      </c>
      <c r="AB469" s="3">
        <v>45672</v>
      </c>
      <c r="AC469" t="s">
        <v>7963</v>
      </c>
      <c r="AD469" t="str">
        <f>HYPERLINK("https%3A%2F%2Fwww.webofscience.com%2Fwos%2Fwoscc%2Ffull-record%2FWOS:000814467300001","View Full Record in Web of Science")</f>
        <v>View Full Record in Web of Science</v>
      </c>
    </row>
    <row r="470" spans="1:30" x14ac:dyDescent="0.35">
      <c r="A470">
        <v>469</v>
      </c>
      <c r="B470" t="s">
        <v>3499</v>
      </c>
      <c r="C470" t="s">
        <v>7964</v>
      </c>
      <c r="D470" t="s">
        <v>3499</v>
      </c>
      <c r="E470" t="s">
        <v>2990</v>
      </c>
      <c r="F470" t="s">
        <v>3810</v>
      </c>
      <c r="G470" t="s">
        <v>7965</v>
      </c>
      <c r="H470" t="s">
        <v>7966</v>
      </c>
      <c r="I470" t="s">
        <v>7967</v>
      </c>
      <c r="J470" t="s">
        <v>7968</v>
      </c>
      <c r="K470" t="s">
        <v>7969</v>
      </c>
      <c r="L470">
        <v>33</v>
      </c>
      <c r="M470" t="s">
        <v>3951</v>
      </c>
      <c r="N470" t="s">
        <v>3952</v>
      </c>
      <c r="O470" t="s">
        <v>3953</v>
      </c>
      <c r="P470" t="s">
        <v>7547</v>
      </c>
      <c r="Q470" t="s">
        <v>7548</v>
      </c>
      <c r="R470" t="s">
        <v>7549</v>
      </c>
      <c r="S470" t="s">
        <v>7550</v>
      </c>
      <c r="T470" t="s">
        <v>5431</v>
      </c>
      <c r="U470">
        <v>2021</v>
      </c>
      <c r="V470">
        <v>565</v>
      </c>
      <c r="W470" t="s">
        <v>3808</v>
      </c>
      <c r="X470" t="s">
        <v>7970</v>
      </c>
      <c r="Y470" t="str">
        <f>HYPERLINK("http://dx.doi.org/10.1016/j.epsl.2021.116953","http://dx.doi.org/10.1016/j.epsl.2021.116953")</f>
        <v>http://dx.doi.org/10.1016/j.epsl.2021.116953</v>
      </c>
      <c r="Z470" t="s">
        <v>3920</v>
      </c>
      <c r="AA470" t="s">
        <v>3826</v>
      </c>
      <c r="AB470" s="3">
        <v>45672</v>
      </c>
      <c r="AC470" t="s">
        <v>7971</v>
      </c>
      <c r="AD470" t="str">
        <f>HYPERLINK("https%3A%2F%2Fwww.webofscience.com%2Fwos%2Fwoscc%2Ffull-record%2FWOS:000649176900019","View Full Record in Web of Science")</f>
        <v>View Full Record in Web of Science</v>
      </c>
    </row>
    <row r="471" spans="1:30" x14ac:dyDescent="0.35">
      <c r="A471">
        <v>470</v>
      </c>
      <c r="B471" t="s">
        <v>3500</v>
      </c>
      <c r="C471" t="s">
        <v>7972</v>
      </c>
      <c r="D471" t="s">
        <v>3500</v>
      </c>
      <c r="E471" t="s">
        <v>2929</v>
      </c>
      <c r="F471" t="s">
        <v>3810</v>
      </c>
      <c r="G471" t="s">
        <v>7973</v>
      </c>
      <c r="H471" t="s">
        <v>7974</v>
      </c>
      <c r="I471" t="s">
        <v>7975</v>
      </c>
      <c r="J471" t="s">
        <v>7976</v>
      </c>
      <c r="K471" t="s">
        <v>7977</v>
      </c>
      <c r="L471">
        <v>7</v>
      </c>
      <c r="M471" t="s">
        <v>5142</v>
      </c>
      <c r="N471" t="s">
        <v>5143</v>
      </c>
      <c r="O471" t="s">
        <v>7277</v>
      </c>
      <c r="P471" t="s">
        <v>5145</v>
      </c>
      <c r="Q471" t="s">
        <v>5146</v>
      </c>
      <c r="R471" t="s">
        <v>5147</v>
      </c>
      <c r="S471" t="s">
        <v>5148</v>
      </c>
      <c r="T471" t="s">
        <v>3932</v>
      </c>
      <c r="U471">
        <v>2017</v>
      </c>
      <c r="V471">
        <v>53</v>
      </c>
      <c r="W471">
        <v>2</v>
      </c>
      <c r="X471" t="s">
        <v>7978</v>
      </c>
      <c r="Y471" t="str">
        <f>HYPERLINK("http://dx.doi.org/10.1007/s13143-017-0025-4","http://dx.doi.org/10.1007/s13143-017-0025-4")</f>
        <v>http://dx.doi.org/10.1007/s13143-017-0025-4</v>
      </c>
      <c r="Z471" t="s">
        <v>3825</v>
      </c>
      <c r="AA471" t="s">
        <v>3826</v>
      </c>
      <c r="AB471" s="3">
        <v>45672</v>
      </c>
      <c r="AC471" t="s">
        <v>7979</v>
      </c>
      <c r="AD471" t="str">
        <f>HYPERLINK("https%3A%2F%2Fwww.webofscience.com%2Fwos%2Fwoscc%2Ffull-record%2FWOS:000402453400010","View Full Record in Web of Science")</f>
        <v>View Full Record in Web of Science</v>
      </c>
    </row>
    <row r="472" spans="1:30" x14ac:dyDescent="0.35">
      <c r="A472">
        <v>471</v>
      </c>
      <c r="B472" t="s">
        <v>3501</v>
      </c>
      <c r="C472" t="s">
        <v>7980</v>
      </c>
      <c r="D472" t="s">
        <v>3501</v>
      </c>
      <c r="E472" t="s">
        <v>2894</v>
      </c>
      <c r="F472" t="s">
        <v>3810</v>
      </c>
      <c r="G472" t="s">
        <v>7981</v>
      </c>
      <c r="H472" t="s">
        <v>7982</v>
      </c>
      <c r="I472" t="s">
        <v>4328</v>
      </c>
      <c r="K472" t="s">
        <v>3808</v>
      </c>
      <c r="L472">
        <v>0</v>
      </c>
      <c r="M472" t="s">
        <v>4252</v>
      </c>
      <c r="N472" t="s">
        <v>4253</v>
      </c>
      <c r="O472" t="s">
        <v>4254</v>
      </c>
      <c r="P472" t="s">
        <v>4255</v>
      </c>
      <c r="Q472" t="s">
        <v>4256</v>
      </c>
      <c r="R472" t="s">
        <v>4257</v>
      </c>
      <c r="S472" t="s">
        <v>4258</v>
      </c>
      <c r="T472" t="s">
        <v>4137</v>
      </c>
      <c r="U472">
        <v>2015</v>
      </c>
      <c r="V472">
        <v>121</v>
      </c>
      <c r="W472" t="s">
        <v>4268</v>
      </c>
      <c r="X472" t="s">
        <v>7983</v>
      </c>
      <c r="Y472" t="str">
        <f>HYPERLINK("http://dx.doi.org/10.1007/s00704-014-1233-9","http://dx.doi.org/10.1007/s00704-014-1233-9")</f>
        <v>http://dx.doi.org/10.1007/s00704-014-1233-9</v>
      </c>
      <c r="Z472" t="s">
        <v>3825</v>
      </c>
      <c r="AA472" t="s">
        <v>3826</v>
      </c>
      <c r="AB472" s="3">
        <v>45672</v>
      </c>
      <c r="AC472" t="s">
        <v>7984</v>
      </c>
      <c r="AD472" t="str">
        <f>HYPERLINK("https%3A%2F%2Fwww.webofscience.com%2Fwos%2Fwoscc%2Ffull-record%2FWOS:000359055800006","View Full Record in Web of Science")</f>
        <v>View Full Record in Web of Science</v>
      </c>
    </row>
    <row r="473" spans="1:30" x14ac:dyDescent="0.35">
      <c r="A473">
        <v>472</v>
      </c>
      <c r="B473" t="s">
        <v>3502</v>
      </c>
      <c r="C473" t="s">
        <v>7985</v>
      </c>
      <c r="D473" t="s">
        <v>3502</v>
      </c>
      <c r="E473" t="s">
        <v>2877</v>
      </c>
      <c r="F473" t="s">
        <v>3810</v>
      </c>
      <c r="G473" t="s">
        <v>7986</v>
      </c>
      <c r="H473" t="s">
        <v>7987</v>
      </c>
      <c r="I473" t="s">
        <v>7988</v>
      </c>
      <c r="J473" t="s">
        <v>7262</v>
      </c>
      <c r="K473" t="s">
        <v>7989</v>
      </c>
      <c r="L473">
        <v>7</v>
      </c>
      <c r="M473" t="s">
        <v>4033</v>
      </c>
      <c r="N473" t="s">
        <v>4034</v>
      </c>
      <c r="O473" t="s">
        <v>4035</v>
      </c>
      <c r="P473" t="s">
        <v>4036</v>
      </c>
      <c r="Q473" t="s">
        <v>4037</v>
      </c>
      <c r="R473" t="s">
        <v>4038</v>
      </c>
      <c r="S473" t="s">
        <v>4039</v>
      </c>
      <c r="T473" t="s">
        <v>4114</v>
      </c>
      <c r="U473">
        <v>2022</v>
      </c>
      <c r="V473">
        <v>35</v>
      </c>
      <c r="W473">
        <v>6</v>
      </c>
      <c r="X473" t="s">
        <v>7990</v>
      </c>
      <c r="Y473" t="str">
        <f>HYPERLINK("http://dx.doi.org/10.1175/JCLI-D-21-0531.1","http://dx.doi.org/10.1175/JCLI-D-21-0531.1")</f>
        <v>http://dx.doi.org/10.1175/JCLI-D-21-0531.1</v>
      </c>
      <c r="Z473" t="s">
        <v>3825</v>
      </c>
      <c r="AA473" t="s">
        <v>3826</v>
      </c>
      <c r="AB473" s="3">
        <v>45672</v>
      </c>
      <c r="AC473" t="s">
        <v>7991</v>
      </c>
      <c r="AD473" t="str">
        <f>HYPERLINK("https%3A%2F%2Fwww.webofscience.com%2Fwos%2Fwoscc%2Ffull-record%2FWOS:000799200700013","View Full Record in Web of Science")</f>
        <v>View Full Record in Web of Science</v>
      </c>
    </row>
    <row r="474" spans="1:30" x14ac:dyDescent="0.35">
      <c r="A474">
        <v>473</v>
      </c>
      <c r="B474" t="s">
        <v>3503</v>
      </c>
      <c r="C474" t="s">
        <v>7992</v>
      </c>
      <c r="D474" t="s">
        <v>3503</v>
      </c>
      <c r="E474" t="s">
        <v>2958</v>
      </c>
      <c r="F474" t="s">
        <v>3810</v>
      </c>
      <c r="G474" t="s">
        <v>7993</v>
      </c>
      <c r="H474" t="s">
        <v>7994</v>
      </c>
      <c r="I474" t="s">
        <v>7995</v>
      </c>
      <c r="J474" t="s">
        <v>7996</v>
      </c>
      <c r="K474" t="s">
        <v>7997</v>
      </c>
      <c r="L474">
        <v>20</v>
      </c>
      <c r="M474" t="s">
        <v>3911</v>
      </c>
      <c r="N474" t="s">
        <v>3912</v>
      </c>
      <c r="O474" t="s">
        <v>3913</v>
      </c>
      <c r="P474" t="s">
        <v>6340</v>
      </c>
      <c r="Q474" t="s">
        <v>6341</v>
      </c>
      <c r="R474" t="s">
        <v>6342</v>
      </c>
      <c r="S474" t="s">
        <v>6343</v>
      </c>
      <c r="T474" t="s">
        <v>4001</v>
      </c>
      <c r="U474">
        <v>2019</v>
      </c>
      <c r="V474">
        <v>124</v>
      </c>
      <c r="W474">
        <v>1</v>
      </c>
      <c r="X474" t="s">
        <v>7998</v>
      </c>
      <c r="Y474" t="str">
        <f>HYPERLINK("http://dx.doi.org/10.1029/2018JC014735","http://dx.doi.org/10.1029/2018JC014735")</f>
        <v>http://dx.doi.org/10.1029/2018JC014735</v>
      </c>
      <c r="Z474" t="s">
        <v>4055</v>
      </c>
      <c r="AA474" t="s">
        <v>3826</v>
      </c>
      <c r="AB474" s="3">
        <v>45672</v>
      </c>
      <c r="AC474" t="s">
        <v>7999</v>
      </c>
      <c r="AD474" t="str">
        <f>HYPERLINK("https%3A%2F%2Fwww.webofscience.com%2Fwos%2Fwoscc%2Ffull-record%2FWOS:000458718600028","View Full Record in Web of Science")</f>
        <v>View Full Record in Web of Science</v>
      </c>
    </row>
    <row r="475" spans="1:30" x14ac:dyDescent="0.35">
      <c r="A475">
        <v>474</v>
      </c>
      <c r="B475" t="s">
        <v>3504</v>
      </c>
      <c r="C475" t="s">
        <v>8000</v>
      </c>
      <c r="D475" t="s">
        <v>3504</v>
      </c>
      <c r="E475" t="s">
        <v>2866</v>
      </c>
      <c r="F475" t="s">
        <v>3810</v>
      </c>
      <c r="G475" t="s">
        <v>8001</v>
      </c>
      <c r="H475" t="s">
        <v>8002</v>
      </c>
      <c r="I475" t="s">
        <v>8003</v>
      </c>
      <c r="K475" t="s">
        <v>3808</v>
      </c>
      <c r="L475">
        <v>0</v>
      </c>
      <c r="M475" t="s">
        <v>3850</v>
      </c>
      <c r="N475" t="s">
        <v>3851</v>
      </c>
      <c r="O475" t="s">
        <v>3852</v>
      </c>
      <c r="P475" t="s">
        <v>3853</v>
      </c>
      <c r="Q475" t="s">
        <v>3854</v>
      </c>
      <c r="R475" t="s">
        <v>3855</v>
      </c>
      <c r="S475" t="s">
        <v>3856</v>
      </c>
      <c r="T475" t="s">
        <v>3918</v>
      </c>
      <c r="U475">
        <v>2020</v>
      </c>
      <c r="V475">
        <v>40</v>
      </c>
      <c r="W475">
        <v>9</v>
      </c>
      <c r="X475" t="s">
        <v>8004</v>
      </c>
      <c r="Y475" t="str">
        <f>HYPERLINK("http://dx.doi.org/10.1002/joc.6448","http://dx.doi.org/10.1002/joc.6448")</f>
        <v>http://dx.doi.org/10.1002/joc.6448</v>
      </c>
      <c r="Z475" t="s">
        <v>3825</v>
      </c>
      <c r="AA475" t="s">
        <v>3826</v>
      </c>
      <c r="AB475" s="3">
        <v>45672</v>
      </c>
      <c r="AC475" t="s">
        <v>8005</v>
      </c>
      <c r="AD475" t="str">
        <f>HYPERLINK("https%3A%2F%2Fwww.webofscience.com%2Fwos%2Fwoscc%2Ffull-record%2FWOS:000504599900001","View Full Record in Web of Science")</f>
        <v>View Full Record in Web of Science</v>
      </c>
    </row>
    <row r="476" spans="1:30" x14ac:dyDescent="0.35">
      <c r="A476">
        <v>475</v>
      </c>
      <c r="B476" t="s">
        <v>3505</v>
      </c>
      <c r="C476" t="s">
        <v>8006</v>
      </c>
      <c r="D476" t="s">
        <v>3505</v>
      </c>
      <c r="E476" t="s">
        <v>2997</v>
      </c>
      <c r="F476" t="s">
        <v>3810</v>
      </c>
      <c r="G476" t="s">
        <v>8007</v>
      </c>
      <c r="H476" t="s">
        <v>8008</v>
      </c>
      <c r="I476" t="s">
        <v>8009</v>
      </c>
      <c r="J476" t="s">
        <v>8010</v>
      </c>
      <c r="K476" t="s">
        <v>8011</v>
      </c>
      <c r="L476">
        <v>2</v>
      </c>
      <c r="M476" t="s">
        <v>5750</v>
      </c>
      <c r="N476" t="s">
        <v>5751</v>
      </c>
      <c r="O476" t="s">
        <v>5752</v>
      </c>
      <c r="P476" t="s">
        <v>8012</v>
      </c>
      <c r="Q476" t="s">
        <v>8013</v>
      </c>
      <c r="R476" t="s">
        <v>8014</v>
      </c>
      <c r="S476" t="s">
        <v>8015</v>
      </c>
      <c r="T476" t="s">
        <v>3808</v>
      </c>
      <c r="U476">
        <v>2023</v>
      </c>
      <c r="V476">
        <v>61</v>
      </c>
      <c r="W476" t="s">
        <v>3808</v>
      </c>
      <c r="X476" t="s">
        <v>8016</v>
      </c>
      <c r="Y476" t="str">
        <f>HYPERLINK("http://dx.doi.org/10.1109/TGRS.2023.3324043","http://dx.doi.org/10.1109/TGRS.2023.3324043")</f>
        <v>http://dx.doi.org/10.1109/TGRS.2023.3324043</v>
      </c>
      <c r="Z476" t="s">
        <v>8017</v>
      </c>
      <c r="AA476" t="s">
        <v>3826</v>
      </c>
      <c r="AB476" s="3">
        <v>45672</v>
      </c>
      <c r="AC476" t="s">
        <v>8018</v>
      </c>
      <c r="AD476" t="str">
        <f>HYPERLINK("https%3A%2F%2Fwww.webofscience.com%2Fwos%2Fwoscc%2Ffull-record%2FWOS:001090483200016","View Full Record in Web of Science")</f>
        <v>View Full Record in Web of Science</v>
      </c>
    </row>
    <row r="477" spans="1:30" x14ac:dyDescent="0.35">
      <c r="A477">
        <v>476</v>
      </c>
      <c r="B477" t="s">
        <v>3506</v>
      </c>
      <c r="C477" t="s">
        <v>8019</v>
      </c>
      <c r="D477" t="s">
        <v>3506</v>
      </c>
      <c r="E477" t="s">
        <v>2866</v>
      </c>
      <c r="F477" t="s">
        <v>3810</v>
      </c>
      <c r="G477" t="s">
        <v>8020</v>
      </c>
      <c r="H477" t="s">
        <v>8021</v>
      </c>
      <c r="I477" t="s">
        <v>8022</v>
      </c>
      <c r="J477" t="s">
        <v>8023</v>
      </c>
      <c r="K477" t="s">
        <v>8024</v>
      </c>
      <c r="L477">
        <v>13</v>
      </c>
      <c r="M477" t="s">
        <v>3850</v>
      </c>
      <c r="N477" t="s">
        <v>3851</v>
      </c>
      <c r="O477" t="s">
        <v>3852</v>
      </c>
      <c r="P477" t="s">
        <v>3853</v>
      </c>
      <c r="Q477" t="s">
        <v>3854</v>
      </c>
      <c r="R477" t="s">
        <v>3855</v>
      </c>
      <c r="S477" t="s">
        <v>3856</v>
      </c>
      <c r="T477" t="s">
        <v>3872</v>
      </c>
      <c r="U477">
        <v>2014</v>
      </c>
      <c r="V477">
        <v>34</v>
      </c>
      <c r="W477">
        <v>11</v>
      </c>
      <c r="X477" t="s">
        <v>8025</v>
      </c>
      <c r="Y477" t="str">
        <f>HYPERLINK("http://dx.doi.org/10.1002/joc.3906","http://dx.doi.org/10.1002/joc.3906")</f>
        <v>http://dx.doi.org/10.1002/joc.3906</v>
      </c>
      <c r="Z477" t="s">
        <v>3825</v>
      </c>
      <c r="AA477" t="s">
        <v>3826</v>
      </c>
      <c r="AB477" s="3">
        <v>45672</v>
      </c>
      <c r="AC477" t="s">
        <v>8026</v>
      </c>
      <c r="AD477" t="str">
        <f>HYPERLINK("https%3A%2F%2Fwww.webofscience.com%2Fwos%2Fwoscc%2Ffull-record%2FWOS:000341182200005","View Full Record in Web of Science")</f>
        <v>View Full Record in Web of Science</v>
      </c>
    </row>
    <row r="478" spans="1:30" x14ac:dyDescent="0.35">
      <c r="A478">
        <v>477</v>
      </c>
      <c r="B478" t="s">
        <v>3507</v>
      </c>
      <c r="C478" t="s">
        <v>8027</v>
      </c>
      <c r="D478" t="s">
        <v>3507</v>
      </c>
      <c r="E478" t="s">
        <v>2934</v>
      </c>
      <c r="F478" t="s">
        <v>3810</v>
      </c>
      <c r="G478" t="s">
        <v>8028</v>
      </c>
      <c r="H478" t="s">
        <v>8029</v>
      </c>
      <c r="I478" t="s">
        <v>8030</v>
      </c>
      <c r="J478" t="s">
        <v>8031</v>
      </c>
      <c r="K478" t="s">
        <v>8032</v>
      </c>
      <c r="L478">
        <v>6</v>
      </c>
      <c r="M478" t="s">
        <v>5272</v>
      </c>
      <c r="N478" t="s">
        <v>5273</v>
      </c>
      <c r="O478" t="s">
        <v>5274</v>
      </c>
      <c r="P478" t="s">
        <v>5275</v>
      </c>
      <c r="Q478" t="s">
        <v>3808</v>
      </c>
      <c r="R478" t="s">
        <v>5276</v>
      </c>
      <c r="S478" t="s">
        <v>5277</v>
      </c>
      <c r="T478" t="s">
        <v>8033</v>
      </c>
      <c r="U478">
        <v>2022</v>
      </c>
      <c r="V478">
        <v>5</v>
      </c>
      <c r="W478">
        <v>1</v>
      </c>
      <c r="X478" t="s">
        <v>8034</v>
      </c>
      <c r="Y478" t="str">
        <f>HYPERLINK("http://dx.doi.org/10.1038/s41612-022-00318-7","http://dx.doi.org/10.1038/s41612-022-00318-7")</f>
        <v>http://dx.doi.org/10.1038/s41612-022-00318-7</v>
      </c>
      <c r="Z478" t="s">
        <v>3825</v>
      </c>
      <c r="AA478" t="s">
        <v>3826</v>
      </c>
      <c r="AB478" s="3">
        <v>45672</v>
      </c>
      <c r="AC478" t="s">
        <v>8035</v>
      </c>
      <c r="AD478" t="str">
        <f>HYPERLINK("https%3A%2F%2Fwww.webofscience.com%2Fwos%2Fwoscc%2Ffull-record%2FWOS:000883436600001","View Full Record in Web of Science")</f>
        <v>View Full Record in Web of Science</v>
      </c>
    </row>
    <row r="479" spans="1:30" x14ac:dyDescent="0.35">
      <c r="A479">
        <v>478</v>
      </c>
      <c r="B479" t="s">
        <v>3508</v>
      </c>
      <c r="C479" t="s">
        <v>8036</v>
      </c>
      <c r="D479" t="s">
        <v>3508</v>
      </c>
      <c r="E479" t="s">
        <v>2894</v>
      </c>
      <c r="F479" t="s">
        <v>3810</v>
      </c>
      <c r="G479" t="s">
        <v>8037</v>
      </c>
      <c r="H479" t="s">
        <v>8038</v>
      </c>
      <c r="I479" t="s">
        <v>8039</v>
      </c>
      <c r="J479" t="s">
        <v>8040</v>
      </c>
      <c r="K479" t="s">
        <v>8041</v>
      </c>
      <c r="L479">
        <v>3</v>
      </c>
      <c r="M479" t="s">
        <v>4252</v>
      </c>
      <c r="N479" t="s">
        <v>4253</v>
      </c>
      <c r="O479" t="s">
        <v>4254</v>
      </c>
      <c r="P479" t="s">
        <v>4255</v>
      </c>
      <c r="Q479" t="s">
        <v>4256</v>
      </c>
      <c r="R479" t="s">
        <v>4257</v>
      </c>
      <c r="S479" t="s">
        <v>4258</v>
      </c>
      <c r="T479" t="s">
        <v>3823</v>
      </c>
      <c r="U479">
        <v>2019</v>
      </c>
      <c r="V479">
        <v>135</v>
      </c>
      <c r="W479" t="s">
        <v>4268</v>
      </c>
      <c r="X479" t="s">
        <v>8042</v>
      </c>
      <c r="Y479" t="str">
        <f>HYPERLINK("http://dx.doi.org/10.1007/s00704-018-2398-4","http://dx.doi.org/10.1007/s00704-018-2398-4")</f>
        <v>http://dx.doi.org/10.1007/s00704-018-2398-4</v>
      </c>
      <c r="Z479" t="s">
        <v>3825</v>
      </c>
      <c r="AA479" t="s">
        <v>3826</v>
      </c>
      <c r="AB479" s="3">
        <v>45672</v>
      </c>
      <c r="AC479" t="s">
        <v>8043</v>
      </c>
      <c r="AD479" t="str">
        <f>HYPERLINK("https%3A%2F%2Fwww.webofscience.com%2Fwos%2Fwoscc%2Ffull-record%2FWOS:000464905800008","View Full Record in Web of Science")</f>
        <v>View Full Record in Web of Science</v>
      </c>
    </row>
    <row r="480" spans="1:30" x14ac:dyDescent="0.35">
      <c r="A480">
        <v>479</v>
      </c>
      <c r="B480" t="s">
        <v>3509</v>
      </c>
      <c r="C480" t="s">
        <v>8044</v>
      </c>
      <c r="D480" t="s">
        <v>3509</v>
      </c>
      <c r="E480" t="s">
        <v>2929</v>
      </c>
      <c r="F480" t="s">
        <v>3810</v>
      </c>
      <c r="G480" t="s">
        <v>8045</v>
      </c>
      <c r="H480" t="s">
        <v>8046</v>
      </c>
      <c r="I480" t="s">
        <v>8047</v>
      </c>
      <c r="J480" t="s">
        <v>8048</v>
      </c>
      <c r="K480" t="s">
        <v>8049</v>
      </c>
      <c r="L480">
        <v>13</v>
      </c>
      <c r="M480" t="s">
        <v>5142</v>
      </c>
      <c r="N480" t="s">
        <v>5143</v>
      </c>
      <c r="O480" t="s">
        <v>5144</v>
      </c>
      <c r="P480" t="s">
        <v>5145</v>
      </c>
      <c r="Q480" t="s">
        <v>5146</v>
      </c>
      <c r="R480" t="s">
        <v>5147</v>
      </c>
      <c r="S480" t="s">
        <v>5148</v>
      </c>
      <c r="T480" t="s">
        <v>3823</v>
      </c>
      <c r="U480">
        <v>2022</v>
      </c>
      <c r="V480">
        <v>58</v>
      </c>
      <c r="W480">
        <v>1</v>
      </c>
      <c r="X480" t="s">
        <v>8050</v>
      </c>
      <c r="Y480" t="str">
        <f>HYPERLINK("http://dx.doi.org/10.1007/s13143-019-00140-x","http://dx.doi.org/10.1007/s13143-019-00140-x")</f>
        <v>http://dx.doi.org/10.1007/s13143-019-00140-x</v>
      </c>
      <c r="Z480" t="s">
        <v>3825</v>
      </c>
      <c r="AA480" t="s">
        <v>3826</v>
      </c>
      <c r="AB480" s="3">
        <v>45672</v>
      </c>
      <c r="AC480" t="s">
        <v>8051</v>
      </c>
      <c r="AD480" t="str">
        <f>HYPERLINK("https%3A%2F%2Fwww.webofscience.com%2Fwos%2Fwoscc%2Ffull-record%2FWOS:000746095100001","View Full Record in Web of Science")</f>
        <v>View Full Record in Web of Science</v>
      </c>
    </row>
    <row r="481" spans="1:30" x14ac:dyDescent="0.35">
      <c r="A481">
        <v>480</v>
      </c>
      <c r="B481" t="s">
        <v>3510</v>
      </c>
      <c r="C481" t="s">
        <v>8052</v>
      </c>
      <c r="D481" t="s">
        <v>3510</v>
      </c>
      <c r="E481" t="s">
        <v>2998</v>
      </c>
      <c r="F481" t="s">
        <v>3810</v>
      </c>
      <c r="G481" t="s">
        <v>8053</v>
      </c>
      <c r="H481" t="s">
        <v>8054</v>
      </c>
      <c r="I481" t="s">
        <v>8055</v>
      </c>
      <c r="J481" t="s">
        <v>8056</v>
      </c>
      <c r="K481" t="s">
        <v>8057</v>
      </c>
      <c r="L481">
        <v>2</v>
      </c>
      <c r="M481" t="s">
        <v>8058</v>
      </c>
      <c r="N481" t="s">
        <v>8059</v>
      </c>
      <c r="O481" t="s">
        <v>8060</v>
      </c>
      <c r="P481" t="s">
        <v>8061</v>
      </c>
      <c r="Q481" t="s">
        <v>8062</v>
      </c>
      <c r="R481" t="s">
        <v>8063</v>
      </c>
      <c r="S481" t="s">
        <v>8064</v>
      </c>
      <c r="T481" t="s">
        <v>8065</v>
      </c>
      <c r="U481">
        <v>2022</v>
      </c>
      <c r="V481">
        <v>56</v>
      </c>
      <c r="W481">
        <v>5</v>
      </c>
      <c r="X481" t="s">
        <v>3808</v>
      </c>
      <c r="Y481" t="s">
        <v>3808</v>
      </c>
      <c r="Z481" t="s">
        <v>8066</v>
      </c>
      <c r="AA481" t="s">
        <v>3826</v>
      </c>
      <c r="AB481" s="3">
        <v>45672</v>
      </c>
      <c r="AC481" t="s">
        <v>8067</v>
      </c>
      <c r="AD481" t="str">
        <f>HYPERLINK("https%3A%2F%2Fwww.webofscience.com%2Fwos%2Fwoscc%2Ffull-record%2FWOS:000880310500004","View Full Record in Web of Science")</f>
        <v>View Full Record in Web of Science</v>
      </c>
    </row>
    <row r="482" spans="1:30" x14ac:dyDescent="0.35">
      <c r="A482">
        <v>481</v>
      </c>
      <c r="B482" t="s">
        <v>3511</v>
      </c>
      <c r="C482" t="s">
        <v>8068</v>
      </c>
      <c r="D482" t="s">
        <v>3511</v>
      </c>
      <c r="E482" t="s">
        <v>2936</v>
      </c>
      <c r="F482" t="s">
        <v>3810</v>
      </c>
      <c r="G482" t="s">
        <v>8069</v>
      </c>
      <c r="H482" t="s">
        <v>8070</v>
      </c>
      <c r="I482" t="s">
        <v>8071</v>
      </c>
      <c r="J482" t="s">
        <v>8072</v>
      </c>
      <c r="K482" t="s">
        <v>8073</v>
      </c>
      <c r="L482">
        <v>495</v>
      </c>
      <c r="M482" t="s">
        <v>5272</v>
      </c>
      <c r="N482" t="s">
        <v>5273</v>
      </c>
      <c r="O482" t="s">
        <v>5274</v>
      </c>
      <c r="P482" t="s">
        <v>5314</v>
      </c>
      <c r="Q482" t="s">
        <v>5315</v>
      </c>
      <c r="R482" t="s">
        <v>5316</v>
      </c>
      <c r="S482" t="s">
        <v>5317</v>
      </c>
      <c r="T482" t="s">
        <v>4001</v>
      </c>
      <c r="U482">
        <v>2015</v>
      </c>
      <c r="V482">
        <v>8</v>
      </c>
      <c r="W482">
        <v>1</v>
      </c>
      <c r="X482" t="s">
        <v>8074</v>
      </c>
      <c r="Y482" t="str">
        <f>HYPERLINK("http://dx.doi.org/10.1038/NGEO2325","http://dx.doi.org/10.1038/NGEO2325")</f>
        <v>http://dx.doi.org/10.1038/NGEO2325</v>
      </c>
      <c r="Z482" t="s">
        <v>4116</v>
      </c>
      <c r="AA482" t="s">
        <v>3826</v>
      </c>
      <c r="AB482" s="3">
        <v>45672</v>
      </c>
      <c r="AC482" t="s">
        <v>8075</v>
      </c>
      <c r="AD482" t="str">
        <f>HYPERLINK("https%3A%2F%2Fwww.webofscience.com%2Fwos%2Fwoscc%2Ffull-record%2FWOS:000346825000007","View Full Record in Web of Science")</f>
        <v>View Full Record in Web of Science</v>
      </c>
    </row>
    <row r="483" spans="1:30" x14ac:dyDescent="0.35">
      <c r="A483">
        <v>482</v>
      </c>
      <c r="B483" t="s">
        <v>3512</v>
      </c>
      <c r="C483" t="s">
        <v>8076</v>
      </c>
      <c r="D483" t="s">
        <v>3512</v>
      </c>
      <c r="E483" t="s">
        <v>2924</v>
      </c>
      <c r="F483" t="s">
        <v>3810</v>
      </c>
      <c r="G483" t="s">
        <v>8077</v>
      </c>
      <c r="H483" t="s">
        <v>8078</v>
      </c>
      <c r="I483" t="s">
        <v>8079</v>
      </c>
      <c r="J483" t="s">
        <v>8080</v>
      </c>
      <c r="K483" t="s">
        <v>8081</v>
      </c>
      <c r="L483">
        <v>18</v>
      </c>
      <c r="M483" t="s">
        <v>3911</v>
      </c>
      <c r="N483" t="s">
        <v>3912</v>
      </c>
      <c r="O483" t="s">
        <v>3913</v>
      </c>
      <c r="P483" t="s">
        <v>4965</v>
      </c>
      <c r="Q483" t="s">
        <v>4966</v>
      </c>
      <c r="R483" t="s">
        <v>4967</v>
      </c>
      <c r="S483" t="s">
        <v>4968</v>
      </c>
      <c r="T483" t="s">
        <v>8082</v>
      </c>
      <c r="U483">
        <v>2020</v>
      </c>
      <c r="V483">
        <v>47</v>
      </c>
      <c r="W483">
        <v>18</v>
      </c>
      <c r="X483" t="s">
        <v>8083</v>
      </c>
      <c r="Y483" t="str">
        <f>HYPERLINK("http://dx.doi.org/10.1029/2020GL089416","http://dx.doi.org/10.1029/2020GL089416")</f>
        <v>http://dx.doi.org/10.1029/2020GL089416</v>
      </c>
      <c r="Z483" t="s">
        <v>4116</v>
      </c>
      <c r="AA483" t="s">
        <v>3826</v>
      </c>
      <c r="AB483" s="3">
        <v>45672</v>
      </c>
      <c r="AC483" t="s">
        <v>8084</v>
      </c>
      <c r="AD483" t="str">
        <f>HYPERLINK("https%3A%2F%2Fwww.webofscience.com%2Fwos%2Fwoscc%2Ffull-record%2FWOS:000576634400049","View Full Record in Web of Science")</f>
        <v>View Full Record in Web of Science</v>
      </c>
    </row>
    <row r="484" spans="1:30" x14ac:dyDescent="0.35">
      <c r="A484">
        <v>483</v>
      </c>
      <c r="B484" t="s">
        <v>3513</v>
      </c>
      <c r="C484" t="s">
        <v>8085</v>
      </c>
      <c r="D484" t="s">
        <v>3513</v>
      </c>
      <c r="E484" t="s">
        <v>2931</v>
      </c>
      <c r="F484" t="s">
        <v>3810</v>
      </c>
      <c r="G484" t="s">
        <v>8086</v>
      </c>
      <c r="H484" t="s">
        <v>8087</v>
      </c>
      <c r="I484" t="s">
        <v>8088</v>
      </c>
      <c r="J484" t="s">
        <v>8089</v>
      </c>
      <c r="K484" t="s">
        <v>8090</v>
      </c>
      <c r="L484">
        <v>19</v>
      </c>
      <c r="M484" t="s">
        <v>4277</v>
      </c>
      <c r="N484" t="s">
        <v>4278</v>
      </c>
      <c r="O484" t="s">
        <v>4279</v>
      </c>
      <c r="P484" t="s">
        <v>3808</v>
      </c>
      <c r="Q484" t="s">
        <v>5212</v>
      </c>
      <c r="R484" t="s">
        <v>5213</v>
      </c>
      <c r="S484" t="s">
        <v>5214</v>
      </c>
      <c r="T484" t="s">
        <v>4114</v>
      </c>
      <c r="U484">
        <v>2014</v>
      </c>
      <c r="V484">
        <v>3</v>
      </c>
      <c r="W484">
        <v>1</v>
      </c>
      <c r="X484" t="s">
        <v>8091</v>
      </c>
      <c r="Y484" t="str">
        <f>HYPERLINK("http://dx.doi.org/10.3390/ijgi3010110","http://dx.doi.org/10.3390/ijgi3010110")</f>
        <v>http://dx.doi.org/10.3390/ijgi3010110</v>
      </c>
      <c r="Z484" t="s">
        <v>5216</v>
      </c>
      <c r="AA484" t="s">
        <v>3826</v>
      </c>
      <c r="AB484" s="3">
        <v>45672</v>
      </c>
      <c r="AC484" t="s">
        <v>8092</v>
      </c>
      <c r="AD484" t="str">
        <f>HYPERLINK("https%3A%2F%2Fwww.webofscience.com%2Fwos%2Fwoscc%2Ffull-record%2FWOS:000358932700007","View Full Record in Web of Science")</f>
        <v>View Full Record in Web of Science</v>
      </c>
    </row>
    <row r="485" spans="1:30" x14ac:dyDescent="0.35">
      <c r="A485">
        <v>484</v>
      </c>
      <c r="B485" t="s">
        <v>3514</v>
      </c>
      <c r="C485" t="s">
        <v>8093</v>
      </c>
      <c r="D485" t="s">
        <v>3514</v>
      </c>
      <c r="E485" t="s">
        <v>2944</v>
      </c>
      <c r="F485" t="s">
        <v>3810</v>
      </c>
      <c r="G485" t="s">
        <v>8094</v>
      </c>
      <c r="H485" t="s">
        <v>8095</v>
      </c>
      <c r="I485" t="s">
        <v>8096</v>
      </c>
      <c r="J485" t="s">
        <v>8097</v>
      </c>
      <c r="K485" t="s">
        <v>8098</v>
      </c>
      <c r="L485">
        <v>3</v>
      </c>
      <c r="M485" t="s">
        <v>5774</v>
      </c>
      <c r="N485" t="s">
        <v>5775</v>
      </c>
      <c r="O485" t="s">
        <v>5776</v>
      </c>
      <c r="P485" t="s">
        <v>5777</v>
      </c>
      <c r="Q485" t="s">
        <v>5778</v>
      </c>
      <c r="R485" t="s">
        <v>5779</v>
      </c>
      <c r="S485" t="s">
        <v>5780</v>
      </c>
      <c r="T485" t="s">
        <v>3958</v>
      </c>
      <c r="U485">
        <v>2021</v>
      </c>
      <c r="V485">
        <v>178</v>
      </c>
      <c r="W485">
        <v>6</v>
      </c>
      <c r="X485" t="s">
        <v>8099</v>
      </c>
      <c r="Y485" t="str">
        <f>HYPERLINK("http://dx.doi.org/10.1144/jgs2021-006","http://dx.doi.org/10.1144/jgs2021-006")</f>
        <v>http://dx.doi.org/10.1144/jgs2021-006</v>
      </c>
      <c r="Z485" t="s">
        <v>4116</v>
      </c>
      <c r="AA485" t="s">
        <v>3826</v>
      </c>
      <c r="AB485" s="3">
        <v>45672</v>
      </c>
      <c r="AC485" t="s">
        <v>8100</v>
      </c>
      <c r="AD485" t="str">
        <f>HYPERLINK("https%3A%2F%2Fwww.webofscience.com%2Fwos%2Fwoscc%2Ffull-record%2FWOS:000670654800001","View Full Record in Web of Science")</f>
        <v>View Full Record in Web of Science</v>
      </c>
    </row>
    <row r="486" spans="1:30" x14ac:dyDescent="0.35">
      <c r="A486">
        <v>485</v>
      </c>
      <c r="B486" t="s">
        <v>3515</v>
      </c>
      <c r="C486" t="s">
        <v>8101</v>
      </c>
      <c r="D486" t="s">
        <v>3515</v>
      </c>
      <c r="E486" t="s">
        <v>2944</v>
      </c>
      <c r="F486" t="s">
        <v>3810</v>
      </c>
      <c r="G486" t="s">
        <v>8102</v>
      </c>
      <c r="H486" t="s">
        <v>8103</v>
      </c>
      <c r="I486" t="s">
        <v>8104</v>
      </c>
      <c r="J486" t="s">
        <v>5590</v>
      </c>
      <c r="K486" t="s">
        <v>8105</v>
      </c>
      <c r="L486">
        <v>18</v>
      </c>
      <c r="M486" t="s">
        <v>5774</v>
      </c>
      <c r="N486" t="s">
        <v>5775</v>
      </c>
      <c r="O486" t="s">
        <v>5776</v>
      </c>
      <c r="P486" t="s">
        <v>5777</v>
      </c>
      <c r="Q486" t="s">
        <v>5778</v>
      </c>
      <c r="R486" t="s">
        <v>5779</v>
      </c>
      <c r="S486" t="s">
        <v>5780</v>
      </c>
      <c r="T486" t="s">
        <v>4001</v>
      </c>
      <c r="U486">
        <v>2018</v>
      </c>
      <c r="V486">
        <v>175</v>
      </c>
      <c r="W486">
        <v>1</v>
      </c>
      <c r="X486" t="s">
        <v>8106</v>
      </c>
      <c r="Y486" t="str">
        <f>HYPERLINK("http://dx.doi.org/10.1144/jgs2017-047","http://dx.doi.org/10.1144/jgs2017-047")</f>
        <v>http://dx.doi.org/10.1144/jgs2017-047</v>
      </c>
      <c r="Z486" t="s">
        <v>4116</v>
      </c>
      <c r="AA486" t="s">
        <v>3826</v>
      </c>
      <c r="AB486" s="3">
        <v>45672</v>
      </c>
      <c r="AC486" t="s">
        <v>8107</v>
      </c>
      <c r="AD486" t="str">
        <f>HYPERLINK("https%3A%2F%2Fwww.webofscience.com%2Fwos%2Fwoscc%2Ffull-record%2FWOS:000419796900013","View Full Record in Web of Science")</f>
        <v>View Full Record in Web of Science</v>
      </c>
    </row>
    <row r="487" spans="1:30" x14ac:dyDescent="0.35">
      <c r="A487">
        <v>486</v>
      </c>
      <c r="B487" t="s">
        <v>3516</v>
      </c>
      <c r="C487" t="s">
        <v>8108</v>
      </c>
      <c r="D487" t="s">
        <v>3516</v>
      </c>
      <c r="E487" t="s">
        <v>2894</v>
      </c>
      <c r="F487" t="s">
        <v>3810</v>
      </c>
      <c r="G487" t="s">
        <v>8109</v>
      </c>
      <c r="H487" t="s">
        <v>8110</v>
      </c>
      <c r="I487" t="s">
        <v>8111</v>
      </c>
      <c r="K487" t="s">
        <v>3808</v>
      </c>
      <c r="L487">
        <v>1</v>
      </c>
      <c r="M487" t="s">
        <v>4252</v>
      </c>
      <c r="N487" t="s">
        <v>4253</v>
      </c>
      <c r="O487" t="s">
        <v>4254</v>
      </c>
      <c r="P487" t="s">
        <v>4255</v>
      </c>
      <c r="Q487" t="s">
        <v>4256</v>
      </c>
      <c r="R487" t="s">
        <v>4257</v>
      </c>
      <c r="S487" t="s">
        <v>4258</v>
      </c>
      <c r="T487" t="s">
        <v>3932</v>
      </c>
      <c r="U487">
        <v>2014</v>
      </c>
      <c r="V487">
        <v>116</v>
      </c>
      <c r="W487" t="s">
        <v>4268</v>
      </c>
      <c r="X487" t="s">
        <v>8112</v>
      </c>
      <c r="Y487" t="str">
        <f>HYPERLINK("http://dx.doi.org/10.1007/s00704-013-0983-0","http://dx.doi.org/10.1007/s00704-013-0983-0")</f>
        <v>http://dx.doi.org/10.1007/s00704-013-0983-0</v>
      </c>
      <c r="Z487" t="s">
        <v>3825</v>
      </c>
      <c r="AA487" t="s">
        <v>3826</v>
      </c>
      <c r="AB487" s="3">
        <v>45672</v>
      </c>
      <c r="AC487" t="s">
        <v>8113</v>
      </c>
      <c r="AD487" t="str">
        <f>HYPERLINK("https%3A%2F%2Fwww.webofscience.com%2Fwos%2Fwoscc%2Ffull-record%2FWOS:000335152500024","View Full Record in Web of Science")</f>
        <v>View Full Record in Web of Science</v>
      </c>
    </row>
    <row r="488" spans="1:30" x14ac:dyDescent="0.35">
      <c r="A488">
        <v>487</v>
      </c>
      <c r="B488" t="s">
        <v>3517</v>
      </c>
      <c r="C488" t="s">
        <v>8114</v>
      </c>
      <c r="D488" t="s">
        <v>3517</v>
      </c>
      <c r="E488" t="s">
        <v>2928</v>
      </c>
      <c r="F488" t="s">
        <v>3810</v>
      </c>
      <c r="G488" t="s">
        <v>8115</v>
      </c>
      <c r="H488" t="s">
        <v>8116</v>
      </c>
      <c r="I488" t="s">
        <v>8117</v>
      </c>
      <c r="J488" t="s">
        <v>8118</v>
      </c>
      <c r="K488" t="s">
        <v>8119</v>
      </c>
      <c r="L488">
        <v>4</v>
      </c>
      <c r="M488" t="s">
        <v>3911</v>
      </c>
      <c r="N488" t="s">
        <v>3912</v>
      </c>
      <c r="O488" t="s">
        <v>3913</v>
      </c>
      <c r="P488" t="s">
        <v>5129</v>
      </c>
      <c r="Q488" t="s">
        <v>5130</v>
      </c>
      <c r="R488" t="s">
        <v>5131</v>
      </c>
      <c r="S488" t="s">
        <v>5132</v>
      </c>
      <c r="T488" t="s">
        <v>8120</v>
      </c>
      <c r="U488">
        <v>2022</v>
      </c>
      <c r="V488">
        <v>127</v>
      </c>
      <c r="W488">
        <v>6</v>
      </c>
      <c r="X488" t="s">
        <v>8121</v>
      </c>
      <c r="Y488" t="str">
        <f>HYPERLINK("http://dx.doi.org/10.1029/2021JD036090","http://dx.doi.org/10.1029/2021JD036090")</f>
        <v>http://dx.doi.org/10.1029/2021JD036090</v>
      </c>
      <c r="Z488" t="s">
        <v>3825</v>
      </c>
      <c r="AA488" t="s">
        <v>3826</v>
      </c>
      <c r="AB488" s="3">
        <v>45672</v>
      </c>
      <c r="AC488" t="s">
        <v>8122</v>
      </c>
      <c r="AD488" t="str">
        <f>HYPERLINK("https%3A%2F%2Fwww.webofscience.com%2Fwos%2Fwoscc%2Ffull-record%2FWOS:000776518200001","View Full Record in Web of Science")</f>
        <v>View Full Record in Web of Science</v>
      </c>
    </row>
    <row r="489" spans="1:30" x14ac:dyDescent="0.35">
      <c r="A489">
        <v>488</v>
      </c>
      <c r="B489" t="s">
        <v>3518</v>
      </c>
      <c r="C489" t="s">
        <v>8123</v>
      </c>
      <c r="D489" t="s">
        <v>3518</v>
      </c>
      <c r="E489" t="s">
        <v>2999</v>
      </c>
      <c r="F489" t="s">
        <v>3810</v>
      </c>
      <c r="G489" t="s">
        <v>8124</v>
      </c>
      <c r="H489" t="s">
        <v>8125</v>
      </c>
      <c r="I489" t="s">
        <v>6586</v>
      </c>
      <c r="J489" t="s">
        <v>6615</v>
      </c>
      <c r="K489" t="s">
        <v>8126</v>
      </c>
      <c r="L489">
        <v>3</v>
      </c>
      <c r="M489" t="s">
        <v>8127</v>
      </c>
      <c r="N489" t="s">
        <v>4109</v>
      </c>
      <c r="O489" t="s">
        <v>8128</v>
      </c>
      <c r="P489" t="s">
        <v>8129</v>
      </c>
      <c r="Q489" t="s">
        <v>8130</v>
      </c>
      <c r="R489" t="s">
        <v>8131</v>
      </c>
      <c r="S489" t="s">
        <v>8132</v>
      </c>
      <c r="T489" t="s">
        <v>7306</v>
      </c>
      <c r="U489">
        <v>2020</v>
      </c>
      <c r="V489">
        <v>13</v>
      </c>
      <c r="W489">
        <v>6</v>
      </c>
      <c r="X489" t="s">
        <v>8133</v>
      </c>
      <c r="Y489" t="str">
        <f>HYPERLINK("http://dx.doi.org/10.1080/16742834.2020.1819755","http://dx.doi.org/10.1080/16742834.2020.1819755")</f>
        <v>http://dx.doi.org/10.1080/16742834.2020.1819755</v>
      </c>
      <c r="Z489" t="s">
        <v>3825</v>
      </c>
      <c r="AA489" t="s">
        <v>4117</v>
      </c>
      <c r="AB489" s="3">
        <v>45672</v>
      </c>
      <c r="AC489" t="s">
        <v>8134</v>
      </c>
      <c r="AD489" t="str">
        <f>HYPERLINK("https%3A%2F%2Fwww.webofscience.com%2Fwos%2Fwoscc%2Ffull-record%2FWOS:000576457700001","View Full Record in Web of Science")</f>
        <v>View Full Record in Web of Science</v>
      </c>
    </row>
    <row r="490" spans="1:30" x14ac:dyDescent="0.35">
      <c r="A490">
        <v>489</v>
      </c>
      <c r="B490" t="s">
        <v>3519</v>
      </c>
      <c r="C490" t="s">
        <v>8135</v>
      </c>
      <c r="D490" t="s">
        <v>3519</v>
      </c>
      <c r="E490" t="s">
        <v>2928</v>
      </c>
      <c r="F490" t="s">
        <v>3810</v>
      </c>
      <c r="G490" t="s">
        <v>8136</v>
      </c>
      <c r="H490" t="s">
        <v>8137</v>
      </c>
      <c r="I490" t="s">
        <v>8138</v>
      </c>
      <c r="J490" t="s">
        <v>8139</v>
      </c>
      <c r="K490" t="s">
        <v>8140</v>
      </c>
      <c r="L490">
        <v>8</v>
      </c>
      <c r="M490" t="s">
        <v>3911</v>
      </c>
      <c r="N490" t="s">
        <v>3912</v>
      </c>
      <c r="O490" t="s">
        <v>3913</v>
      </c>
      <c r="P490" t="s">
        <v>5129</v>
      </c>
      <c r="Q490" t="s">
        <v>5130</v>
      </c>
      <c r="R490" t="s">
        <v>5131</v>
      </c>
      <c r="S490" t="s">
        <v>5132</v>
      </c>
      <c r="T490" t="s">
        <v>8141</v>
      </c>
      <c r="U490">
        <v>2022</v>
      </c>
      <c r="V490">
        <v>127</v>
      </c>
      <c r="W490">
        <v>12</v>
      </c>
      <c r="X490" t="s">
        <v>8142</v>
      </c>
      <c r="Y490" t="str">
        <f>HYPERLINK("http://dx.doi.org/10.1029/2022JD036439","http://dx.doi.org/10.1029/2022JD036439")</f>
        <v>http://dx.doi.org/10.1029/2022JD036439</v>
      </c>
      <c r="Z490" t="s">
        <v>3825</v>
      </c>
      <c r="AA490" t="s">
        <v>3826</v>
      </c>
      <c r="AB490" s="3">
        <v>45672</v>
      </c>
      <c r="AC490" t="s">
        <v>8143</v>
      </c>
      <c r="AD490" t="str">
        <f>HYPERLINK("https%3A%2F%2Fwww.webofscience.com%2Fwos%2Fwoscc%2Ffull-record%2FWOS:000813961200001","View Full Record in Web of Science")</f>
        <v>View Full Record in Web of Science</v>
      </c>
    </row>
    <row r="491" spans="1:30" x14ac:dyDescent="0.35">
      <c r="A491">
        <v>490</v>
      </c>
      <c r="B491" t="s">
        <v>3520</v>
      </c>
      <c r="C491" t="s">
        <v>8144</v>
      </c>
      <c r="D491" t="s">
        <v>3520</v>
      </c>
      <c r="E491" t="s">
        <v>2877</v>
      </c>
      <c r="F491" t="s">
        <v>3810</v>
      </c>
      <c r="G491" t="s">
        <v>8145</v>
      </c>
      <c r="H491" t="s">
        <v>8146</v>
      </c>
      <c r="I491" t="s">
        <v>8147</v>
      </c>
      <c r="J491" t="s">
        <v>8148</v>
      </c>
      <c r="K491" t="s">
        <v>8149</v>
      </c>
      <c r="L491">
        <v>28</v>
      </c>
      <c r="M491" t="s">
        <v>4033</v>
      </c>
      <c r="N491" t="s">
        <v>4034</v>
      </c>
      <c r="O491" t="s">
        <v>4035</v>
      </c>
      <c r="P491" t="s">
        <v>4036</v>
      </c>
      <c r="Q491" t="s">
        <v>4037</v>
      </c>
      <c r="R491" t="s">
        <v>4038</v>
      </c>
      <c r="S491" t="s">
        <v>4039</v>
      </c>
      <c r="T491" t="s">
        <v>4114</v>
      </c>
      <c r="U491">
        <v>2018</v>
      </c>
      <c r="V491">
        <v>31</v>
      </c>
      <c r="W491">
        <v>6</v>
      </c>
      <c r="X491" t="s">
        <v>8150</v>
      </c>
      <c r="Y491" t="str">
        <f>HYPERLINK("http://dx.doi.org/10.1175/JCLI-D-17-0123.1","http://dx.doi.org/10.1175/JCLI-D-17-0123.1")</f>
        <v>http://dx.doi.org/10.1175/JCLI-D-17-0123.1</v>
      </c>
      <c r="Z491" t="s">
        <v>3825</v>
      </c>
      <c r="AA491" t="s">
        <v>3826</v>
      </c>
      <c r="AB491" s="3">
        <v>45672</v>
      </c>
      <c r="AC491" t="s">
        <v>8151</v>
      </c>
      <c r="AD491" t="str">
        <f>HYPERLINK("https%3A%2F%2Fwww.webofscience.com%2Fwos%2Fwoscc%2Ffull-record%2FWOS:000427447000010","View Full Record in Web of Science")</f>
        <v>View Full Record in Web of Science</v>
      </c>
    </row>
    <row r="492" spans="1:30" x14ac:dyDescent="0.35">
      <c r="A492">
        <v>491</v>
      </c>
      <c r="B492" t="s">
        <v>3521</v>
      </c>
      <c r="C492" t="s">
        <v>8152</v>
      </c>
      <c r="D492" t="s">
        <v>3521</v>
      </c>
      <c r="E492" t="s">
        <v>2867</v>
      </c>
      <c r="F492" t="s">
        <v>3810</v>
      </c>
      <c r="G492" t="s">
        <v>8153</v>
      </c>
      <c r="H492" t="s">
        <v>8154</v>
      </c>
      <c r="I492" t="s">
        <v>8155</v>
      </c>
      <c r="J492" t="s">
        <v>8156</v>
      </c>
      <c r="K492" t="s">
        <v>8157</v>
      </c>
      <c r="L492">
        <v>49</v>
      </c>
      <c r="M492" t="s">
        <v>3866</v>
      </c>
      <c r="N492" t="s">
        <v>3817</v>
      </c>
      <c r="O492" t="s">
        <v>3867</v>
      </c>
      <c r="P492" t="s">
        <v>3868</v>
      </c>
      <c r="Q492" t="s">
        <v>3869</v>
      </c>
      <c r="R492" t="s">
        <v>3870</v>
      </c>
      <c r="S492" t="s">
        <v>3871</v>
      </c>
      <c r="T492" t="s">
        <v>3958</v>
      </c>
      <c r="U492">
        <v>2014</v>
      </c>
      <c r="V492">
        <v>43</v>
      </c>
      <c r="W492" t="s">
        <v>5232</v>
      </c>
      <c r="X492" t="s">
        <v>8158</v>
      </c>
      <c r="Y492" t="str">
        <f>HYPERLINK("http://dx.doi.org/10.1007/s00382-014-2073-0","http://dx.doi.org/10.1007/s00382-014-2073-0")</f>
        <v>http://dx.doi.org/10.1007/s00382-014-2073-0</v>
      </c>
      <c r="Z492" t="s">
        <v>3825</v>
      </c>
      <c r="AA492" t="s">
        <v>3826</v>
      </c>
      <c r="AB492" s="3">
        <v>45672</v>
      </c>
      <c r="AC492" t="s">
        <v>8159</v>
      </c>
      <c r="AD492" t="str">
        <f>HYPERLINK("https%3A%2F%2Fwww.webofscience.com%2Fwos%2Fwoscc%2Ffull-record%2FWOS:000344480100013","View Full Record in Web of Science")</f>
        <v>View Full Record in Web of Science</v>
      </c>
    </row>
    <row r="493" spans="1:30" x14ac:dyDescent="0.35">
      <c r="A493">
        <v>492</v>
      </c>
      <c r="B493" t="s">
        <v>3522</v>
      </c>
      <c r="C493" t="s">
        <v>8160</v>
      </c>
      <c r="D493" t="s">
        <v>3522</v>
      </c>
      <c r="E493" t="s">
        <v>2894</v>
      </c>
      <c r="F493" t="s">
        <v>3810</v>
      </c>
      <c r="G493" t="s">
        <v>8161</v>
      </c>
      <c r="H493" t="s">
        <v>8162</v>
      </c>
      <c r="I493" t="s">
        <v>8022</v>
      </c>
      <c r="J493" t="s">
        <v>8163</v>
      </c>
      <c r="K493" t="s">
        <v>8164</v>
      </c>
      <c r="L493">
        <v>13</v>
      </c>
      <c r="M493" t="s">
        <v>4252</v>
      </c>
      <c r="N493" t="s">
        <v>4253</v>
      </c>
      <c r="O493" t="s">
        <v>4254</v>
      </c>
      <c r="P493" t="s">
        <v>4255</v>
      </c>
      <c r="Q493" t="s">
        <v>4256</v>
      </c>
      <c r="R493" t="s">
        <v>4257</v>
      </c>
      <c r="S493" t="s">
        <v>4258</v>
      </c>
      <c r="T493" t="s">
        <v>4016</v>
      </c>
      <c r="U493">
        <v>2018</v>
      </c>
      <c r="V493">
        <v>134</v>
      </c>
      <c r="W493" t="s">
        <v>4259</v>
      </c>
      <c r="X493" t="s">
        <v>8165</v>
      </c>
      <c r="Y493" t="str">
        <f>HYPERLINK("http://dx.doi.org/10.1007/s00704-017-2299-y","http://dx.doi.org/10.1007/s00704-017-2299-y")</f>
        <v>http://dx.doi.org/10.1007/s00704-017-2299-y</v>
      </c>
      <c r="Z493" t="s">
        <v>3825</v>
      </c>
      <c r="AA493" t="s">
        <v>3826</v>
      </c>
      <c r="AB493" s="3">
        <v>45672</v>
      </c>
      <c r="AC493" t="s">
        <v>8166</v>
      </c>
      <c r="AD493" t="str">
        <f>HYPERLINK("https%3A%2F%2Fwww.webofscience.com%2Fwos%2Fwoscc%2Ffull-record%2FWOS:000446552300044","View Full Record in Web of Science")</f>
        <v>View Full Record in Web of Science</v>
      </c>
    </row>
    <row r="494" spans="1:30" x14ac:dyDescent="0.35">
      <c r="A494">
        <v>493</v>
      </c>
      <c r="B494" t="s">
        <v>3523</v>
      </c>
      <c r="C494" t="s">
        <v>8167</v>
      </c>
      <c r="D494" t="s">
        <v>3523</v>
      </c>
      <c r="E494" t="s">
        <v>2867</v>
      </c>
      <c r="F494" t="s">
        <v>3810</v>
      </c>
      <c r="G494" t="s">
        <v>8168</v>
      </c>
      <c r="H494" t="s">
        <v>8169</v>
      </c>
      <c r="I494" t="s">
        <v>8170</v>
      </c>
      <c r="K494" t="s">
        <v>3808</v>
      </c>
      <c r="L494">
        <v>46</v>
      </c>
      <c r="M494" t="s">
        <v>3866</v>
      </c>
      <c r="N494" t="s">
        <v>3817</v>
      </c>
      <c r="O494" t="s">
        <v>3867</v>
      </c>
      <c r="P494" t="s">
        <v>3868</v>
      </c>
      <c r="Q494" t="s">
        <v>3869</v>
      </c>
      <c r="R494" t="s">
        <v>3870</v>
      </c>
      <c r="S494" t="s">
        <v>3871</v>
      </c>
      <c r="T494" t="s">
        <v>5045</v>
      </c>
      <c r="U494">
        <v>2014</v>
      </c>
      <c r="V494">
        <v>42</v>
      </c>
      <c r="W494" t="s">
        <v>6145</v>
      </c>
      <c r="X494" t="s">
        <v>8171</v>
      </c>
      <c r="Y494" t="str">
        <f>HYPERLINK("http://dx.doi.org/10.1007/s00382-013-1963-x","http://dx.doi.org/10.1007/s00382-013-1963-x")</f>
        <v>http://dx.doi.org/10.1007/s00382-013-1963-x</v>
      </c>
      <c r="Z494" t="s">
        <v>3825</v>
      </c>
      <c r="AA494" t="s">
        <v>3826</v>
      </c>
      <c r="AB494" s="3">
        <v>45672</v>
      </c>
      <c r="AC494" t="s">
        <v>8172</v>
      </c>
      <c r="AD494" t="str">
        <f>HYPERLINK("https%3A%2F%2Fwww.webofscience.com%2Fwos%2Fwoscc%2Ffull-record%2FWOS:000334068100023","View Full Record in Web of Science")</f>
        <v>View Full Record in Web of Science</v>
      </c>
    </row>
    <row r="495" spans="1:30" x14ac:dyDescent="0.35">
      <c r="A495">
        <v>494</v>
      </c>
      <c r="B495" t="s">
        <v>3524</v>
      </c>
      <c r="C495" t="s">
        <v>1973</v>
      </c>
      <c r="D495" t="s">
        <v>3524</v>
      </c>
      <c r="E495" t="s">
        <v>2875</v>
      </c>
      <c r="F495" t="s">
        <v>3810</v>
      </c>
      <c r="G495" t="s">
        <v>8173</v>
      </c>
      <c r="H495" t="s">
        <v>8174</v>
      </c>
      <c r="I495" t="s">
        <v>8175</v>
      </c>
      <c r="J495" t="s">
        <v>8176</v>
      </c>
      <c r="K495" t="s">
        <v>8177</v>
      </c>
      <c r="L495">
        <v>8</v>
      </c>
      <c r="M495" t="s">
        <v>3968</v>
      </c>
      <c r="N495" t="s">
        <v>3969</v>
      </c>
      <c r="O495" t="s">
        <v>3970</v>
      </c>
      <c r="P495" t="s">
        <v>3971</v>
      </c>
      <c r="Q495" t="s">
        <v>3972</v>
      </c>
      <c r="R495" t="s">
        <v>2875</v>
      </c>
      <c r="S495" t="s">
        <v>3973</v>
      </c>
      <c r="T495" t="s">
        <v>4016</v>
      </c>
      <c r="U495">
        <v>2018</v>
      </c>
      <c r="V495">
        <v>46</v>
      </c>
      <c r="W495">
        <v>10</v>
      </c>
      <c r="X495" t="s">
        <v>8178</v>
      </c>
      <c r="Y495" t="str">
        <f>HYPERLINK("http://dx.doi.org/10.1130/G45092.1","http://dx.doi.org/10.1130/G45092.1")</f>
        <v>http://dx.doi.org/10.1130/G45092.1</v>
      </c>
      <c r="Z495" t="s">
        <v>3973</v>
      </c>
      <c r="AA495" t="s">
        <v>3826</v>
      </c>
      <c r="AB495" s="3">
        <v>45672</v>
      </c>
      <c r="AC495" t="s">
        <v>8179</v>
      </c>
      <c r="AD495" t="str">
        <f>HYPERLINK("https%3A%2F%2Fwww.webofscience.com%2Fwos%2Fwoscc%2Ffull-record%2FWOS:000445256000001","View Full Record in Web of Science")</f>
        <v>View Full Record in Web of Science</v>
      </c>
    </row>
    <row r="496" spans="1:30" x14ac:dyDescent="0.35">
      <c r="A496">
        <v>495</v>
      </c>
      <c r="B496" t="s">
        <v>3525</v>
      </c>
      <c r="C496" t="s">
        <v>8180</v>
      </c>
      <c r="D496" t="s">
        <v>3525</v>
      </c>
      <c r="E496" t="s">
        <v>2924</v>
      </c>
      <c r="F496" t="s">
        <v>3810</v>
      </c>
      <c r="G496" t="s">
        <v>8181</v>
      </c>
      <c r="H496" t="s">
        <v>8182</v>
      </c>
      <c r="I496" t="s">
        <v>8183</v>
      </c>
      <c r="J496" t="s">
        <v>8184</v>
      </c>
      <c r="K496" t="s">
        <v>8185</v>
      </c>
      <c r="L496">
        <v>2</v>
      </c>
      <c r="M496" t="s">
        <v>3911</v>
      </c>
      <c r="N496" t="s">
        <v>3912</v>
      </c>
      <c r="O496" t="s">
        <v>3913</v>
      </c>
      <c r="P496" t="s">
        <v>4965</v>
      </c>
      <c r="Q496" t="s">
        <v>4966</v>
      </c>
      <c r="R496" t="s">
        <v>4967</v>
      </c>
      <c r="S496" t="s">
        <v>4968</v>
      </c>
      <c r="T496" t="s">
        <v>5592</v>
      </c>
      <c r="U496">
        <v>2023</v>
      </c>
      <c r="V496">
        <v>50</v>
      </c>
      <c r="W496">
        <v>13</v>
      </c>
      <c r="X496" t="s">
        <v>8186</v>
      </c>
      <c r="Y496" t="str">
        <f>HYPERLINK("http://dx.doi.org/10.1029/2023GL103748","http://dx.doi.org/10.1029/2023GL103748")</f>
        <v>http://dx.doi.org/10.1029/2023GL103748</v>
      </c>
      <c r="Z496" t="s">
        <v>4116</v>
      </c>
      <c r="AA496" t="s">
        <v>3826</v>
      </c>
      <c r="AB496" s="3">
        <v>45672</v>
      </c>
      <c r="AC496" t="s">
        <v>8187</v>
      </c>
      <c r="AD496" t="str">
        <f>HYPERLINK("https%3A%2F%2Fwww.webofscience.com%2Fwos%2Fwoscc%2Ffull-record%2FWOS:001022459700001","View Full Record in Web of Science")</f>
        <v>View Full Record in Web of Science</v>
      </c>
    </row>
    <row r="497" spans="1:30" x14ac:dyDescent="0.35">
      <c r="A497">
        <v>496</v>
      </c>
      <c r="B497" t="s">
        <v>3526</v>
      </c>
      <c r="C497" t="s">
        <v>8188</v>
      </c>
      <c r="D497" t="s">
        <v>3526</v>
      </c>
      <c r="E497" t="s">
        <v>2866</v>
      </c>
      <c r="F497" t="s">
        <v>3810</v>
      </c>
      <c r="G497" t="s">
        <v>8189</v>
      </c>
      <c r="H497" t="s">
        <v>8190</v>
      </c>
      <c r="I497" t="s">
        <v>3808</v>
      </c>
      <c r="J497" t="s">
        <v>8191</v>
      </c>
      <c r="K497" t="s">
        <v>8192</v>
      </c>
      <c r="L497">
        <v>15</v>
      </c>
      <c r="M497" t="s">
        <v>3850</v>
      </c>
      <c r="N497" t="s">
        <v>3851</v>
      </c>
      <c r="O497" t="s">
        <v>3852</v>
      </c>
      <c r="P497" t="s">
        <v>3853</v>
      </c>
      <c r="Q497" t="s">
        <v>3854</v>
      </c>
      <c r="R497" t="s">
        <v>3855</v>
      </c>
      <c r="S497" t="s">
        <v>3856</v>
      </c>
      <c r="T497" t="s">
        <v>4137</v>
      </c>
      <c r="U497">
        <v>2017</v>
      </c>
      <c r="V497">
        <v>37</v>
      </c>
      <c r="W497" t="s">
        <v>3808</v>
      </c>
      <c r="X497" t="s">
        <v>8193</v>
      </c>
      <c r="Y497" t="str">
        <f>HYPERLINK("http://dx.doi.org/10.1002/joc.5072","http://dx.doi.org/10.1002/joc.5072")</f>
        <v>http://dx.doi.org/10.1002/joc.5072</v>
      </c>
      <c r="Z497" t="s">
        <v>3825</v>
      </c>
      <c r="AA497" t="s">
        <v>3826</v>
      </c>
      <c r="AB497" s="3">
        <v>45672</v>
      </c>
      <c r="AC497" t="s">
        <v>8194</v>
      </c>
      <c r="AD497" t="str">
        <f>HYPERLINK("https%3A%2F%2Fwww.webofscience.com%2Fwos%2Fwoscc%2Ffull-record%2FWOS:000417298600077","View Full Record in Web of Science")</f>
        <v>View Full Record in Web of Science</v>
      </c>
    </row>
    <row r="498" spans="1:30" x14ac:dyDescent="0.35">
      <c r="A498">
        <v>497</v>
      </c>
      <c r="B498" t="s">
        <v>3527</v>
      </c>
      <c r="C498" t="s">
        <v>8195</v>
      </c>
      <c r="D498" t="s">
        <v>3527</v>
      </c>
      <c r="E498" t="s">
        <v>3000</v>
      </c>
      <c r="F498" t="s">
        <v>3810</v>
      </c>
      <c r="G498" t="s">
        <v>8196</v>
      </c>
      <c r="H498" t="s">
        <v>8197</v>
      </c>
      <c r="I498" t="s">
        <v>8198</v>
      </c>
      <c r="J498" t="s">
        <v>8199</v>
      </c>
      <c r="K498" t="s">
        <v>8200</v>
      </c>
      <c r="L498">
        <v>15</v>
      </c>
      <c r="M498" t="s">
        <v>4046</v>
      </c>
      <c r="N498" t="s">
        <v>4047</v>
      </c>
      <c r="O498" t="s">
        <v>4048</v>
      </c>
      <c r="P498" t="s">
        <v>8201</v>
      </c>
      <c r="Q498" t="s">
        <v>8202</v>
      </c>
      <c r="R498" t="s">
        <v>8203</v>
      </c>
      <c r="S498" t="s">
        <v>8204</v>
      </c>
      <c r="T498" t="s">
        <v>3932</v>
      </c>
      <c r="U498">
        <v>2018</v>
      </c>
      <c r="V498">
        <v>92</v>
      </c>
      <c r="W498" t="s">
        <v>3808</v>
      </c>
      <c r="X498" t="s">
        <v>8205</v>
      </c>
      <c r="Y498" t="str">
        <f>HYPERLINK("http://dx.doi.org/10.1016/j.apgeochem.2018.03.005","http://dx.doi.org/10.1016/j.apgeochem.2018.03.005")</f>
        <v>http://dx.doi.org/10.1016/j.apgeochem.2018.03.005</v>
      </c>
      <c r="Z498" t="s">
        <v>3920</v>
      </c>
      <c r="AA498" t="s">
        <v>3826</v>
      </c>
      <c r="AB498" s="3">
        <v>45672</v>
      </c>
      <c r="AC498" t="s">
        <v>8206</v>
      </c>
      <c r="AD498" t="str">
        <f>HYPERLINK("https%3A%2F%2Fwww.webofscience.com%2Fwos%2Fwoscc%2Ffull-record%2FWOS:000432195100008","View Full Record in Web of Science")</f>
        <v>View Full Record in Web of Science</v>
      </c>
    </row>
    <row r="499" spans="1:30" x14ac:dyDescent="0.35">
      <c r="A499">
        <v>498</v>
      </c>
      <c r="B499" t="s">
        <v>3528</v>
      </c>
      <c r="C499" t="s">
        <v>8207</v>
      </c>
      <c r="D499" t="s">
        <v>3528</v>
      </c>
      <c r="E499" t="s">
        <v>3001</v>
      </c>
      <c r="F499" t="s">
        <v>3810</v>
      </c>
      <c r="G499" t="s">
        <v>8208</v>
      </c>
      <c r="H499" t="s">
        <v>8209</v>
      </c>
      <c r="I499" t="s">
        <v>8210</v>
      </c>
      <c r="J499" t="s">
        <v>8211</v>
      </c>
      <c r="K499" t="s">
        <v>8212</v>
      </c>
      <c r="L499">
        <v>2</v>
      </c>
      <c r="M499" t="s">
        <v>8213</v>
      </c>
      <c r="N499" t="s">
        <v>8214</v>
      </c>
      <c r="O499" t="s">
        <v>8215</v>
      </c>
      <c r="P499" t="s">
        <v>8216</v>
      </c>
      <c r="Q499" t="s">
        <v>8217</v>
      </c>
      <c r="R499" t="s">
        <v>8218</v>
      </c>
      <c r="S499" t="s">
        <v>8219</v>
      </c>
      <c r="T499" t="s">
        <v>4163</v>
      </c>
      <c r="U499">
        <v>2015</v>
      </c>
      <c r="V499">
        <v>14</v>
      </c>
      <c r="W499">
        <v>6</v>
      </c>
      <c r="X499" t="s">
        <v>8220</v>
      </c>
      <c r="Y499" t="str">
        <f>HYPERLINK("http://dx.doi.org/10.1007/s11802-015-2594-0","http://dx.doi.org/10.1007/s11802-015-2594-0")</f>
        <v>http://dx.doi.org/10.1007/s11802-015-2594-0</v>
      </c>
      <c r="Z499" t="s">
        <v>4055</v>
      </c>
      <c r="AA499" t="s">
        <v>3826</v>
      </c>
      <c r="AB499" s="3">
        <v>45672</v>
      </c>
      <c r="AC499" t="s">
        <v>8221</v>
      </c>
      <c r="AD499" t="str">
        <f>HYPERLINK("https%3A%2F%2Fwww.webofscience.com%2Fwos%2Fwoscc%2Ffull-record%2FWOS:000364572000004","View Full Record in Web of Science")</f>
        <v>View Full Record in Web of Science</v>
      </c>
    </row>
    <row r="500" spans="1:30" x14ac:dyDescent="0.35">
      <c r="A500">
        <v>499</v>
      </c>
      <c r="B500" t="s">
        <v>3529</v>
      </c>
      <c r="C500" t="s">
        <v>8222</v>
      </c>
      <c r="D500" t="s">
        <v>3529</v>
      </c>
      <c r="E500" t="s">
        <v>2972</v>
      </c>
      <c r="F500" t="s">
        <v>3810</v>
      </c>
      <c r="G500" t="s">
        <v>8223</v>
      </c>
      <c r="H500" t="s">
        <v>8224</v>
      </c>
      <c r="I500" t="s">
        <v>8022</v>
      </c>
      <c r="J500" t="s">
        <v>8225</v>
      </c>
      <c r="K500" t="s">
        <v>8226</v>
      </c>
      <c r="L500">
        <v>34</v>
      </c>
      <c r="M500" t="s">
        <v>5326</v>
      </c>
      <c r="N500" t="s">
        <v>8227</v>
      </c>
      <c r="O500" t="s">
        <v>8228</v>
      </c>
      <c r="P500" t="s">
        <v>6872</v>
      </c>
      <c r="Q500" t="s">
        <v>6873</v>
      </c>
      <c r="R500" t="s">
        <v>6874</v>
      </c>
      <c r="S500" t="s">
        <v>6875</v>
      </c>
      <c r="T500" t="s">
        <v>6634</v>
      </c>
      <c r="U500">
        <v>2017</v>
      </c>
      <c r="V500">
        <v>141</v>
      </c>
      <c r="W500" t="s">
        <v>3808</v>
      </c>
      <c r="X500" t="s">
        <v>8229</v>
      </c>
      <c r="Y500" t="str">
        <f>HYPERLINK("http://dx.doi.org/10.1016/j.ocecoaman.2017.02.015","http://dx.doi.org/10.1016/j.ocecoaman.2017.02.015")</f>
        <v>http://dx.doi.org/10.1016/j.ocecoaman.2017.02.015</v>
      </c>
      <c r="Z500" t="s">
        <v>6878</v>
      </c>
      <c r="AA500" t="s">
        <v>3826</v>
      </c>
      <c r="AB500" s="3">
        <v>45672</v>
      </c>
      <c r="AC500" t="s">
        <v>8230</v>
      </c>
      <c r="AD500" t="str">
        <f>HYPERLINK("https%3A%2F%2Fwww.webofscience.com%2Fwos%2Fwoscc%2Ffull-record%2FWOS:000401205000005","View Full Record in Web of Science")</f>
        <v>View Full Record in Web of Science</v>
      </c>
    </row>
    <row r="501" spans="1:30" x14ac:dyDescent="0.35">
      <c r="A501">
        <v>500</v>
      </c>
      <c r="B501" t="s">
        <v>3530</v>
      </c>
      <c r="C501" t="s">
        <v>8231</v>
      </c>
      <c r="D501" t="s">
        <v>3530</v>
      </c>
      <c r="E501" t="s">
        <v>2872</v>
      </c>
      <c r="F501" t="s">
        <v>3810</v>
      </c>
      <c r="G501" t="s">
        <v>8232</v>
      </c>
      <c r="H501" t="s">
        <v>8233</v>
      </c>
      <c r="I501" t="s">
        <v>8234</v>
      </c>
      <c r="J501" t="s">
        <v>8235</v>
      </c>
      <c r="K501" t="s">
        <v>8236</v>
      </c>
      <c r="L501">
        <v>87</v>
      </c>
      <c r="M501" t="s">
        <v>3951</v>
      </c>
      <c r="N501" t="s">
        <v>3952</v>
      </c>
      <c r="O501" t="s">
        <v>3953</v>
      </c>
      <c r="P501" t="s">
        <v>3954</v>
      </c>
      <c r="Q501" t="s">
        <v>3955</v>
      </c>
      <c r="R501" t="s">
        <v>3956</v>
      </c>
      <c r="S501" t="s">
        <v>3957</v>
      </c>
      <c r="T501" t="s">
        <v>4163</v>
      </c>
      <c r="U501">
        <v>2016</v>
      </c>
      <c r="V501">
        <v>543</v>
      </c>
      <c r="W501" t="s">
        <v>3808</v>
      </c>
      <c r="X501" t="s">
        <v>8237</v>
      </c>
      <c r="Y501" t="str">
        <f>HYPERLINK("http://dx.doi.org/10.1016/j.jhydrol.2016.10.019","http://dx.doi.org/10.1016/j.jhydrol.2016.10.019")</f>
        <v>http://dx.doi.org/10.1016/j.jhydrol.2016.10.019</v>
      </c>
      <c r="Z501" t="s">
        <v>3960</v>
      </c>
      <c r="AA501" t="s">
        <v>3826</v>
      </c>
      <c r="AB501" s="3">
        <v>45672</v>
      </c>
      <c r="AC501" t="s">
        <v>8238</v>
      </c>
      <c r="AD501" t="str">
        <f>HYPERLINK("https%3A%2F%2Fwww.webofscience.com%2Fwos%2Fwoscc%2Ffull-record%2FWOS:000390735900020","View Full Record in Web of Science")</f>
        <v>View Full Record in Web of Science</v>
      </c>
    </row>
    <row r="502" spans="1:30" x14ac:dyDescent="0.35">
      <c r="A502">
        <v>501</v>
      </c>
      <c r="B502" t="s">
        <v>3531</v>
      </c>
      <c r="C502" t="s">
        <v>8239</v>
      </c>
      <c r="D502" t="s">
        <v>3531</v>
      </c>
      <c r="E502" t="s">
        <v>2877</v>
      </c>
      <c r="F502" t="s">
        <v>3810</v>
      </c>
      <c r="G502" t="s">
        <v>8240</v>
      </c>
      <c r="H502" t="s">
        <v>8241</v>
      </c>
      <c r="I502" t="s">
        <v>8242</v>
      </c>
      <c r="J502" t="s">
        <v>8243</v>
      </c>
      <c r="K502" t="s">
        <v>8244</v>
      </c>
      <c r="L502">
        <v>9</v>
      </c>
      <c r="M502" t="s">
        <v>4033</v>
      </c>
      <c r="N502" t="s">
        <v>4034</v>
      </c>
      <c r="O502" t="s">
        <v>4035</v>
      </c>
      <c r="P502" t="s">
        <v>4036</v>
      </c>
      <c r="Q502" t="s">
        <v>4037</v>
      </c>
      <c r="R502" t="s">
        <v>4038</v>
      </c>
      <c r="S502" t="s">
        <v>4039</v>
      </c>
      <c r="T502" t="s">
        <v>4773</v>
      </c>
      <c r="U502">
        <v>2020</v>
      </c>
      <c r="V502">
        <v>33</v>
      </c>
      <c r="W502">
        <v>23</v>
      </c>
      <c r="X502" t="s">
        <v>8245</v>
      </c>
      <c r="Y502" t="str">
        <f>HYPERLINK("http://dx.doi.org/10.1175/JCLI-D-19-0625.1","http://dx.doi.org/10.1175/JCLI-D-19-0625.1")</f>
        <v>http://dx.doi.org/10.1175/JCLI-D-19-0625.1</v>
      </c>
      <c r="Z502" t="s">
        <v>3825</v>
      </c>
      <c r="AA502" t="s">
        <v>3826</v>
      </c>
      <c r="AB502" s="3">
        <v>45672</v>
      </c>
      <c r="AC502" t="s">
        <v>8246</v>
      </c>
      <c r="AD502" t="str">
        <f>HYPERLINK("https%3A%2F%2Fwww.webofscience.com%2Fwos%2Fwoscc%2Ffull-record%2FWOS:000615171300006","View Full Record in Web of Science")</f>
        <v>View Full Record in Web of Science</v>
      </c>
    </row>
    <row r="503" spans="1:30" x14ac:dyDescent="0.35">
      <c r="A503">
        <v>502</v>
      </c>
      <c r="B503" t="s">
        <v>3532</v>
      </c>
      <c r="C503" t="s">
        <v>8247</v>
      </c>
      <c r="D503" t="s">
        <v>3532</v>
      </c>
      <c r="E503" t="s">
        <v>2867</v>
      </c>
      <c r="F503" t="s">
        <v>3810</v>
      </c>
      <c r="G503" t="s">
        <v>8248</v>
      </c>
      <c r="H503" t="s">
        <v>8249</v>
      </c>
      <c r="I503" t="s">
        <v>8250</v>
      </c>
      <c r="J503" t="s">
        <v>8251</v>
      </c>
      <c r="K503" t="s">
        <v>8252</v>
      </c>
      <c r="L503">
        <v>26</v>
      </c>
      <c r="M503" t="s">
        <v>3866</v>
      </c>
      <c r="N503" t="s">
        <v>3817</v>
      </c>
      <c r="O503" t="s">
        <v>4290</v>
      </c>
      <c r="P503" t="s">
        <v>3868</v>
      </c>
      <c r="Q503" t="s">
        <v>3869</v>
      </c>
      <c r="R503" t="s">
        <v>3870</v>
      </c>
      <c r="S503" t="s">
        <v>3871</v>
      </c>
      <c r="T503" t="s">
        <v>3918</v>
      </c>
      <c r="U503">
        <v>2017</v>
      </c>
      <c r="V503">
        <v>49</v>
      </c>
      <c r="W503" t="s">
        <v>4259</v>
      </c>
      <c r="X503" t="s">
        <v>8253</v>
      </c>
      <c r="Y503" t="str">
        <f>HYPERLINK("http://dx.doi.org/10.1007/s00382-016-3364-4","http://dx.doi.org/10.1007/s00382-016-3364-4")</f>
        <v>http://dx.doi.org/10.1007/s00382-016-3364-4</v>
      </c>
      <c r="Z503" t="s">
        <v>3825</v>
      </c>
      <c r="AA503" t="s">
        <v>3826</v>
      </c>
      <c r="AB503" s="3">
        <v>45672</v>
      </c>
      <c r="AC503" t="s">
        <v>8254</v>
      </c>
      <c r="AD503" t="str">
        <f>HYPERLINK("https%3A%2F%2Fwww.webofscience.com%2Fwos%2Fwoscc%2Ffull-record%2FWOS:000403716500036","View Full Record in Web of Science")</f>
        <v>View Full Record in Web of Science</v>
      </c>
    </row>
    <row r="504" spans="1:30" x14ac:dyDescent="0.35">
      <c r="A504">
        <v>503</v>
      </c>
      <c r="B504" t="s">
        <v>3533</v>
      </c>
      <c r="C504" t="s">
        <v>8255</v>
      </c>
      <c r="D504" t="s">
        <v>3533</v>
      </c>
      <c r="E504" t="s">
        <v>2928</v>
      </c>
      <c r="F504" t="s">
        <v>3810</v>
      </c>
      <c r="G504" t="s">
        <v>8256</v>
      </c>
      <c r="H504" t="s">
        <v>8257</v>
      </c>
      <c r="I504" t="s">
        <v>8258</v>
      </c>
      <c r="J504" t="s">
        <v>8259</v>
      </c>
      <c r="K504" t="s">
        <v>8260</v>
      </c>
      <c r="L504">
        <v>3</v>
      </c>
      <c r="M504" t="s">
        <v>3911</v>
      </c>
      <c r="N504" t="s">
        <v>3912</v>
      </c>
      <c r="O504" t="s">
        <v>3913</v>
      </c>
      <c r="P504" t="s">
        <v>5129</v>
      </c>
      <c r="Q504" t="s">
        <v>5130</v>
      </c>
      <c r="R504" t="s">
        <v>5131</v>
      </c>
      <c r="S504" t="s">
        <v>5132</v>
      </c>
      <c r="T504" t="s">
        <v>8261</v>
      </c>
      <c r="U504">
        <v>2021</v>
      </c>
      <c r="V504">
        <v>126</v>
      </c>
      <c r="W504">
        <v>16</v>
      </c>
      <c r="X504" t="s">
        <v>8262</v>
      </c>
      <c r="Y504" t="str">
        <f>HYPERLINK("http://dx.doi.org/10.1029/2021JD034830","http://dx.doi.org/10.1029/2021JD034830")</f>
        <v>http://dx.doi.org/10.1029/2021JD034830</v>
      </c>
      <c r="Z504" t="s">
        <v>3825</v>
      </c>
      <c r="AA504" t="s">
        <v>3826</v>
      </c>
      <c r="AB504" s="3">
        <v>45672</v>
      </c>
      <c r="AC504" t="s">
        <v>8263</v>
      </c>
      <c r="AD504" t="str">
        <f>HYPERLINK("https%3A%2F%2Fwww.webofscience.com%2Fwos%2Fwoscc%2Ffull-record%2FWOS:000688706700003","View Full Record in Web of Science")</f>
        <v>View Full Record in Web of Science</v>
      </c>
    </row>
    <row r="505" spans="1:30" x14ac:dyDescent="0.35">
      <c r="A505">
        <v>504</v>
      </c>
      <c r="B505" t="s">
        <v>3534</v>
      </c>
      <c r="C505" t="s">
        <v>8264</v>
      </c>
      <c r="D505" t="s">
        <v>3534</v>
      </c>
      <c r="E505" t="s">
        <v>2894</v>
      </c>
      <c r="F505" t="s">
        <v>3810</v>
      </c>
      <c r="G505" t="s">
        <v>8265</v>
      </c>
      <c r="H505" t="s">
        <v>8266</v>
      </c>
      <c r="I505" t="s">
        <v>8267</v>
      </c>
      <c r="J505" t="s">
        <v>8268</v>
      </c>
      <c r="K505" t="s">
        <v>8269</v>
      </c>
      <c r="L505">
        <v>9</v>
      </c>
      <c r="M505" t="s">
        <v>4252</v>
      </c>
      <c r="N505" t="s">
        <v>4253</v>
      </c>
      <c r="O505" t="s">
        <v>4254</v>
      </c>
      <c r="P505" t="s">
        <v>4255</v>
      </c>
      <c r="Q505" t="s">
        <v>4256</v>
      </c>
      <c r="R505" t="s">
        <v>4257</v>
      </c>
      <c r="S505" t="s">
        <v>4258</v>
      </c>
      <c r="T505" t="s">
        <v>4137</v>
      </c>
      <c r="U505">
        <v>2019</v>
      </c>
      <c r="V505">
        <v>137</v>
      </c>
      <c r="W505" t="s">
        <v>4268</v>
      </c>
      <c r="X505" t="s">
        <v>8270</v>
      </c>
      <c r="Y505" t="str">
        <f>HYPERLINK("http://dx.doi.org/10.1007/s00704-019-02796-x","http://dx.doi.org/10.1007/s00704-019-02796-x")</f>
        <v>http://dx.doi.org/10.1007/s00704-019-02796-x</v>
      </c>
      <c r="Z505" t="s">
        <v>3825</v>
      </c>
      <c r="AA505" t="s">
        <v>3826</v>
      </c>
      <c r="AB505" s="3">
        <v>45672</v>
      </c>
      <c r="AC505" t="s">
        <v>8271</v>
      </c>
      <c r="AD505" t="str">
        <f>HYPERLINK("https%3A%2F%2Fwww.webofscience.com%2Fwos%2Fwoscc%2Ffull-record%2FWOS:000477054700101","View Full Record in Web of Science")</f>
        <v>View Full Record in Web of Science</v>
      </c>
    </row>
    <row r="506" spans="1:30" x14ac:dyDescent="0.35">
      <c r="A506">
        <v>505</v>
      </c>
      <c r="B506" t="s">
        <v>3535</v>
      </c>
      <c r="C506" t="s">
        <v>8272</v>
      </c>
      <c r="D506" t="s">
        <v>3535</v>
      </c>
      <c r="E506" t="s">
        <v>2976</v>
      </c>
      <c r="F506" t="s">
        <v>3810</v>
      </c>
      <c r="G506" t="s">
        <v>8273</v>
      </c>
      <c r="H506" t="s">
        <v>8274</v>
      </c>
      <c r="I506" t="s">
        <v>8275</v>
      </c>
      <c r="J506" t="s">
        <v>8276</v>
      </c>
      <c r="K506" t="s">
        <v>8277</v>
      </c>
      <c r="L506">
        <v>29</v>
      </c>
      <c r="M506" t="s">
        <v>7068</v>
      </c>
      <c r="N506" t="s">
        <v>7069</v>
      </c>
      <c r="O506" t="s">
        <v>7070</v>
      </c>
      <c r="P506" t="s">
        <v>7071</v>
      </c>
      <c r="Q506" t="s">
        <v>3808</v>
      </c>
      <c r="R506" t="s">
        <v>2976</v>
      </c>
      <c r="S506" t="s">
        <v>4055</v>
      </c>
      <c r="T506" t="s">
        <v>4163</v>
      </c>
      <c r="U506">
        <v>2015</v>
      </c>
      <c r="V506">
        <v>28</v>
      </c>
      <c r="W506">
        <v>4</v>
      </c>
      <c r="X506" t="s">
        <v>8278</v>
      </c>
      <c r="Y506" t="str">
        <f>HYPERLINK("http://dx.doi.org/10.5670/oceanog.2015.83","http://dx.doi.org/10.5670/oceanog.2015.83")</f>
        <v>http://dx.doi.org/10.5670/oceanog.2015.83</v>
      </c>
      <c r="Z506" t="s">
        <v>4055</v>
      </c>
      <c r="AA506" t="s">
        <v>3826</v>
      </c>
      <c r="AB506" s="3">
        <v>45672</v>
      </c>
      <c r="AC506" t="s">
        <v>8279</v>
      </c>
      <c r="AD506" t="str">
        <f>HYPERLINK("https%3A%2F%2Fwww.webofscience.com%2Fwos%2Fwoscc%2Ffull-record%2FWOS:000368447000010","View Full Record in Web of Science")</f>
        <v>View Full Record in Web of Science</v>
      </c>
    </row>
    <row r="507" spans="1:30" x14ac:dyDescent="0.35">
      <c r="A507">
        <v>506</v>
      </c>
      <c r="B507" t="s">
        <v>3536</v>
      </c>
      <c r="C507" t="s">
        <v>8280</v>
      </c>
      <c r="D507" t="s">
        <v>3536</v>
      </c>
      <c r="E507" t="s">
        <v>2887</v>
      </c>
      <c r="F507" t="s">
        <v>3810</v>
      </c>
      <c r="G507" t="s">
        <v>8281</v>
      </c>
      <c r="H507" t="s">
        <v>8282</v>
      </c>
      <c r="I507" t="s">
        <v>8283</v>
      </c>
      <c r="J507" t="s">
        <v>8284</v>
      </c>
      <c r="K507" t="s">
        <v>8285</v>
      </c>
      <c r="L507">
        <v>11</v>
      </c>
      <c r="M507" t="s">
        <v>3850</v>
      </c>
      <c r="N507" t="s">
        <v>3851</v>
      </c>
      <c r="O507" t="s">
        <v>3852</v>
      </c>
      <c r="P507" t="s">
        <v>4188</v>
      </c>
      <c r="Q507" t="s">
        <v>4189</v>
      </c>
      <c r="R507" t="s">
        <v>4190</v>
      </c>
      <c r="S507" t="s">
        <v>4191</v>
      </c>
      <c r="T507" t="s">
        <v>3918</v>
      </c>
      <c r="U507">
        <v>2016</v>
      </c>
      <c r="V507">
        <v>23</v>
      </c>
      <c r="W507">
        <v>3</v>
      </c>
      <c r="X507" t="s">
        <v>8286</v>
      </c>
      <c r="Y507" t="str">
        <f>HYPERLINK("http://dx.doi.org/10.1002/met.1567","http://dx.doi.org/10.1002/met.1567")</f>
        <v>http://dx.doi.org/10.1002/met.1567</v>
      </c>
      <c r="Z507" t="s">
        <v>3825</v>
      </c>
      <c r="AA507" t="s">
        <v>3826</v>
      </c>
      <c r="AB507" s="3">
        <v>45672</v>
      </c>
      <c r="AC507" t="s">
        <v>8287</v>
      </c>
      <c r="AD507" t="str">
        <f>HYPERLINK("https%3A%2F%2Fwww.webofscience.com%2Fwos%2Fwoscc%2Ffull-record%2FWOS:000389131000009","View Full Record in Web of Science")</f>
        <v>View Full Record in Web of Science</v>
      </c>
    </row>
    <row r="508" spans="1:30" x14ac:dyDescent="0.35">
      <c r="A508">
        <v>507</v>
      </c>
      <c r="B508" t="s">
        <v>3537</v>
      </c>
      <c r="C508" t="s">
        <v>8288</v>
      </c>
      <c r="D508" t="s">
        <v>3537</v>
      </c>
      <c r="E508" t="s">
        <v>2894</v>
      </c>
      <c r="F508" t="s">
        <v>3810</v>
      </c>
      <c r="G508" t="s">
        <v>8289</v>
      </c>
      <c r="H508" t="s">
        <v>8290</v>
      </c>
      <c r="I508" t="s">
        <v>8291</v>
      </c>
      <c r="J508" t="s">
        <v>8292</v>
      </c>
      <c r="K508" t="s">
        <v>8293</v>
      </c>
      <c r="L508">
        <v>4</v>
      </c>
      <c r="M508" t="s">
        <v>4252</v>
      </c>
      <c r="N508" t="s">
        <v>4253</v>
      </c>
      <c r="O508" t="s">
        <v>4254</v>
      </c>
      <c r="P508" t="s">
        <v>4255</v>
      </c>
      <c r="Q508" t="s">
        <v>4256</v>
      </c>
      <c r="R508" t="s">
        <v>4257</v>
      </c>
      <c r="S508" t="s">
        <v>4258</v>
      </c>
      <c r="T508" t="s">
        <v>5045</v>
      </c>
      <c r="U508">
        <v>2022</v>
      </c>
      <c r="V508">
        <v>148</v>
      </c>
      <c r="W508" t="s">
        <v>4259</v>
      </c>
      <c r="X508" t="s">
        <v>8294</v>
      </c>
      <c r="Y508" t="str">
        <f>HYPERLINK("http://dx.doi.org/10.1007/s00704-021-03917-1","http://dx.doi.org/10.1007/s00704-021-03917-1")</f>
        <v>http://dx.doi.org/10.1007/s00704-021-03917-1</v>
      </c>
      <c r="Z508" t="s">
        <v>3825</v>
      </c>
      <c r="AA508" t="s">
        <v>3826</v>
      </c>
      <c r="AB508" s="3">
        <v>45672</v>
      </c>
      <c r="AC508" t="s">
        <v>8295</v>
      </c>
      <c r="AD508" t="str">
        <f>HYPERLINK("https%3A%2F%2Fwww.webofscience.com%2Fwos%2Fwoscc%2Ffull-record%2FWOS:000744391600002","View Full Record in Web of Science")</f>
        <v>View Full Record in Web of Science</v>
      </c>
    </row>
    <row r="509" spans="1:30" x14ac:dyDescent="0.35">
      <c r="A509">
        <v>508</v>
      </c>
      <c r="B509" t="s">
        <v>3538</v>
      </c>
      <c r="C509" t="s">
        <v>8296</v>
      </c>
      <c r="D509" t="s">
        <v>3538</v>
      </c>
      <c r="E509" t="s">
        <v>2867</v>
      </c>
      <c r="F509" t="s">
        <v>3810</v>
      </c>
      <c r="G509" t="s">
        <v>8297</v>
      </c>
      <c r="H509" t="s">
        <v>8298</v>
      </c>
      <c r="I509" t="s">
        <v>8299</v>
      </c>
      <c r="J509" t="s">
        <v>8300</v>
      </c>
      <c r="K509" t="s">
        <v>8301</v>
      </c>
      <c r="L509">
        <v>9</v>
      </c>
      <c r="M509" t="s">
        <v>3866</v>
      </c>
      <c r="N509" t="s">
        <v>3817</v>
      </c>
      <c r="O509" t="s">
        <v>3867</v>
      </c>
      <c r="P509" t="s">
        <v>3868</v>
      </c>
      <c r="Q509" t="s">
        <v>3869</v>
      </c>
      <c r="R509" t="s">
        <v>3870</v>
      </c>
      <c r="S509" t="s">
        <v>3871</v>
      </c>
      <c r="T509" t="s">
        <v>3932</v>
      </c>
      <c r="U509">
        <v>2019</v>
      </c>
      <c r="V509">
        <v>52</v>
      </c>
      <c r="W509" t="s">
        <v>5232</v>
      </c>
      <c r="X509" t="s">
        <v>8302</v>
      </c>
      <c r="Y509" t="str">
        <f>HYPERLINK("http://dx.doi.org/10.1007/s00382-018-4438-2","http://dx.doi.org/10.1007/s00382-018-4438-2")</f>
        <v>http://dx.doi.org/10.1007/s00382-018-4438-2</v>
      </c>
      <c r="Z509" t="s">
        <v>3825</v>
      </c>
      <c r="AA509" t="s">
        <v>3826</v>
      </c>
      <c r="AB509" s="3">
        <v>45672</v>
      </c>
      <c r="AC509" t="s">
        <v>8303</v>
      </c>
      <c r="AD509" t="str">
        <f>HYPERLINK("https%3A%2F%2Fwww.webofscience.com%2Fwos%2Fwoscc%2Ffull-record%2FWOS:000465441400006","View Full Record in Web of Science")</f>
        <v>View Full Record in Web of Science</v>
      </c>
    </row>
    <row r="510" spans="1:30" x14ac:dyDescent="0.35">
      <c r="A510">
        <v>509</v>
      </c>
      <c r="B510" t="s">
        <v>3539</v>
      </c>
      <c r="C510" t="s">
        <v>8304</v>
      </c>
      <c r="D510" t="s">
        <v>3539</v>
      </c>
      <c r="E510" t="s">
        <v>2864</v>
      </c>
      <c r="F510" t="s">
        <v>3810</v>
      </c>
      <c r="G510" t="s">
        <v>8305</v>
      </c>
      <c r="H510" t="s">
        <v>8306</v>
      </c>
      <c r="I510" t="s">
        <v>8307</v>
      </c>
      <c r="J510" t="s">
        <v>8308</v>
      </c>
      <c r="K510" t="s">
        <v>8309</v>
      </c>
      <c r="L510">
        <v>16</v>
      </c>
      <c r="M510" t="s">
        <v>3834</v>
      </c>
      <c r="N510" t="s">
        <v>3835</v>
      </c>
      <c r="O510" t="s">
        <v>3836</v>
      </c>
      <c r="P510" t="s">
        <v>3837</v>
      </c>
      <c r="Q510" t="s">
        <v>3838</v>
      </c>
      <c r="R510" t="s">
        <v>3839</v>
      </c>
      <c r="S510" t="s">
        <v>3840</v>
      </c>
      <c r="T510" t="s">
        <v>3808</v>
      </c>
      <c r="U510">
        <v>2017</v>
      </c>
      <c r="V510">
        <v>2017</v>
      </c>
      <c r="W510" t="s">
        <v>3808</v>
      </c>
      <c r="X510" t="s">
        <v>8310</v>
      </c>
      <c r="Y510" t="str">
        <f>HYPERLINK("http://dx.doi.org/10.1155/2017/2620798","http://dx.doi.org/10.1155/2017/2620798")</f>
        <v>http://dx.doi.org/10.1155/2017/2620798</v>
      </c>
      <c r="Z510" t="s">
        <v>3825</v>
      </c>
      <c r="AA510" t="s">
        <v>3826</v>
      </c>
      <c r="AB510" s="3">
        <v>45672</v>
      </c>
      <c r="AC510" t="s">
        <v>8311</v>
      </c>
      <c r="AD510" t="str">
        <f>HYPERLINK("https%3A%2F%2Fwww.webofscience.com%2Fwos%2Fwoscc%2Ffull-record%2FWOS:000395156600001","View Full Record in Web of Science")</f>
        <v>View Full Record in Web of Science</v>
      </c>
    </row>
    <row r="511" spans="1:30" x14ac:dyDescent="0.35">
      <c r="A511">
        <v>510</v>
      </c>
      <c r="B511" t="s">
        <v>3540</v>
      </c>
      <c r="C511" t="s">
        <v>8312</v>
      </c>
      <c r="D511" t="s">
        <v>3540</v>
      </c>
      <c r="E511" t="s">
        <v>2894</v>
      </c>
      <c r="F511" t="s">
        <v>3810</v>
      </c>
      <c r="G511" t="s">
        <v>8313</v>
      </c>
      <c r="H511" t="s">
        <v>8314</v>
      </c>
      <c r="I511" t="s">
        <v>8315</v>
      </c>
      <c r="J511" t="s">
        <v>8316</v>
      </c>
      <c r="K511" t="s">
        <v>8317</v>
      </c>
      <c r="L511">
        <v>50</v>
      </c>
      <c r="M511" t="s">
        <v>4252</v>
      </c>
      <c r="N511" t="s">
        <v>4253</v>
      </c>
      <c r="O511" t="s">
        <v>4254</v>
      </c>
      <c r="P511" t="s">
        <v>4255</v>
      </c>
      <c r="Q511" t="s">
        <v>4256</v>
      </c>
      <c r="R511" t="s">
        <v>4257</v>
      </c>
      <c r="S511" t="s">
        <v>4258</v>
      </c>
      <c r="T511" t="s">
        <v>3958</v>
      </c>
      <c r="U511">
        <v>2016</v>
      </c>
      <c r="V511">
        <v>126</v>
      </c>
      <c r="W511" t="s">
        <v>4268</v>
      </c>
      <c r="X511" t="s">
        <v>8318</v>
      </c>
      <c r="Y511" t="str">
        <f>HYPERLINK("http://dx.doi.org/10.1007/s00704-015-1580-1","http://dx.doi.org/10.1007/s00704-015-1580-1")</f>
        <v>http://dx.doi.org/10.1007/s00704-015-1580-1</v>
      </c>
      <c r="Z511" t="s">
        <v>3825</v>
      </c>
      <c r="AA511" t="s">
        <v>3826</v>
      </c>
      <c r="AB511" s="3">
        <v>45672</v>
      </c>
      <c r="AC511" t="s">
        <v>8319</v>
      </c>
      <c r="AD511" t="str">
        <f>HYPERLINK("https%3A%2F%2Fwww.webofscience.com%2Fwos%2Fwoscc%2Ffull-record%2FWOS:000386071900004","View Full Record in Web of Science")</f>
        <v>View Full Record in Web of Science</v>
      </c>
    </row>
    <row r="512" spans="1:30" x14ac:dyDescent="0.35">
      <c r="A512">
        <v>511</v>
      </c>
      <c r="B512" t="s">
        <v>3541</v>
      </c>
      <c r="C512" t="s">
        <v>8320</v>
      </c>
      <c r="D512" t="s">
        <v>3541</v>
      </c>
      <c r="E512" t="s">
        <v>3002</v>
      </c>
      <c r="F512" t="s">
        <v>3810</v>
      </c>
      <c r="G512" t="s">
        <v>8321</v>
      </c>
      <c r="H512" t="s">
        <v>8322</v>
      </c>
      <c r="I512" t="s">
        <v>8323</v>
      </c>
      <c r="J512" t="s">
        <v>8324</v>
      </c>
      <c r="K512" t="s">
        <v>8325</v>
      </c>
      <c r="L512">
        <v>1</v>
      </c>
      <c r="M512" t="s">
        <v>3880</v>
      </c>
      <c r="N512" t="s">
        <v>3881</v>
      </c>
      <c r="O512" t="s">
        <v>3882</v>
      </c>
      <c r="P512" t="s">
        <v>8326</v>
      </c>
      <c r="Q512" t="s">
        <v>8327</v>
      </c>
      <c r="R512" t="s">
        <v>3002</v>
      </c>
      <c r="S512" t="s">
        <v>8328</v>
      </c>
      <c r="T512" t="s">
        <v>8329</v>
      </c>
      <c r="U512">
        <v>2023</v>
      </c>
      <c r="V512">
        <v>7</v>
      </c>
      <c r="W512">
        <v>2</v>
      </c>
      <c r="X512" t="s">
        <v>8330</v>
      </c>
      <c r="Y512" t="str">
        <f>HYPERLINK("http://dx.doi.org/10.1080/20964471.2023.2171581","http://dx.doi.org/10.1080/20964471.2023.2171581")</f>
        <v>http://dx.doi.org/10.1080/20964471.2023.2171581</v>
      </c>
      <c r="Z512" t="s">
        <v>8331</v>
      </c>
      <c r="AA512" t="s">
        <v>4117</v>
      </c>
      <c r="AB512" s="3">
        <v>45672</v>
      </c>
      <c r="AC512" t="s">
        <v>8332</v>
      </c>
      <c r="AD512" t="str">
        <f>HYPERLINK("https%3A%2F%2Fwww.webofscience.com%2Fwos%2Fwoscc%2Ffull-record%2FWOS:000935118300001","View Full Record in Web of Science")</f>
        <v>View Full Record in Web of Science</v>
      </c>
    </row>
    <row r="513" spans="1:30" x14ac:dyDescent="0.35">
      <c r="A513">
        <v>512</v>
      </c>
      <c r="B513" t="s">
        <v>3542</v>
      </c>
      <c r="C513" t="s">
        <v>8333</v>
      </c>
      <c r="D513" t="s">
        <v>3542</v>
      </c>
      <c r="E513" t="s">
        <v>2920</v>
      </c>
      <c r="F513" t="s">
        <v>3810</v>
      </c>
      <c r="G513" t="s">
        <v>8334</v>
      </c>
      <c r="H513" t="s">
        <v>8335</v>
      </c>
      <c r="I513" t="s">
        <v>8336</v>
      </c>
      <c r="J513" t="s">
        <v>8337</v>
      </c>
      <c r="K513" t="s">
        <v>8338</v>
      </c>
      <c r="L513">
        <v>13</v>
      </c>
      <c r="M513" t="s">
        <v>4046</v>
      </c>
      <c r="N513" t="s">
        <v>4047</v>
      </c>
      <c r="O513" t="s">
        <v>4048</v>
      </c>
      <c r="P513" t="s">
        <v>4835</v>
      </c>
      <c r="Q513" t="s">
        <v>4836</v>
      </c>
      <c r="R513" t="s">
        <v>4837</v>
      </c>
      <c r="S513" t="s">
        <v>4838</v>
      </c>
      <c r="T513" t="s">
        <v>8339</v>
      </c>
      <c r="U513">
        <v>2014</v>
      </c>
      <c r="V513">
        <v>325</v>
      </c>
      <c r="W513" t="s">
        <v>3808</v>
      </c>
      <c r="X513" t="s">
        <v>8340</v>
      </c>
      <c r="Y513" t="str">
        <f>HYPERLINK("http://dx.doi.org/10.1016/j.quaint.2013.07.048","http://dx.doi.org/10.1016/j.quaint.2013.07.048")</f>
        <v>http://dx.doi.org/10.1016/j.quaint.2013.07.048</v>
      </c>
      <c r="Z513" t="s">
        <v>4203</v>
      </c>
      <c r="AA513" t="s">
        <v>3826</v>
      </c>
      <c r="AB513" s="3">
        <v>45672</v>
      </c>
      <c r="AC513" t="s">
        <v>8341</v>
      </c>
      <c r="AD513" t="str">
        <f>HYPERLINK("https%3A%2F%2Fwww.webofscience.com%2Fwos%2Fwoscc%2Ffull-record%2FWOS:000334088500022","View Full Record in Web of Science")</f>
        <v>View Full Record in Web of Science</v>
      </c>
    </row>
    <row r="514" spans="1:30" x14ac:dyDescent="0.35">
      <c r="A514">
        <v>513</v>
      </c>
      <c r="B514" t="s">
        <v>3543</v>
      </c>
      <c r="C514" t="s">
        <v>8342</v>
      </c>
      <c r="D514" t="s">
        <v>3543</v>
      </c>
      <c r="E514" t="s">
        <v>2866</v>
      </c>
      <c r="F514" t="s">
        <v>3810</v>
      </c>
      <c r="G514" t="s">
        <v>8343</v>
      </c>
      <c r="H514" t="s">
        <v>8344</v>
      </c>
      <c r="I514" t="s">
        <v>8022</v>
      </c>
      <c r="J514" t="s">
        <v>8345</v>
      </c>
      <c r="K514" t="s">
        <v>8346</v>
      </c>
      <c r="L514">
        <v>27</v>
      </c>
      <c r="M514" t="s">
        <v>3850</v>
      </c>
      <c r="N514" t="s">
        <v>3851</v>
      </c>
      <c r="O514" t="s">
        <v>3852</v>
      </c>
      <c r="P514" t="s">
        <v>3853</v>
      </c>
      <c r="Q514" t="s">
        <v>3854</v>
      </c>
      <c r="R514" t="s">
        <v>3855</v>
      </c>
      <c r="S514" t="s">
        <v>3856</v>
      </c>
      <c r="T514" t="s">
        <v>4163</v>
      </c>
      <c r="U514">
        <v>2015</v>
      </c>
      <c r="V514">
        <v>35</v>
      </c>
      <c r="W514">
        <v>15</v>
      </c>
      <c r="X514" t="s">
        <v>8347</v>
      </c>
      <c r="Y514" t="str">
        <f>HYPERLINK("http://dx.doi.org/10.1002/joc.4301","http://dx.doi.org/10.1002/joc.4301")</f>
        <v>http://dx.doi.org/10.1002/joc.4301</v>
      </c>
      <c r="Z514" t="s">
        <v>3825</v>
      </c>
      <c r="AA514" t="s">
        <v>3826</v>
      </c>
      <c r="AB514" s="3">
        <v>45672</v>
      </c>
      <c r="AC514" t="s">
        <v>8348</v>
      </c>
      <c r="AD514" t="str">
        <f>HYPERLINK("https%3A%2F%2Fwww.webofscience.com%2Fwos%2Fwoscc%2Ffull-record%2FWOS:000367733700006","View Full Record in Web of Science")</f>
        <v>View Full Record in Web of Science</v>
      </c>
    </row>
    <row r="515" spans="1:30" x14ac:dyDescent="0.35">
      <c r="A515">
        <v>514</v>
      </c>
      <c r="B515" t="s">
        <v>3544</v>
      </c>
      <c r="C515" t="s">
        <v>6401</v>
      </c>
      <c r="D515" t="s">
        <v>3544</v>
      </c>
      <c r="E515" t="s">
        <v>2929</v>
      </c>
      <c r="F515" t="s">
        <v>3810</v>
      </c>
      <c r="G515" t="s">
        <v>8349</v>
      </c>
      <c r="H515" t="s">
        <v>8350</v>
      </c>
      <c r="I515" t="s">
        <v>6385</v>
      </c>
      <c r="J515" t="s">
        <v>5764</v>
      </c>
      <c r="K515" t="s">
        <v>8351</v>
      </c>
      <c r="L515">
        <v>44</v>
      </c>
      <c r="M515" t="s">
        <v>5142</v>
      </c>
      <c r="N515" t="s">
        <v>5143</v>
      </c>
      <c r="O515" t="s">
        <v>5144</v>
      </c>
      <c r="P515" t="s">
        <v>5145</v>
      </c>
      <c r="Q515" t="s">
        <v>5146</v>
      </c>
      <c r="R515" t="s">
        <v>5147</v>
      </c>
      <c r="S515" t="s">
        <v>5148</v>
      </c>
      <c r="T515" t="s">
        <v>3958</v>
      </c>
      <c r="U515">
        <v>2017</v>
      </c>
      <c r="V515">
        <v>53</v>
      </c>
      <c r="W515">
        <v>4</v>
      </c>
      <c r="X515" t="s">
        <v>8352</v>
      </c>
      <c r="Y515" t="str">
        <f>HYPERLINK("http://dx.doi.org/10.1007/s13143-017-0051-2","http://dx.doi.org/10.1007/s13143-017-0051-2")</f>
        <v>http://dx.doi.org/10.1007/s13143-017-0051-2</v>
      </c>
      <c r="Z515" t="s">
        <v>3825</v>
      </c>
      <c r="AA515" t="s">
        <v>3826</v>
      </c>
      <c r="AB515" s="3">
        <v>45672</v>
      </c>
      <c r="AC515" t="s">
        <v>8353</v>
      </c>
      <c r="AD515" t="str">
        <f>HYPERLINK("https%3A%2F%2Fwww.webofscience.com%2Fwos%2Fwoscc%2Ffull-record%2FWOS:000416476200007","View Full Record in Web of Science")</f>
        <v>View Full Record in Web of Science</v>
      </c>
    </row>
    <row r="516" spans="1:30" x14ac:dyDescent="0.35">
      <c r="A516">
        <v>515</v>
      </c>
      <c r="B516" t="s">
        <v>3545</v>
      </c>
      <c r="C516" t="s">
        <v>8354</v>
      </c>
      <c r="D516" t="s">
        <v>3545</v>
      </c>
      <c r="E516" t="s">
        <v>2877</v>
      </c>
      <c r="F516" t="s">
        <v>3810</v>
      </c>
      <c r="G516" t="s">
        <v>8355</v>
      </c>
      <c r="H516" t="s">
        <v>8356</v>
      </c>
      <c r="I516" t="s">
        <v>8357</v>
      </c>
      <c r="K516" t="s">
        <v>3808</v>
      </c>
      <c r="L516">
        <v>0</v>
      </c>
      <c r="M516" t="s">
        <v>4033</v>
      </c>
      <c r="N516" t="s">
        <v>4034</v>
      </c>
      <c r="O516" t="s">
        <v>5063</v>
      </c>
      <c r="P516" t="s">
        <v>4036</v>
      </c>
      <c r="Q516" t="s">
        <v>4037</v>
      </c>
      <c r="R516" t="s">
        <v>4038</v>
      </c>
      <c r="S516" t="s">
        <v>4039</v>
      </c>
      <c r="T516" t="s">
        <v>5045</v>
      </c>
      <c r="U516">
        <v>2023</v>
      </c>
      <c r="V516">
        <v>36</v>
      </c>
      <c r="W516">
        <v>9</v>
      </c>
      <c r="X516" t="s">
        <v>8358</v>
      </c>
      <c r="Y516" t="str">
        <f>HYPERLINK("http://dx.doi.org/10.1175/JCLI-D-21-0668.1","http://dx.doi.org/10.1175/JCLI-D-21-0668.1")</f>
        <v>http://dx.doi.org/10.1175/JCLI-D-21-0668.1</v>
      </c>
      <c r="Z516" t="s">
        <v>3825</v>
      </c>
      <c r="AA516" t="s">
        <v>3826</v>
      </c>
      <c r="AB516" s="3">
        <v>45672</v>
      </c>
      <c r="AC516" t="s">
        <v>8359</v>
      </c>
      <c r="AD516" t="str">
        <f>HYPERLINK("https%3A%2F%2Fwww.webofscience.com%2Fwos%2Fwoscc%2Ffull-record%2FWOS:001028260400001","View Full Record in Web of Science")</f>
        <v>View Full Record in Web of Science</v>
      </c>
    </row>
    <row r="517" spans="1:30" x14ac:dyDescent="0.35">
      <c r="A517">
        <v>516</v>
      </c>
      <c r="B517" t="s">
        <v>3546</v>
      </c>
      <c r="C517" t="s">
        <v>8360</v>
      </c>
      <c r="D517" t="s">
        <v>3546</v>
      </c>
      <c r="E517" t="s">
        <v>2867</v>
      </c>
      <c r="F517" t="s">
        <v>3810</v>
      </c>
      <c r="G517" t="s">
        <v>8361</v>
      </c>
      <c r="H517" t="s">
        <v>8362</v>
      </c>
      <c r="I517" t="s">
        <v>8363</v>
      </c>
      <c r="J517" t="s">
        <v>8364</v>
      </c>
      <c r="K517" t="s">
        <v>8365</v>
      </c>
      <c r="L517">
        <v>7</v>
      </c>
      <c r="M517" t="s">
        <v>3866</v>
      </c>
      <c r="N517" t="s">
        <v>3817</v>
      </c>
      <c r="O517" t="s">
        <v>3867</v>
      </c>
      <c r="P517" t="s">
        <v>3868</v>
      </c>
      <c r="Q517" t="s">
        <v>3869</v>
      </c>
      <c r="R517" t="s">
        <v>3870</v>
      </c>
      <c r="S517" t="s">
        <v>3871</v>
      </c>
      <c r="T517" t="s">
        <v>4163</v>
      </c>
      <c r="U517">
        <v>2021</v>
      </c>
      <c r="V517">
        <v>57</v>
      </c>
      <c r="W517" t="s">
        <v>4483</v>
      </c>
      <c r="X517" t="s">
        <v>8366</v>
      </c>
      <c r="Y517" t="str">
        <f>HYPERLINK("http://dx.doi.org/10.1007/s00382-021-05882-x","http://dx.doi.org/10.1007/s00382-021-05882-x")</f>
        <v>http://dx.doi.org/10.1007/s00382-021-05882-x</v>
      </c>
      <c r="Z517" t="s">
        <v>3825</v>
      </c>
      <c r="AA517" t="s">
        <v>3826</v>
      </c>
      <c r="AB517" s="3">
        <v>45672</v>
      </c>
      <c r="AC517" t="s">
        <v>8367</v>
      </c>
      <c r="AD517" t="str">
        <f>HYPERLINK("https%3A%2F%2Fwww.webofscience.com%2Fwos%2Fwoscc%2Ffull-record%2FWOS:000672443700001","View Full Record in Web of Science")</f>
        <v>View Full Record in Web of Science</v>
      </c>
    </row>
    <row r="518" spans="1:30" x14ac:dyDescent="0.35">
      <c r="A518">
        <v>517</v>
      </c>
      <c r="B518" t="s">
        <v>3547</v>
      </c>
      <c r="C518" t="s">
        <v>8368</v>
      </c>
      <c r="D518" t="s">
        <v>3547</v>
      </c>
      <c r="E518" t="s">
        <v>2867</v>
      </c>
      <c r="F518" t="s">
        <v>3810</v>
      </c>
      <c r="G518" t="s">
        <v>8369</v>
      </c>
      <c r="H518" t="s">
        <v>8370</v>
      </c>
      <c r="I518" t="s">
        <v>8371</v>
      </c>
      <c r="J518" t="s">
        <v>8372</v>
      </c>
      <c r="K518" t="s">
        <v>8373</v>
      </c>
      <c r="L518">
        <v>98</v>
      </c>
      <c r="M518" t="s">
        <v>3866</v>
      </c>
      <c r="N518" t="s">
        <v>3817</v>
      </c>
      <c r="O518" t="s">
        <v>3867</v>
      </c>
      <c r="P518" t="s">
        <v>3868</v>
      </c>
      <c r="Q518" t="s">
        <v>3869</v>
      </c>
      <c r="R518" t="s">
        <v>3870</v>
      </c>
      <c r="S518" t="s">
        <v>3871</v>
      </c>
      <c r="T518" t="s">
        <v>3872</v>
      </c>
      <c r="U518">
        <v>2020</v>
      </c>
      <c r="V518">
        <v>55</v>
      </c>
      <c r="W518" t="s">
        <v>3873</v>
      </c>
      <c r="X518" t="s">
        <v>8374</v>
      </c>
      <c r="Y518" t="str">
        <f>HYPERLINK("http://dx.doi.org/10.1007/s00382-020-05322-2","http://dx.doi.org/10.1007/s00382-020-05322-2")</f>
        <v>http://dx.doi.org/10.1007/s00382-020-05322-2</v>
      </c>
      <c r="Z518" t="s">
        <v>3825</v>
      </c>
      <c r="AA518" t="s">
        <v>3826</v>
      </c>
      <c r="AB518" s="3">
        <v>45672</v>
      </c>
      <c r="AC518" t="s">
        <v>8375</v>
      </c>
      <c r="AD518" t="str">
        <f>HYPERLINK("https%3A%2F%2Fwww.webofscience.com%2Fwos%2Fwoscc%2Ffull-record%2FWOS:000539478000001","View Full Record in Web of Science")</f>
        <v>View Full Record in Web of Science</v>
      </c>
    </row>
    <row r="519" spans="1:30" x14ac:dyDescent="0.35">
      <c r="A519">
        <v>518</v>
      </c>
      <c r="B519" t="s">
        <v>3548</v>
      </c>
      <c r="C519" t="s">
        <v>8376</v>
      </c>
      <c r="D519" t="s">
        <v>3548</v>
      </c>
      <c r="E519" t="s">
        <v>2877</v>
      </c>
      <c r="F519" t="s">
        <v>3810</v>
      </c>
      <c r="G519" t="s">
        <v>8377</v>
      </c>
      <c r="H519" t="s">
        <v>8378</v>
      </c>
      <c r="I519" t="s">
        <v>8379</v>
      </c>
      <c r="J519" t="s">
        <v>8380</v>
      </c>
      <c r="K519" t="s">
        <v>8381</v>
      </c>
      <c r="L519">
        <v>26</v>
      </c>
      <c r="M519" t="s">
        <v>4033</v>
      </c>
      <c r="N519" t="s">
        <v>4034</v>
      </c>
      <c r="O519" t="s">
        <v>4035</v>
      </c>
      <c r="P519" t="s">
        <v>4036</v>
      </c>
      <c r="Q519" t="s">
        <v>4037</v>
      </c>
      <c r="R519" t="s">
        <v>4038</v>
      </c>
      <c r="S519" t="s">
        <v>4039</v>
      </c>
      <c r="T519" t="s">
        <v>3958</v>
      </c>
      <c r="U519">
        <v>2019</v>
      </c>
      <c r="V519">
        <v>32</v>
      </c>
      <c r="W519">
        <v>21</v>
      </c>
      <c r="X519" t="s">
        <v>8382</v>
      </c>
      <c r="Y519" t="str">
        <f>HYPERLINK("http://dx.doi.org/10.1175/JCLI-D-18-0785.1","http://dx.doi.org/10.1175/JCLI-D-18-0785.1")</f>
        <v>http://dx.doi.org/10.1175/JCLI-D-18-0785.1</v>
      </c>
      <c r="Z519" t="s">
        <v>3825</v>
      </c>
      <c r="AA519" t="s">
        <v>3826</v>
      </c>
      <c r="AB519" s="3">
        <v>45672</v>
      </c>
      <c r="AC519" t="s">
        <v>8383</v>
      </c>
      <c r="AD519" t="str">
        <f>HYPERLINK("https%3A%2F%2Fwww.webofscience.com%2Fwos%2Fwoscc%2Ffull-record%2FWOS:000496227000003","View Full Record in Web of Science")</f>
        <v>View Full Record in Web of Science</v>
      </c>
    </row>
    <row r="520" spans="1:30" x14ac:dyDescent="0.35">
      <c r="A520">
        <v>519</v>
      </c>
      <c r="B520" t="s">
        <v>3549</v>
      </c>
      <c r="C520" t="s">
        <v>8384</v>
      </c>
      <c r="D520" t="s">
        <v>3549</v>
      </c>
      <c r="E520" t="s">
        <v>2923</v>
      </c>
      <c r="F520" t="s">
        <v>3810</v>
      </c>
      <c r="G520" t="s">
        <v>8385</v>
      </c>
      <c r="H520" t="s">
        <v>8386</v>
      </c>
      <c r="I520" t="s">
        <v>8387</v>
      </c>
      <c r="J520" t="s">
        <v>8388</v>
      </c>
      <c r="K520" t="s">
        <v>8389</v>
      </c>
      <c r="L520">
        <v>10</v>
      </c>
      <c r="M520" t="s">
        <v>4922</v>
      </c>
      <c r="N520" t="s">
        <v>4109</v>
      </c>
      <c r="O520" t="s">
        <v>4923</v>
      </c>
      <c r="P520" t="s">
        <v>4924</v>
      </c>
      <c r="Q520" t="s">
        <v>4925</v>
      </c>
      <c r="R520" t="s">
        <v>4926</v>
      </c>
      <c r="S520" t="s">
        <v>4927</v>
      </c>
      <c r="T520" t="s">
        <v>3958</v>
      </c>
      <c r="U520">
        <v>2014</v>
      </c>
      <c r="V520">
        <v>57</v>
      </c>
      <c r="W520">
        <v>11</v>
      </c>
      <c r="X520" t="s">
        <v>8390</v>
      </c>
      <c r="Y520" t="str">
        <f>HYPERLINK("http://dx.doi.org/10.1007/s11430-014-4891-7","http://dx.doi.org/10.1007/s11430-014-4891-7")</f>
        <v>http://dx.doi.org/10.1007/s11430-014-4891-7</v>
      </c>
      <c r="Z520" t="s">
        <v>4116</v>
      </c>
      <c r="AA520" t="s">
        <v>3826</v>
      </c>
      <c r="AB520" s="3">
        <v>45672</v>
      </c>
      <c r="AC520" t="s">
        <v>8391</v>
      </c>
      <c r="AD520" t="str">
        <f>HYPERLINK("https%3A%2F%2Fwww.webofscience.com%2Fwos%2Fwoscc%2Ffull-record%2FWOS:000344784400007","View Full Record in Web of Science")</f>
        <v>View Full Record in Web of Science</v>
      </c>
    </row>
    <row r="521" spans="1:30" x14ac:dyDescent="0.35">
      <c r="A521">
        <v>520</v>
      </c>
      <c r="B521" t="s">
        <v>3550</v>
      </c>
      <c r="C521" t="s">
        <v>8392</v>
      </c>
      <c r="D521" t="s">
        <v>3550</v>
      </c>
      <c r="E521" t="s">
        <v>2984</v>
      </c>
      <c r="F521" t="s">
        <v>3810</v>
      </c>
      <c r="G521" t="s">
        <v>8393</v>
      </c>
      <c r="H521" t="s">
        <v>8394</v>
      </c>
      <c r="I521" t="s">
        <v>8395</v>
      </c>
      <c r="K521" t="s">
        <v>3808</v>
      </c>
      <c r="L521">
        <v>0</v>
      </c>
      <c r="M521" t="s">
        <v>7378</v>
      </c>
      <c r="N521" t="s">
        <v>7379</v>
      </c>
      <c r="O521" t="s">
        <v>7380</v>
      </c>
      <c r="P521" t="s">
        <v>7381</v>
      </c>
      <c r="Q521" t="s">
        <v>3808</v>
      </c>
      <c r="R521" t="s">
        <v>2984</v>
      </c>
      <c r="S521" t="s">
        <v>7382</v>
      </c>
      <c r="T521" t="s">
        <v>3918</v>
      </c>
      <c r="U521">
        <v>2022</v>
      </c>
      <c r="V521">
        <v>73</v>
      </c>
      <c r="W521">
        <v>3</v>
      </c>
      <c r="X521" t="s">
        <v>8396</v>
      </c>
      <c r="Y521" t="str">
        <f>HYPERLINK("http://dx.doi.org/10.54302/mausam.v73i3.5373","http://dx.doi.org/10.54302/mausam.v73i3.5373")</f>
        <v>http://dx.doi.org/10.54302/mausam.v73i3.5373</v>
      </c>
      <c r="Z521" t="s">
        <v>3825</v>
      </c>
      <c r="AA521" t="s">
        <v>3826</v>
      </c>
      <c r="AB521" s="3">
        <v>45672</v>
      </c>
      <c r="AC521" t="s">
        <v>8397</v>
      </c>
      <c r="AD521" t="str">
        <f>HYPERLINK("https%3A%2F%2Fwww.webofscience.com%2Fwos%2Fwoscc%2Ffull-record%2FWOS:001024225300004","View Full Record in Web of Science")</f>
        <v>View Full Record in Web of Science</v>
      </c>
    </row>
    <row r="522" spans="1:30" x14ac:dyDescent="0.35">
      <c r="A522">
        <v>521</v>
      </c>
      <c r="B522" t="s">
        <v>3551</v>
      </c>
      <c r="C522" t="s">
        <v>8398</v>
      </c>
      <c r="D522" t="s">
        <v>3551</v>
      </c>
      <c r="E522" t="s">
        <v>2867</v>
      </c>
      <c r="F522" t="s">
        <v>3810</v>
      </c>
      <c r="G522" t="s">
        <v>8399</v>
      </c>
      <c r="H522" t="s">
        <v>8400</v>
      </c>
      <c r="I522" t="s">
        <v>8401</v>
      </c>
      <c r="J522" t="s">
        <v>8402</v>
      </c>
      <c r="K522" t="s">
        <v>8403</v>
      </c>
      <c r="L522">
        <v>7</v>
      </c>
      <c r="M522" t="s">
        <v>3866</v>
      </c>
      <c r="N522" t="s">
        <v>3817</v>
      </c>
      <c r="O522" t="s">
        <v>4290</v>
      </c>
      <c r="P522" t="s">
        <v>3868</v>
      </c>
      <c r="Q522" t="s">
        <v>3869</v>
      </c>
      <c r="R522" t="s">
        <v>3870</v>
      </c>
      <c r="S522" t="s">
        <v>3871</v>
      </c>
      <c r="T522" t="s">
        <v>5045</v>
      </c>
      <c r="U522">
        <v>2019</v>
      </c>
      <c r="V522">
        <v>52</v>
      </c>
      <c r="W522" t="s">
        <v>6145</v>
      </c>
      <c r="X522" t="s">
        <v>8404</v>
      </c>
      <c r="Y522" t="str">
        <f>HYPERLINK("http://dx.doi.org/10.1007/s00382-018-4363-4","http://dx.doi.org/10.1007/s00382-018-4363-4")</f>
        <v>http://dx.doi.org/10.1007/s00382-018-4363-4</v>
      </c>
      <c r="Z522" t="s">
        <v>3825</v>
      </c>
      <c r="AA522" t="s">
        <v>3826</v>
      </c>
      <c r="AB522" s="3">
        <v>45672</v>
      </c>
      <c r="AC522" t="s">
        <v>8405</v>
      </c>
      <c r="AD522" t="str">
        <f>HYPERLINK("https%3A%2F%2Fwww.webofscience.com%2Fwos%2Fwoscc%2Ffull-record%2FWOS:000467187600005","View Full Record in Web of Science")</f>
        <v>View Full Record in Web of Science</v>
      </c>
    </row>
    <row r="523" spans="1:30" x14ac:dyDescent="0.35">
      <c r="A523">
        <v>522</v>
      </c>
      <c r="B523" t="s">
        <v>3552</v>
      </c>
      <c r="C523" t="s">
        <v>5235</v>
      </c>
      <c r="D523" t="s">
        <v>3552</v>
      </c>
      <c r="E523" t="s">
        <v>2867</v>
      </c>
      <c r="F523" t="s">
        <v>3810</v>
      </c>
      <c r="G523" t="s">
        <v>8406</v>
      </c>
      <c r="H523" t="s">
        <v>8407</v>
      </c>
      <c r="I523" t="s">
        <v>5238</v>
      </c>
      <c r="J523" t="s">
        <v>8408</v>
      </c>
      <c r="K523" t="s">
        <v>8409</v>
      </c>
      <c r="L523">
        <v>32</v>
      </c>
      <c r="M523" t="s">
        <v>3866</v>
      </c>
      <c r="N523" t="s">
        <v>3817</v>
      </c>
      <c r="O523" t="s">
        <v>3867</v>
      </c>
      <c r="P523" t="s">
        <v>3868</v>
      </c>
      <c r="Q523" t="s">
        <v>3869</v>
      </c>
      <c r="R523" t="s">
        <v>3870</v>
      </c>
      <c r="S523" t="s">
        <v>3871</v>
      </c>
      <c r="T523" t="s">
        <v>3872</v>
      </c>
      <c r="U523">
        <v>2020</v>
      </c>
      <c r="V523">
        <v>55</v>
      </c>
      <c r="W523" t="s">
        <v>3873</v>
      </c>
      <c r="X523" t="s">
        <v>8410</v>
      </c>
      <c r="Y523" t="str">
        <f>HYPERLINK("http://dx.doi.org/10.1007/s00382-020-05311-5","http://dx.doi.org/10.1007/s00382-020-05311-5")</f>
        <v>http://dx.doi.org/10.1007/s00382-020-05311-5</v>
      </c>
      <c r="Z523" t="s">
        <v>3825</v>
      </c>
      <c r="AA523" t="s">
        <v>3826</v>
      </c>
      <c r="AB523" s="3">
        <v>45672</v>
      </c>
      <c r="AC523" t="s">
        <v>8411</v>
      </c>
      <c r="AD523" t="str">
        <f>HYPERLINK("https%3A%2F%2Fwww.webofscience.com%2Fwos%2Fwoscc%2Ffull-record%2FWOS:000537349800001","View Full Record in Web of Science")</f>
        <v>View Full Record in Web of Science</v>
      </c>
    </row>
    <row r="524" spans="1:30" x14ac:dyDescent="0.35">
      <c r="A524">
        <v>523</v>
      </c>
      <c r="B524" t="s">
        <v>3553</v>
      </c>
      <c r="C524" t="s">
        <v>8412</v>
      </c>
      <c r="D524" t="s">
        <v>3553</v>
      </c>
      <c r="E524" t="s">
        <v>2866</v>
      </c>
      <c r="F524" t="s">
        <v>3810</v>
      </c>
      <c r="G524" t="s">
        <v>8413</v>
      </c>
      <c r="H524" t="s">
        <v>8414</v>
      </c>
      <c r="I524" t="s">
        <v>8415</v>
      </c>
      <c r="J524" t="s">
        <v>8416</v>
      </c>
      <c r="K524" t="s">
        <v>8417</v>
      </c>
      <c r="L524">
        <v>17</v>
      </c>
      <c r="M524" t="s">
        <v>3850</v>
      </c>
      <c r="N524" t="s">
        <v>3851</v>
      </c>
      <c r="O524" t="s">
        <v>3852</v>
      </c>
      <c r="P524" t="s">
        <v>3853</v>
      </c>
      <c r="Q524" t="s">
        <v>3854</v>
      </c>
      <c r="R524" t="s">
        <v>3855</v>
      </c>
      <c r="S524" t="s">
        <v>3856</v>
      </c>
      <c r="T524" t="s">
        <v>4001</v>
      </c>
      <c r="U524">
        <v>2017</v>
      </c>
      <c r="V524">
        <v>37</v>
      </c>
      <c r="W524">
        <v>1</v>
      </c>
      <c r="X524" t="s">
        <v>8418</v>
      </c>
      <c r="Y524" t="str">
        <f>HYPERLINK("http://dx.doi.org/10.1002/joc.4714","http://dx.doi.org/10.1002/joc.4714")</f>
        <v>http://dx.doi.org/10.1002/joc.4714</v>
      </c>
      <c r="Z524" t="s">
        <v>3825</v>
      </c>
      <c r="AA524" t="s">
        <v>3826</v>
      </c>
      <c r="AB524" s="3">
        <v>45672</v>
      </c>
      <c r="AC524" t="s">
        <v>8419</v>
      </c>
      <c r="AD524" t="str">
        <f>HYPERLINK("https%3A%2F%2Fwww.webofscience.com%2Fwos%2Fwoscc%2Ffull-record%2FWOS:000392415700030","View Full Record in Web of Science")</f>
        <v>View Full Record in Web of Science</v>
      </c>
    </row>
    <row r="525" spans="1:30" x14ac:dyDescent="0.35">
      <c r="A525">
        <v>524</v>
      </c>
      <c r="B525" t="s">
        <v>3554</v>
      </c>
      <c r="C525" t="s">
        <v>8420</v>
      </c>
      <c r="D525" t="s">
        <v>3554</v>
      </c>
      <c r="E525" t="s">
        <v>3003</v>
      </c>
      <c r="F525" t="s">
        <v>3810</v>
      </c>
      <c r="G525" t="s">
        <v>8421</v>
      </c>
      <c r="H525" t="s">
        <v>8422</v>
      </c>
      <c r="I525" t="s">
        <v>8423</v>
      </c>
      <c r="J525" t="s">
        <v>8424</v>
      </c>
      <c r="K525" t="s">
        <v>8425</v>
      </c>
      <c r="L525">
        <v>9</v>
      </c>
      <c r="M525" t="s">
        <v>3850</v>
      </c>
      <c r="N525" t="s">
        <v>3851</v>
      </c>
      <c r="O525" t="s">
        <v>3852</v>
      </c>
      <c r="P525" t="s">
        <v>8426</v>
      </c>
      <c r="Q525" t="s">
        <v>8427</v>
      </c>
      <c r="R525" t="s">
        <v>3003</v>
      </c>
      <c r="S525" t="s">
        <v>8428</v>
      </c>
      <c r="T525" t="s">
        <v>5045</v>
      </c>
      <c r="U525">
        <v>2016</v>
      </c>
      <c r="V525">
        <v>45</v>
      </c>
      <c r="W525">
        <v>2</v>
      </c>
      <c r="X525" t="s">
        <v>8429</v>
      </c>
      <c r="Y525" t="str">
        <f>HYPERLINK("http://dx.doi.org/10.1111/bor.12158","http://dx.doi.org/10.1111/bor.12158")</f>
        <v>http://dx.doi.org/10.1111/bor.12158</v>
      </c>
      <c r="Z525" t="s">
        <v>4203</v>
      </c>
      <c r="AA525" t="s">
        <v>3826</v>
      </c>
      <c r="AB525" s="3">
        <v>45672</v>
      </c>
      <c r="AC525" t="s">
        <v>8430</v>
      </c>
      <c r="AD525" t="str">
        <f>HYPERLINK("https%3A%2F%2Fwww.webofscience.com%2Fwos%2Fwoscc%2Ffull-record%2FWOS:000373012500010","View Full Record in Web of Science")</f>
        <v>View Full Record in Web of Science</v>
      </c>
    </row>
    <row r="526" spans="1:30" x14ac:dyDescent="0.35">
      <c r="A526">
        <v>525</v>
      </c>
      <c r="B526" t="s">
        <v>3555</v>
      </c>
      <c r="C526" t="s">
        <v>8431</v>
      </c>
      <c r="D526" t="s">
        <v>3555</v>
      </c>
      <c r="E526" t="s">
        <v>2964</v>
      </c>
      <c r="F526" t="s">
        <v>3810</v>
      </c>
      <c r="G526" t="s">
        <v>8432</v>
      </c>
      <c r="H526" t="s">
        <v>8433</v>
      </c>
      <c r="I526" t="s">
        <v>8434</v>
      </c>
      <c r="K526" t="s">
        <v>3808</v>
      </c>
      <c r="L526">
        <v>0</v>
      </c>
      <c r="M526" t="s">
        <v>6680</v>
      </c>
      <c r="N526" t="s">
        <v>6681</v>
      </c>
      <c r="O526" t="s">
        <v>6682</v>
      </c>
      <c r="P526" t="s">
        <v>6683</v>
      </c>
      <c r="Q526" t="s">
        <v>6684</v>
      </c>
      <c r="R526" t="s">
        <v>6685</v>
      </c>
      <c r="S526" t="s">
        <v>6686</v>
      </c>
      <c r="T526" t="s">
        <v>4163</v>
      </c>
      <c r="U526">
        <v>2023</v>
      </c>
      <c r="V526">
        <v>71</v>
      </c>
      <c r="W526">
        <v>6</v>
      </c>
      <c r="X526" t="s">
        <v>8435</v>
      </c>
      <c r="Y526" t="str">
        <f>HYPERLINK("http://dx.doi.org/10.1007/s11600-023-01122-4","http://dx.doi.org/10.1007/s11600-023-01122-4")</f>
        <v>http://dx.doi.org/10.1007/s11600-023-01122-4</v>
      </c>
      <c r="Z526" t="s">
        <v>3920</v>
      </c>
      <c r="AA526" t="s">
        <v>3826</v>
      </c>
      <c r="AB526" s="3">
        <v>45672</v>
      </c>
      <c r="AC526" t="s">
        <v>8436</v>
      </c>
      <c r="AD526" t="str">
        <f>HYPERLINK("https%3A%2F%2Fwww.webofscience.com%2Fwos%2Fwoscc%2Ffull-record%2FWOS:001005783800001","View Full Record in Web of Science")</f>
        <v>View Full Record in Web of Science</v>
      </c>
    </row>
    <row r="527" spans="1:30" x14ac:dyDescent="0.35">
      <c r="A527">
        <v>526</v>
      </c>
      <c r="B527" t="s">
        <v>3556</v>
      </c>
      <c r="C527" t="s">
        <v>8437</v>
      </c>
      <c r="D527" t="s">
        <v>3556</v>
      </c>
      <c r="E527" t="s">
        <v>2866</v>
      </c>
      <c r="F527" t="s">
        <v>3810</v>
      </c>
      <c r="G527" t="s">
        <v>8438</v>
      </c>
      <c r="H527" t="s">
        <v>8439</v>
      </c>
      <c r="I527" t="s">
        <v>8440</v>
      </c>
      <c r="J527" t="s">
        <v>8441</v>
      </c>
      <c r="K527" t="s">
        <v>8442</v>
      </c>
      <c r="L527">
        <v>3</v>
      </c>
      <c r="M527" t="s">
        <v>3850</v>
      </c>
      <c r="N527" t="s">
        <v>3851</v>
      </c>
      <c r="O527" t="s">
        <v>3852</v>
      </c>
      <c r="P527" t="s">
        <v>3853</v>
      </c>
      <c r="Q527" t="s">
        <v>3854</v>
      </c>
      <c r="R527" t="s">
        <v>3855</v>
      </c>
      <c r="S527" t="s">
        <v>3856</v>
      </c>
      <c r="T527" t="s">
        <v>4546</v>
      </c>
      <c r="U527">
        <v>2021</v>
      </c>
      <c r="V527">
        <v>41</v>
      </c>
      <c r="W527">
        <v>8</v>
      </c>
      <c r="X527" t="s">
        <v>8443</v>
      </c>
      <c r="Y527" t="str">
        <f>HYPERLINK("http://dx.doi.org/10.1002/joc.7070","http://dx.doi.org/10.1002/joc.7070")</f>
        <v>http://dx.doi.org/10.1002/joc.7070</v>
      </c>
      <c r="Z527" t="s">
        <v>3825</v>
      </c>
      <c r="AA527" t="s">
        <v>3826</v>
      </c>
      <c r="AB527" s="3">
        <v>45672</v>
      </c>
      <c r="AC527" t="s">
        <v>8444</v>
      </c>
      <c r="AD527" t="str">
        <f>HYPERLINK("https%3A%2F%2Fwww.webofscience.com%2Fwos%2Fwoscc%2Ffull-record%2FWOS:000632178000001","View Full Record in Web of Science")</f>
        <v>View Full Record in Web of Science</v>
      </c>
    </row>
    <row r="528" spans="1:30" x14ac:dyDescent="0.35">
      <c r="A528">
        <v>527</v>
      </c>
      <c r="B528" t="s">
        <v>3557</v>
      </c>
      <c r="C528" t="s">
        <v>8445</v>
      </c>
      <c r="D528" t="s">
        <v>3557</v>
      </c>
      <c r="E528" t="s">
        <v>2866</v>
      </c>
      <c r="F528" t="s">
        <v>3810</v>
      </c>
      <c r="G528" t="s">
        <v>8446</v>
      </c>
      <c r="H528" t="s">
        <v>8447</v>
      </c>
      <c r="I528" t="s">
        <v>8448</v>
      </c>
      <c r="J528" t="s">
        <v>8449</v>
      </c>
      <c r="K528" t="s">
        <v>8450</v>
      </c>
      <c r="L528">
        <v>15</v>
      </c>
      <c r="M528" t="s">
        <v>3850</v>
      </c>
      <c r="N528" t="s">
        <v>3851</v>
      </c>
      <c r="O528" t="s">
        <v>3852</v>
      </c>
      <c r="P528" t="s">
        <v>3853</v>
      </c>
      <c r="Q528" t="s">
        <v>3854</v>
      </c>
      <c r="R528" t="s">
        <v>3855</v>
      </c>
      <c r="S528" t="s">
        <v>3856</v>
      </c>
      <c r="T528" t="s">
        <v>4001</v>
      </c>
      <c r="U528">
        <v>2019</v>
      </c>
      <c r="V528">
        <v>39</v>
      </c>
      <c r="W528">
        <v>1</v>
      </c>
      <c r="X528" t="s">
        <v>8451</v>
      </c>
      <c r="Y528" t="str">
        <f>HYPERLINK("http://dx.doi.org/10.1002/joc.5813","http://dx.doi.org/10.1002/joc.5813")</f>
        <v>http://dx.doi.org/10.1002/joc.5813</v>
      </c>
      <c r="Z528" t="s">
        <v>3825</v>
      </c>
      <c r="AA528" t="s">
        <v>3826</v>
      </c>
      <c r="AB528" s="3">
        <v>45672</v>
      </c>
      <c r="AC528" t="s">
        <v>8452</v>
      </c>
      <c r="AD528" t="str">
        <f>HYPERLINK("https%3A%2F%2Fwww.webofscience.com%2Fwos%2Fwoscc%2Ffull-record%2FWOS:000459638400028","View Full Record in Web of Science")</f>
        <v>View Full Record in Web of Science</v>
      </c>
    </row>
    <row r="529" spans="1:30" x14ac:dyDescent="0.35">
      <c r="A529">
        <v>528</v>
      </c>
      <c r="B529" t="s">
        <v>3558</v>
      </c>
      <c r="C529" t="s">
        <v>8453</v>
      </c>
      <c r="D529" t="s">
        <v>3558</v>
      </c>
      <c r="E529" t="s">
        <v>2866</v>
      </c>
      <c r="F529" t="s">
        <v>3810</v>
      </c>
      <c r="G529" t="s">
        <v>8454</v>
      </c>
      <c r="H529" t="s">
        <v>8455</v>
      </c>
      <c r="I529" t="s">
        <v>8456</v>
      </c>
      <c r="K529" t="s">
        <v>3808</v>
      </c>
      <c r="L529">
        <v>20</v>
      </c>
      <c r="M529" t="s">
        <v>3850</v>
      </c>
      <c r="N529" t="s">
        <v>3851</v>
      </c>
      <c r="O529" t="s">
        <v>3852</v>
      </c>
      <c r="P529" t="s">
        <v>3853</v>
      </c>
      <c r="Q529" t="s">
        <v>3854</v>
      </c>
      <c r="R529" t="s">
        <v>3855</v>
      </c>
      <c r="S529" t="s">
        <v>3856</v>
      </c>
      <c r="T529" t="s">
        <v>4001</v>
      </c>
      <c r="U529">
        <v>2022</v>
      </c>
      <c r="V529">
        <v>42</v>
      </c>
      <c r="W529">
        <v>1</v>
      </c>
      <c r="X529" t="s">
        <v>8457</v>
      </c>
      <c r="Y529" t="str">
        <f>HYPERLINK("http://dx.doi.org/10.1002/joc.7234","http://dx.doi.org/10.1002/joc.7234")</f>
        <v>http://dx.doi.org/10.1002/joc.7234</v>
      </c>
      <c r="Z529" t="s">
        <v>3825</v>
      </c>
      <c r="AA529" t="s">
        <v>3826</v>
      </c>
      <c r="AB529" s="3">
        <v>45672</v>
      </c>
      <c r="AC529" t="s">
        <v>8458</v>
      </c>
      <c r="AD529" t="str">
        <f>HYPERLINK("https%3A%2F%2Fwww.webofscience.com%2Fwos%2Fwoscc%2Ffull-record%2FWOS:000661814800001","View Full Record in Web of Science")</f>
        <v>View Full Record in Web of Science</v>
      </c>
    </row>
    <row r="530" spans="1:30" x14ac:dyDescent="0.35">
      <c r="A530">
        <v>529</v>
      </c>
      <c r="B530" t="s">
        <v>3559</v>
      </c>
      <c r="C530" t="s">
        <v>8459</v>
      </c>
      <c r="D530" t="s">
        <v>3559</v>
      </c>
      <c r="E530" t="s">
        <v>2991</v>
      </c>
      <c r="F530" t="s">
        <v>3810</v>
      </c>
      <c r="G530" t="s">
        <v>8460</v>
      </c>
      <c r="H530" t="s">
        <v>8461</v>
      </c>
      <c r="I530" t="s">
        <v>8462</v>
      </c>
      <c r="J530" t="s">
        <v>8463</v>
      </c>
      <c r="K530" t="s">
        <v>8464</v>
      </c>
      <c r="L530">
        <v>1</v>
      </c>
      <c r="M530" t="s">
        <v>7586</v>
      </c>
      <c r="N530" t="s">
        <v>7587</v>
      </c>
      <c r="O530" t="s">
        <v>7588</v>
      </c>
      <c r="P530" t="s">
        <v>7589</v>
      </c>
      <c r="Q530" t="s">
        <v>3808</v>
      </c>
      <c r="R530" t="s">
        <v>7590</v>
      </c>
      <c r="S530" t="s">
        <v>7591</v>
      </c>
      <c r="T530" t="s">
        <v>3974</v>
      </c>
      <c r="U530">
        <v>2017</v>
      </c>
      <c r="V530">
        <v>23</v>
      </c>
      <c r="W530">
        <v>2</v>
      </c>
      <c r="X530" t="s">
        <v>8465</v>
      </c>
      <c r="Y530" t="str">
        <f>HYPERLINK("http://dx.doi.org/10.16555/j.1006-8775.2017.02.002","http://dx.doi.org/10.16555/j.1006-8775.2017.02.002")</f>
        <v>http://dx.doi.org/10.16555/j.1006-8775.2017.02.002</v>
      </c>
      <c r="Z530" t="s">
        <v>3825</v>
      </c>
      <c r="AA530" t="s">
        <v>3826</v>
      </c>
      <c r="AB530" s="3">
        <v>45672</v>
      </c>
      <c r="AC530" t="s">
        <v>8466</v>
      </c>
      <c r="AD530" t="str">
        <f>HYPERLINK("https%3A%2F%2Fwww.webofscience.com%2Fwos%2Fwoscc%2Ffull-record%2FWOS:000403494100002","View Full Record in Web of Science")</f>
        <v>View Full Record in Web of Science</v>
      </c>
    </row>
    <row r="531" spans="1:30" x14ac:dyDescent="0.35">
      <c r="A531">
        <v>530</v>
      </c>
      <c r="B531" t="s">
        <v>3560</v>
      </c>
      <c r="C531" t="s">
        <v>8467</v>
      </c>
      <c r="D531" t="s">
        <v>3560</v>
      </c>
      <c r="E531" t="s">
        <v>2877</v>
      </c>
      <c r="F531" t="s">
        <v>3810</v>
      </c>
      <c r="G531" t="s">
        <v>8468</v>
      </c>
      <c r="H531" t="s">
        <v>8469</v>
      </c>
      <c r="I531" t="s">
        <v>8470</v>
      </c>
      <c r="J531" t="s">
        <v>8471</v>
      </c>
      <c r="K531" t="s">
        <v>8472</v>
      </c>
      <c r="L531">
        <v>58</v>
      </c>
      <c r="M531" t="s">
        <v>4033</v>
      </c>
      <c r="N531" t="s">
        <v>4034</v>
      </c>
      <c r="O531" t="s">
        <v>4035</v>
      </c>
      <c r="P531" t="s">
        <v>4036</v>
      </c>
      <c r="Q531" t="s">
        <v>4037</v>
      </c>
      <c r="R531" t="s">
        <v>4038</v>
      </c>
      <c r="S531" t="s">
        <v>4039</v>
      </c>
      <c r="T531" t="s">
        <v>4636</v>
      </c>
      <c r="U531">
        <v>2015</v>
      </c>
      <c r="V531">
        <v>28</v>
      </c>
      <c r="W531">
        <v>5</v>
      </c>
      <c r="X531" t="s">
        <v>8473</v>
      </c>
      <c r="Y531" t="str">
        <f>HYPERLINK("http://dx.doi.org/10.1175/JCLI-D-14-00100.1","http://dx.doi.org/10.1175/JCLI-D-14-00100.1")</f>
        <v>http://dx.doi.org/10.1175/JCLI-D-14-00100.1</v>
      </c>
      <c r="Z531" t="s">
        <v>3825</v>
      </c>
      <c r="AA531" t="s">
        <v>3826</v>
      </c>
      <c r="AB531" s="3">
        <v>45672</v>
      </c>
      <c r="AC531" t="s">
        <v>8474</v>
      </c>
      <c r="AD531" t="str">
        <f>HYPERLINK("https%3A%2F%2Fwww.webofscience.com%2Fwos%2Fwoscc%2Ffull-record%2FWOS:000350839300005","View Full Record in Web of Science")</f>
        <v>View Full Record in Web of Science</v>
      </c>
    </row>
    <row r="532" spans="1:30" x14ac:dyDescent="0.35">
      <c r="A532">
        <v>531</v>
      </c>
      <c r="B532" t="s">
        <v>3561</v>
      </c>
      <c r="C532" t="s">
        <v>8475</v>
      </c>
      <c r="D532" t="s">
        <v>3561</v>
      </c>
      <c r="E532" t="s">
        <v>2969</v>
      </c>
      <c r="F532" t="s">
        <v>3810</v>
      </c>
      <c r="G532" t="s">
        <v>8476</v>
      </c>
      <c r="H532" t="s">
        <v>8477</v>
      </c>
      <c r="I532" t="s">
        <v>8478</v>
      </c>
      <c r="J532" t="s">
        <v>8479</v>
      </c>
      <c r="K532" t="s">
        <v>8480</v>
      </c>
      <c r="L532">
        <v>1</v>
      </c>
      <c r="M532" t="s">
        <v>4061</v>
      </c>
      <c r="N532" t="s">
        <v>4062</v>
      </c>
      <c r="O532" t="s">
        <v>4063</v>
      </c>
      <c r="P532" t="s">
        <v>6830</v>
      </c>
      <c r="Q532" t="s">
        <v>6831</v>
      </c>
      <c r="R532" t="s">
        <v>6832</v>
      </c>
      <c r="S532" t="s">
        <v>6833</v>
      </c>
      <c r="T532" t="s">
        <v>4163</v>
      </c>
      <c r="U532">
        <v>2022</v>
      </c>
      <c r="V532">
        <v>36</v>
      </c>
      <c r="W532">
        <v>6</v>
      </c>
      <c r="X532" t="s">
        <v>8481</v>
      </c>
      <c r="Y532" t="str">
        <f>HYPERLINK("http://dx.doi.org/10.1007/s13351-022-2069-3","http://dx.doi.org/10.1007/s13351-022-2069-3")</f>
        <v>http://dx.doi.org/10.1007/s13351-022-2069-3</v>
      </c>
      <c r="Z532" t="s">
        <v>3825</v>
      </c>
      <c r="AA532" t="s">
        <v>3826</v>
      </c>
      <c r="AB532" s="3">
        <v>45672</v>
      </c>
      <c r="AC532" t="s">
        <v>8482</v>
      </c>
      <c r="AD532" t="str">
        <f>HYPERLINK("https%3A%2F%2Fwww.webofscience.com%2Fwos%2Fwoscc%2Ffull-record%2FWOS:000912035100003","View Full Record in Web of Science")</f>
        <v>View Full Record in Web of Science</v>
      </c>
    </row>
    <row r="533" spans="1:30" x14ac:dyDescent="0.35">
      <c r="A533">
        <v>532</v>
      </c>
      <c r="B533" t="s">
        <v>3562</v>
      </c>
      <c r="C533" t="s">
        <v>8483</v>
      </c>
      <c r="D533" t="s">
        <v>3562</v>
      </c>
      <c r="E533" t="s">
        <v>2906</v>
      </c>
      <c r="F533" t="s">
        <v>3810</v>
      </c>
      <c r="G533" t="s">
        <v>8484</v>
      </c>
      <c r="H533" t="s">
        <v>8485</v>
      </c>
      <c r="I533" t="s">
        <v>8486</v>
      </c>
      <c r="J533" t="s">
        <v>8487</v>
      </c>
      <c r="K533" t="s">
        <v>8488</v>
      </c>
      <c r="L533">
        <v>5</v>
      </c>
      <c r="M533" t="s">
        <v>4468</v>
      </c>
      <c r="N533" t="s">
        <v>2907</v>
      </c>
      <c r="O533" t="s">
        <v>4469</v>
      </c>
      <c r="P533" t="s">
        <v>4470</v>
      </c>
      <c r="Q533" t="s">
        <v>4471</v>
      </c>
      <c r="R533" t="s">
        <v>4472</v>
      </c>
      <c r="S533" t="s">
        <v>4473</v>
      </c>
      <c r="T533" t="s">
        <v>5045</v>
      </c>
      <c r="U533">
        <v>2020</v>
      </c>
      <c r="V533">
        <v>28</v>
      </c>
      <c r="W533">
        <v>2</v>
      </c>
      <c r="X533" t="s">
        <v>8489</v>
      </c>
      <c r="Y533" t="str">
        <f>HYPERLINK("http://dx.doi.org/10.1007/s41324-019-00280-2","http://dx.doi.org/10.1007/s41324-019-00280-2")</f>
        <v>http://dx.doi.org/10.1007/s41324-019-00280-2</v>
      </c>
      <c r="Z533" t="s">
        <v>4475</v>
      </c>
      <c r="AA533" t="s">
        <v>4117</v>
      </c>
      <c r="AB533" s="3">
        <v>45672</v>
      </c>
      <c r="AC533" t="s">
        <v>8490</v>
      </c>
      <c r="AD533" t="str">
        <f>HYPERLINK("https%3A%2F%2Fwww.webofscience.com%2Fwos%2Fwoscc%2Ffull-record%2FWOS:000522878100006","View Full Record in Web of Science")</f>
        <v>View Full Record in Web of Science</v>
      </c>
    </row>
    <row r="534" spans="1:30" x14ac:dyDescent="0.35">
      <c r="A534">
        <v>533</v>
      </c>
      <c r="B534" t="s">
        <v>3563</v>
      </c>
      <c r="C534" t="s">
        <v>8491</v>
      </c>
      <c r="D534" t="s">
        <v>3563</v>
      </c>
      <c r="E534" t="s">
        <v>3004</v>
      </c>
      <c r="F534" t="s">
        <v>3810</v>
      </c>
      <c r="G534" t="s">
        <v>8492</v>
      </c>
      <c r="H534" t="s">
        <v>8493</v>
      </c>
      <c r="I534" t="s">
        <v>8494</v>
      </c>
      <c r="J534" t="s">
        <v>8495</v>
      </c>
      <c r="K534" t="s">
        <v>8496</v>
      </c>
      <c r="L534">
        <v>39</v>
      </c>
      <c r="M534" t="s">
        <v>4033</v>
      </c>
      <c r="N534" t="s">
        <v>4034</v>
      </c>
      <c r="O534" t="s">
        <v>4035</v>
      </c>
      <c r="P534" t="s">
        <v>8497</v>
      </c>
      <c r="Q534" t="s">
        <v>8498</v>
      </c>
      <c r="R534" t="s">
        <v>8499</v>
      </c>
      <c r="S534" t="s">
        <v>8500</v>
      </c>
      <c r="T534" t="s">
        <v>4016</v>
      </c>
      <c r="U534">
        <v>2016</v>
      </c>
      <c r="V534">
        <v>33</v>
      </c>
      <c r="W534">
        <v>10</v>
      </c>
      <c r="X534" t="s">
        <v>8501</v>
      </c>
      <c r="Y534" t="str">
        <f>HYPERLINK("http://dx.doi.org/10.1175/JTECH-D-15-0190.1","http://dx.doi.org/10.1175/JTECH-D-15-0190.1")</f>
        <v>http://dx.doi.org/10.1175/JTECH-D-15-0190.1</v>
      </c>
      <c r="Z534" t="s">
        <v>8502</v>
      </c>
      <c r="AA534" t="s">
        <v>3826</v>
      </c>
      <c r="AB534" s="3">
        <v>45672</v>
      </c>
      <c r="AC534" t="s">
        <v>8503</v>
      </c>
      <c r="AD534" t="str">
        <f>HYPERLINK("https%3A%2F%2Fwww.webofscience.com%2Fwos%2Fwoscc%2Ffull-record%2FWOS:000384537400005","View Full Record in Web of Science")</f>
        <v>View Full Record in Web of Science</v>
      </c>
    </row>
    <row r="535" spans="1:30" x14ac:dyDescent="0.35">
      <c r="A535">
        <v>534</v>
      </c>
      <c r="B535" t="s">
        <v>3564</v>
      </c>
      <c r="C535" t="s">
        <v>8504</v>
      </c>
      <c r="D535" t="s">
        <v>3564</v>
      </c>
      <c r="E535" t="s">
        <v>2867</v>
      </c>
      <c r="F535" t="s">
        <v>3810</v>
      </c>
      <c r="G535" t="s">
        <v>8505</v>
      </c>
      <c r="H535" t="s">
        <v>8506</v>
      </c>
      <c r="I535" t="s">
        <v>8507</v>
      </c>
      <c r="J535" t="s">
        <v>8508</v>
      </c>
      <c r="K535" t="s">
        <v>8509</v>
      </c>
      <c r="L535">
        <v>9</v>
      </c>
      <c r="M535" t="s">
        <v>3866</v>
      </c>
      <c r="N535" t="s">
        <v>3817</v>
      </c>
      <c r="O535" t="s">
        <v>3867</v>
      </c>
      <c r="P535" t="s">
        <v>3868</v>
      </c>
      <c r="Q535" t="s">
        <v>3869</v>
      </c>
      <c r="R535" t="s">
        <v>3870</v>
      </c>
      <c r="S535" t="s">
        <v>3871</v>
      </c>
      <c r="T535" t="s">
        <v>4001</v>
      </c>
      <c r="U535">
        <v>2021</v>
      </c>
      <c r="V535">
        <v>56</v>
      </c>
      <c r="W535" t="s">
        <v>4259</v>
      </c>
      <c r="X535" t="s">
        <v>8510</v>
      </c>
      <c r="Y535" t="str">
        <f>HYPERLINK("http://dx.doi.org/10.1007/s00382-020-05395-z","http://dx.doi.org/10.1007/s00382-020-05395-z")</f>
        <v>http://dx.doi.org/10.1007/s00382-020-05395-z</v>
      </c>
      <c r="Z535" t="s">
        <v>3825</v>
      </c>
      <c r="AA535" t="s">
        <v>3826</v>
      </c>
      <c r="AB535" s="3">
        <v>45672</v>
      </c>
      <c r="AC535" t="s">
        <v>8511</v>
      </c>
      <c r="AD535" t="str">
        <f>HYPERLINK("https%3A%2F%2Fwww.webofscience.com%2Fwos%2Fwoscc%2Ffull-record%2FWOS:000572306200001","View Full Record in Web of Science")</f>
        <v>View Full Record in Web of Science</v>
      </c>
    </row>
    <row r="536" spans="1:30" x14ac:dyDescent="0.35">
      <c r="A536">
        <v>535</v>
      </c>
      <c r="B536" t="s">
        <v>3565</v>
      </c>
      <c r="C536" t="s">
        <v>8512</v>
      </c>
      <c r="D536" t="s">
        <v>3565</v>
      </c>
      <c r="E536" t="s">
        <v>2877</v>
      </c>
      <c r="F536" t="s">
        <v>3810</v>
      </c>
      <c r="G536" t="s">
        <v>8513</v>
      </c>
      <c r="H536" t="s">
        <v>8514</v>
      </c>
      <c r="I536" t="s">
        <v>8515</v>
      </c>
      <c r="J536" t="s">
        <v>8516</v>
      </c>
      <c r="K536" t="s">
        <v>8517</v>
      </c>
      <c r="L536">
        <v>157</v>
      </c>
      <c r="M536" t="s">
        <v>4033</v>
      </c>
      <c r="N536" t="s">
        <v>4034</v>
      </c>
      <c r="O536" t="s">
        <v>4035</v>
      </c>
      <c r="P536" t="s">
        <v>4036</v>
      </c>
      <c r="Q536" t="s">
        <v>4037</v>
      </c>
      <c r="R536" t="s">
        <v>4038</v>
      </c>
      <c r="S536" t="s">
        <v>4039</v>
      </c>
      <c r="T536" t="s">
        <v>4001</v>
      </c>
      <c r="U536">
        <v>2017</v>
      </c>
      <c r="V536">
        <v>30</v>
      </c>
      <c r="W536">
        <v>1</v>
      </c>
      <c r="X536" t="s">
        <v>8518</v>
      </c>
      <c r="Y536" t="str">
        <f>HYPERLINK("http://dx.doi.org/10.1175/JCLI-D-16-0298.1","http://dx.doi.org/10.1175/JCLI-D-16-0298.1")</f>
        <v>http://dx.doi.org/10.1175/JCLI-D-16-0298.1</v>
      </c>
      <c r="Z536" t="s">
        <v>3825</v>
      </c>
      <c r="AA536" t="s">
        <v>3826</v>
      </c>
      <c r="AB536" s="3">
        <v>45672</v>
      </c>
      <c r="AC536" t="s">
        <v>8519</v>
      </c>
      <c r="AD536" t="str">
        <f>HYPERLINK("https%3A%2F%2Fwww.webofscience.com%2Fwos%2Fwoscc%2Ffull-record%2FWOS:000391855700021","View Full Record in Web of Science")</f>
        <v>View Full Record in Web of Science</v>
      </c>
    </row>
    <row r="537" spans="1:30" x14ac:dyDescent="0.35">
      <c r="A537">
        <v>536</v>
      </c>
      <c r="B537" t="s">
        <v>3566</v>
      </c>
      <c r="C537" t="s">
        <v>2117</v>
      </c>
      <c r="D537" t="s">
        <v>3566</v>
      </c>
      <c r="E537" t="s">
        <v>2926</v>
      </c>
      <c r="F537" t="s">
        <v>3810</v>
      </c>
      <c r="G537" t="s">
        <v>8520</v>
      </c>
      <c r="H537" t="s">
        <v>8521</v>
      </c>
      <c r="I537" t="s">
        <v>8522</v>
      </c>
      <c r="J537" t="s">
        <v>8523</v>
      </c>
      <c r="K537" t="s">
        <v>8524</v>
      </c>
      <c r="L537">
        <v>2</v>
      </c>
      <c r="M537" t="s">
        <v>3951</v>
      </c>
      <c r="N537" t="s">
        <v>3952</v>
      </c>
      <c r="O537" t="s">
        <v>3953</v>
      </c>
      <c r="P537" t="s">
        <v>5029</v>
      </c>
      <c r="Q537" t="s">
        <v>3808</v>
      </c>
      <c r="R537" t="s">
        <v>5030</v>
      </c>
      <c r="S537" t="s">
        <v>5031</v>
      </c>
      <c r="T537" t="s">
        <v>6634</v>
      </c>
      <c r="U537">
        <v>2022</v>
      </c>
      <c r="V537">
        <v>75</v>
      </c>
      <c r="W537" t="s">
        <v>3808</v>
      </c>
      <c r="X537" t="s">
        <v>8525</v>
      </c>
      <c r="Y537" t="str">
        <f>HYPERLINK("http://dx.doi.org/10.1016/j.ijdrr.2022.102938","http://dx.doi.org/10.1016/j.ijdrr.2022.102938")</f>
        <v>http://dx.doi.org/10.1016/j.ijdrr.2022.102938</v>
      </c>
      <c r="Z537" t="s">
        <v>3934</v>
      </c>
      <c r="AA537" t="s">
        <v>3826</v>
      </c>
      <c r="AB537" s="3">
        <v>45672</v>
      </c>
      <c r="AC537" t="s">
        <v>8526</v>
      </c>
      <c r="AD537" t="str">
        <f>HYPERLINK("https%3A%2F%2Fwww.webofscience.com%2Fwos%2Fwoscc%2Ffull-record%2FWOS:000807511300002","View Full Record in Web of Science")</f>
        <v>View Full Record in Web of Science</v>
      </c>
    </row>
    <row r="538" spans="1:30" x14ac:dyDescent="0.35">
      <c r="A538">
        <v>537</v>
      </c>
      <c r="B538" t="s">
        <v>3567</v>
      </c>
      <c r="C538" t="s">
        <v>8527</v>
      </c>
      <c r="D538" t="s">
        <v>3567</v>
      </c>
      <c r="E538" t="s">
        <v>3005</v>
      </c>
      <c r="F538" t="s">
        <v>3810</v>
      </c>
      <c r="G538" t="s">
        <v>8528</v>
      </c>
      <c r="H538" t="s">
        <v>8529</v>
      </c>
      <c r="I538" t="s">
        <v>3808</v>
      </c>
      <c r="J538" t="s">
        <v>8530</v>
      </c>
      <c r="K538" t="s">
        <v>8531</v>
      </c>
      <c r="L538">
        <v>14</v>
      </c>
      <c r="M538" t="s">
        <v>8127</v>
      </c>
      <c r="N538" t="s">
        <v>4109</v>
      </c>
      <c r="O538" t="s">
        <v>8532</v>
      </c>
      <c r="P538" t="s">
        <v>8533</v>
      </c>
      <c r="Q538" t="s">
        <v>3808</v>
      </c>
      <c r="R538" t="s">
        <v>8534</v>
      </c>
      <c r="S538" t="s">
        <v>8535</v>
      </c>
      <c r="T538" t="s">
        <v>4114</v>
      </c>
      <c r="U538">
        <v>2022</v>
      </c>
      <c r="V538">
        <v>11</v>
      </c>
      <c r="W538">
        <v>1</v>
      </c>
      <c r="X538" t="s">
        <v>8536</v>
      </c>
      <c r="Y538" t="str">
        <f>HYPERLINK("http://dx.doi.org/10.1016/j.tcrr.2021.11.004","http://dx.doi.org/10.1016/j.tcrr.2021.11.004")</f>
        <v>http://dx.doi.org/10.1016/j.tcrr.2021.11.004</v>
      </c>
      <c r="Z538" t="s">
        <v>3825</v>
      </c>
      <c r="AA538" t="s">
        <v>4117</v>
      </c>
      <c r="AB538" s="3">
        <v>45672</v>
      </c>
      <c r="AC538" t="s">
        <v>8537</v>
      </c>
      <c r="AD538" t="str">
        <f>HYPERLINK("https%3A%2F%2Fwww.webofscience.com%2Fwos%2Fwoscc%2Ffull-record%2FWOS:000826432600001","View Full Record in Web of Science")</f>
        <v>View Full Record in Web of Science</v>
      </c>
    </row>
    <row r="539" spans="1:30" x14ac:dyDescent="0.35">
      <c r="A539">
        <v>538</v>
      </c>
      <c r="B539" t="s">
        <v>3568</v>
      </c>
      <c r="C539" t="s">
        <v>8538</v>
      </c>
      <c r="D539" t="s">
        <v>3568</v>
      </c>
      <c r="E539" t="s">
        <v>2954</v>
      </c>
      <c r="F539" t="s">
        <v>3810</v>
      </c>
      <c r="G539" t="s">
        <v>8539</v>
      </c>
      <c r="H539" t="s">
        <v>8540</v>
      </c>
      <c r="I539" t="s">
        <v>8541</v>
      </c>
      <c r="J539" t="s">
        <v>8542</v>
      </c>
      <c r="K539" t="s">
        <v>8543</v>
      </c>
      <c r="L539">
        <v>11</v>
      </c>
      <c r="M539" t="s">
        <v>4046</v>
      </c>
      <c r="N539" t="s">
        <v>4047</v>
      </c>
      <c r="O539" t="s">
        <v>4048</v>
      </c>
      <c r="P539" t="s">
        <v>6219</v>
      </c>
      <c r="Q539" t="s">
        <v>6220</v>
      </c>
      <c r="R539" t="s">
        <v>6221</v>
      </c>
      <c r="S539" t="s">
        <v>6222</v>
      </c>
      <c r="T539" t="s">
        <v>5828</v>
      </c>
      <c r="U539">
        <v>2021</v>
      </c>
      <c r="V539">
        <v>221</v>
      </c>
      <c r="W539" t="s">
        <v>3808</v>
      </c>
      <c r="X539" t="s">
        <v>8544</v>
      </c>
      <c r="Y539" t="str">
        <f>HYPERLINK("http://dx.doi.org/10.1016/j.jastp.2021.105708","http://dx.doi.org/10.1016/j.jastp.2021.105708")</f>
        <v>http://dx.doi.org/10.1016/j.jastp.2021.105708</v>
      </c>
      <c r="Z539" t="s">
        <v>5256</v>
      </c>
      <c r="AA539" t="s">
        <v>3826</v>
      </c>
      <c r="AB539" s="3">
        <v>45672</v>
      </c>
      <c r="AC539" t="s">
        <v>8545</v>
      </c>
      <c r="AD539" t="str">
        <f>HYPERLINK("https%3A%2F%2Fwww.webofscience.com%2Fwos%2Fwoscc%2Ffull-record%2FWOS:000672856100005","View Full Record in Web of Science")</f>
        <v>View Full Record in Web of Science</v>
      </c>
    </row>
    <row r="540" spans="1:30" x14ac:dyDescent="0.35">
      <c r="A540">
        <v>539</v>
      </c>
      <c r="B540" t="s">
        <v>3569</v>
      </c>
      <c r="C540" t="s">
        <v>8546</v>
      </c>
      <c r="D540" t="s">
        <v>3569</v>
      </c>
      <c r="E540" t="s">
        <v>2942</v>
      </c>
      <c r="F540" t="s">
        <v>3810</v>
      </c>
      <c r="G540" t="s">
        <v>8547</v>
      </c>
      <c r="H540" t="s">
        <v>8548</v>
      </c>
      <c r="I540" t="s">
        <v>8549</v>
      </c>
      <c r="J540" t="s">
        <v>8550</v>
      </c>
      <c r="K540" t="s">
        <v>8551</v>
      </c>
      <c r="L540">
        <v>5</v>
      </c>
      <c r="M540" t="s">
        <v>5554</v>
      </c>
      <c r="N540" t="s">
        <v>4378</v>
      </c>
      <c r="O540" t="s">
        <v>5555</v>
      </c>
      <c r="P540" t="s">
        <v>5556</v>
      </c>
      <c r="Q540" t="s">
        <v>5557</v>
      </c>
      <c r="R540" t="s">
        <v>5558</v>
      </c>
      <c r="S540" t="s">
        <v>5559</v>
      </c>
      <c r="T540" t="s">
        <v>4016</v>
      </c>
      <c r="U540">
        <v>2021</v>
      </c>
      <c r="V540">
        <v>16</v>
      </c>
      <c r="W540">
        <v>7</v>
      </c>
      <c r="X540" t="s">
        <v>8552</v>
      </c>
      <c r="Y540" t="str">
        <f>HYPERLINK("http://dx.doi.org/10.20965/jdr.2021.p1097","http://dx.doi.org/10.20965/jdr.2021.p1097")</f>
        <v>http://dx.doi.org/10.20965/jdr.2021.p1097</v>
      </c>
      <c r="Z540" t="s">
        <v>4116</v>
      </c>
      <c r="AA540" t="s">
        <v>4117</v>
      </c>
      <c r="AB540" s="3">
        <v>45672</v>
      </c>
      <c r="AC540" t="s">
        <v>8553</v>
      </c>
      <c r="AD540" t="str">
        <f>HYPERLINK("https%3A%2F%2Fwww.webofscience.com%2Fwos%2Fwoscc%2Ffull-record%2FWOS:000703902600012","View Full Record in Web of Science")</f>
        <v>View Full Record in Web of Science</v>
      </c>
    </row>
    <row r="541" spans="1:30" x14ac:dyDescent="0.35">
      <c r="A541">
        <v>540</v>
      </c>
      <c r="B541" t="s">
        <v>3570</v>
      </c>
      <c r="C541" t="s">
        <v>8554</v>
      </c>
      <c r="D541" t="s">
        <v>3570</v>
      </c>
      <c r="E541" t="s">
        <v>2894</v>
      </c>
      <c r="F541" t="s">
        <v>3810</v>
      </c>
      <c r="G541" t="s">
        <v>8555</v>
      </c>
      <c r="H541" t="s">
        <v>8556</v>
      </c>
      <c r="I541" t="s">
        <v>8557</v>
      </c>
      <c r="J541" t="s">
        <v>8558</v>
      </c>
      <c r="K541" t="s">
        <v>8559</v>
      </c>
      <c r="L541">
        <v>2</v>
      </c>
      <c r="M541" t="s">
        <v>4252</v>
      </c>
      <c r="N541" t="s">
        <v>4355</v>
      </c>
      <c r="O541" t="s">
        <v>4356</v>
      </c>
      <c r="P541" t="s">
        <v>4255</v>
      </c>
      <c r="Q541" t="s">
        <v>4256</v>
      </c>
      <c r="R541" t="s">
        <v>4257</v>
      </c>
      <c r="S541" t="s">
        <v>4258</v>
      </c>
      <c r="T541" t="s">
        <v>5045</v>
      </c>
      <c r="U541">
        <v>2021</v>
      </c>
      <c r="V541">
        <v>144</v>
      </c>
      <c r="W541" t="s">
        <v>4259</v>
      </c>
      <c r="X541" t="s">
        <v>8560</v>
      </c>
      <c r="Y541" t="str">
        <f>HYPERLINK("http://dx.doi.org/10.1007/s00704-021-03527-x","http://dx.doi.org/10.1007/s00704-021-03527-x")</f>
        <v>http://dx.doi.org/10.1007/s00704-021-03527-x</v>
      </c>
      <c r="Z541" t="s">
        <v>3825</v>
      </c>
      <c r="AA541" t="s">
        <v>3826</v>
      </c>
      <c r="AB541" s="3">
        <v>45672</v>
      </c>
      <c r="AC541" t="s">
        <v>8561</v>
      </c>
      <c r="AD541" t="str">
        <f>HYPERLINK("https%3A%2F%2Fwww.webofscience.com%2Fwos%2Fwoscc%2Ffull-record%2FWOS:000620431900001","View Full Record in Web of Science")</f>
        <v>View Full Record in Web of Science</v>
      </c>
    </row>
    <row r="542" spans="1:30" x14ac:dyDescent="0.35">
      <c r="A542">
        <v>541</v>
      </c>
      <c r="B542" t="s">
        <v>3571</v>
      </c>
      <c r="C542" t="s">
        <v>8562</v>
      </c>
      <c r="D542" t="s">
        <v>3571</v>
      </c>
      <c r="E542" t="s">
        <v>3006</v>
      </c>
      <c r="F542" t="s">
        <v>3810</v>
      </c>
      <c r="G542" t="s">
        <v>8563</v>
      </c>
      <c r="H542" t="s">
        <v>8564</v>
      </c>
      <c r="I542" t="s">
        <v>8565</v>
      </c>
      <c r="J542" t="s">
        <v>8566</v>
      </c>
      <c r="K542" t="s">
        <v>8567</v>
      </c>
      <c r="L542">
        <v>6</v>
      </c>
      <c r="M542" t="s">
        <v>5326</v>
      </c>
      <c r="N542" t="s">
        <v>4047</v>
      </c>
      <c r="O542" t="s">
        <v>5327</v>
      </c>
      <c r="P542" t="s">
        <v>8568</v>
      </c>
      <c r="Q542" t="s">
        <v>8569</v>
      </c>
      <c r="R542" t="s">
        <v>8570</v>
      </c>
      <c r="S542" t="s">
        <v>8571</v>
      </c>
      <c r="T542" t="s">
        <v>3974</v>
      </c>
      <c r="U542">
        <v>2019</v>
      </c>
      <c r="V542">
        <v>138</v>
      </c>
      <c r="W542" t="s">
        <v>3808</v>
      </c>
      <c r="X542" t="s">
        <v>8572</v>
      </c>
      <c r="Y542" t="str">
        <f>HYPERLINK("http://dx.doi.org/10.1016/j.ocemod.2019.04.001","http://dx.doi.org/10.1016/j.ocemod.2019.04.001")</f>
        <v>http://dx.doi.org/10.1016/j.ocemod.2019.04.001</v>
      </c>
      <c r="Z542" t="s">
        <v>6193</v>
      </c>
      <c r="AA542" t="s">
        <v>3826</v>
      </c>
      <c r="AB542" s="3">
        <v>45672</v>
      </c>
      <c r="AC542" t="s">
        <v>8573</v>
      </c>
      <c r="AD542" t="str">
        <f>HYPERLINK("https%3A%2F%2Fwww.webofscience.com%2Fwos%2Fwoscc%2Ffull-record%2FWOS:000472819600001","View Full Record in Web of Science")</f>
        <v>View Full Record in Web of Science</v>
      </c>
    </row>
    <row r="543" spans="1:30" x14ac:dyDescent="0.35">
      <c r="A543">
        <v>542</v>
      </c>
      <c r="B543" t="s">
        <v>3572</v>
      </c>
      <c r="C543" t="s">
        <v>8574</v>
      </c>
      <c r="D543" t="s">
        <v>3572</v>
      </c>
      <c r="E543" t="s">
        <v>2928</v>
      </c>
      <c r="F543" t="s">
        <v>3810</v>
      </c>
      <c r="G543" t="s">
        <v>8575</v>
      </c>
      <c r="H543" t="s">
        <v>8576</v>
      </c>
      <c r="I543" t="s">
        <v>8577</v>
      </c>
      <c r="J543" t="s">
        <v>8578</v>
      </c>
      <c r="K543" t="s">
        <v>8579</v>
      </c>
      <c r="L543">
        <v>15</v>
      </c>
      <c r="M543" t="s">
        <v>3911</v>
      </c>
      <c r="N543" t="s">
        <v>3912</v>
      </c>
      <c r="O543" t="s">
        <v>3913</v>
      </c>
      <c r="P543" t="s">
        <v>5129</v>
      </c>
      <c r="Q543" t="s">
        <v>5130</v>
      </c>
      <c r="R543" t="s">
        <v>5131</v>
      </c>
      <c r="S543" t="s">
        <v>5132</v>
      </c>
      <c r="T543" t="s">
        <v>8580</v>
      </c>
      <c r="U543">
        <v>2019</v>
      </c>
      <c r="V543">
        <v>124</v>
      </c>
      <c r="W543">
        <v>5</v>
      </c>
      <c r="X543" t="s">
        <v>8581</v>
      </c>
      <c r="Y543" t="str">
        <f>HYPERLINK("http://dx.doi.org/10.1029/2018JD029971","http://dx.doi.org/10.1029/2018JD029971")</f>
        <v>http://dx.doi.org/10.1029/2018JD029971</v>
      </c>
      <c r="Z543" t="s">
        <v>3825</v>
      </c>
      <c r="AA543" t="s">
        <v>3826</v>
      </c>
      <c r="AB543" s="3">
        <v>45672</v>
      </c>
      <c r="AC543" t="s">
        <v>8582</v>
      </c>
      <c r="AD543" t="str">
        <f>HYPERLINK("https%3A%2F%2Fwww.webofscience.com%2Fwos%2Fwoscc%2Ffull-record%2FWOS:000462139800012","View Full Record in Web of Science")</f>
        <v>View Full Record in Web of Science</v>
      </c>
    </row>
    <row r="544" spans="1:30" x14ac:dyDescent="0.35">
      <c r="A544">
        <v>543</v>
      </c>
      <c r="B544" t="s">
        <v>3573</v>
      </c>
      <c r="C544" t="s">
        <v>8583</v>
      </c>
      <c r="D544" t="s">
        <v>3573</v>
      </c>
      <c r="E544" t="s">
        <v>2901</v>
      </c>
      <c r="F544" t="s">
        <v>3810</v>
      </c>
      <c r="G544" t="s">
        <v>8584</v>
      </c>
      <c r="H544" t="s">
        <v>8585</v>
      </c>
      <c r="I544" t="s">
        <v>5613</v>
      </c>
      <c r="J544" t="s">
        <v>8586</v>
      </c>
      <c r="K544" t="s">
        <v>8587</v>
      </c>
      <c r="L544">
        <v>0</v>
      </c>
      <c r="M544" t="s">
        <v>4377</v>
      </c>
      <c r="N544" t="s">
        <v>4378</v>
      </c>
      <c r="O544" t="s">
        <v>4379</v>
      </c>
      <c r="P544" t="s">
        <v>4380</v>
      </c>
      <c r="Q544" t="s">
        <v>4381</v>
      </c>
      <c r="R544" t="s">
        <v>4382</v>
      </c>
      <c r="S544" t="s">
        <v>4383</v>
      </c>
      <c r="T544" t="s">
        <v>3823</v>
      </c>
      <c r="U544">
        <v>2022</v>
      </c>
      <c r="V544">
        <v>100</v>
      </c>
      <c r="W544">
        <v>1</v>
      </c>
      <c r="X544" t="s">
        <v>8588</v>
      </c>
      <c r="Y544" t="str">
        <f>HYPERLINK("http://dx.doi.org/10.2151/jmsj.2022-004","http://dx.doi.org/10.2151/jmsj.2022-004")</f>
        <v>http://dx.doi.org/10.2151/jmsj.2022-004</v>
      </c>
      <c r="Z544" t="s">
        <v>3825</v>
      </c>
      <c r="AA544" t="s">
        <v>3826</v>
      </c>
      <c r="AB544" s="3">
        <v>45672</v>
      </c>
      <c r="AC544" t="s">
        <v>8589</v>
      </c>
      <c r="AD544" t="str">
        <f>HYPERLINK("https%3A%2F%2Fwww.webofscience.com%2Fwos%2Fwoscc%2Ffull-record%2FWOS:000761163200004","View Full Record in Web of Science")</f>
        <v>View Full Record in Web of Science</v>
      </c>
    </row>
    <row r="545" spans="1:30" x14ac:dyDescent="0.35">
      <c r="A545">
        <v>544</v>
      </c>
      <c r="B545" t="s">
        <v>3574</v>
      </c>
      <c r="C545" t="s">
        <v>8590</v>
      </c>
      <c r="D545" t="s">
        <v>3574</v>
      </c>
      <c r="E545" t="s">
        <v>2947</v>
      </c>
      <c r="F545" t="s">
        <v>3810</v>
      </c>
      <c r="G545" t="s">
        <v>8591</v>
      </c>
      <c r="H545" t="s">
        <v>8592</v>
      </c>
      <c r="I545" t="s">
        <v>8593</v>
      </c>
      <c r="J545" t="s">
        <v>8594</v>
      </c>
      <c r="K545" t="s">
        <v>8595</v>
      </c>
      <c r="L545">
        <v>3</v>
      </c>
      <c r="M545" t="s">
        <v>4033</v>
      </c>
      <c r="N545" t="s">
        <v>4034</v>
      </c>
      <c r="O545" t="s">
        <v>4035</v>
      </c>
      <c r="P545" t="s">
        <v>5910</v>
      </c>
      <c r="Q545" t="s">
        <v>5911</v>
      </c>
      <c r="R545" t="s">
        <v>5912</v>
      </c>
      <c r="S545" t="s">
        <v>5913</v>
      </c>
      <c r="T545" t="s">
        <v>3974</v>
      </c>
      <c r="U545">
        <v>2018</v>
      </c>
      <c r="V545">
        <v>99</v>
      </c>
      <c r="W545">
        <v>6</v>
      </c>
      <c r="X545" t="s">
        <v>8596</v>
      </c>
      <c r="Y545" t="str">
        <f>HYPERLINK("http://dx.doi.org/10.1175/BAMS-D-16-0289.1","http://dx.doi.org/10.1175/BAMS-D-16-0289.1")</f>
        <v>http://dx.doi.org/10.1175/BAMS-D-16-0289.1</v>
      </c>
      <c r="Z545" t="s">
        <v>3825</v>
      </c>
      <c r="AA545" t="s">
        <v>3826</v>
      </c>
      <c r="AB545" s="3">
        <v>45672</v>
      </c>
      <c r="AC545" t="s">
        <v>8597</v>
      </c>
      <c r="AD545" t="str">
        <f>HYPERLINK("https%3A%2F%2Fwww.webofscience.com%2Fwos%2Fwoscc%2Ffull-record%2FWOS:000437277400010","View Full Record in Web of Science")</f>
        <v>View Full Record in Web of Science</v>
      </c>
    </row>
    <row r="546" spans="1:30" x14ac:dyDescent="0.35">
      <c r="A546">
        <v>545</v>
      </c>
      <c r="B546" t="s">
        <v>3575</v>
      </c>
      <c r="C546" t="s">
        <v>8598</v>
      </c>
      <c r="D546" t="s">
        <v>3575</v>
      </c>
      <c r="E546" t="s">
        <v>2901</v>
      </c>
      <c r="F546" t="s">
        <v>3810</v>
      </c>
      <c r="G546" t="s">
        <v>8599</v>
      </c>
      <c r="H546" t="s">
        <v>8600</v>
      </c>
      <c r="I546" t="s">
        <v>8601</v>
      </c>
      <c r="J546" t="s">
        <v>8602</v>
      </c>
      <c r="K546" t="s">
        <v>8603</v>
      </c>
      <c r="L546">
        <v>2</v>
      </c>
      <c r="M546" t="s">
        <v>4377</v>
      </c>
      <c r="N546" t="s">
        <v>4378</v>
      </c>
      <c r="O546" t="s">
        <v>4379</v>
      </c>
      <c r="P546" t="s">
        <v>4380</v>
      </c>
      <c r="Q546" t="s">
        <v>4381</v>
      </c>
      <c r="R546" t="s">
        <v>4382</v>
      </c>
      <c r="S546" t="s">
        <v>4383</v>
      </c>
      <c r="T546" t="s">
        <v>3974</v>
      </c>
      <c r="U546">
        <v>2021</v>
      </c>
      <c r="V546">
        <v>99</v>
      </c>
      <c r="W546">
        <v>3</v>
      </c>
      <c r="X546" t="s">
        <v>8604</v>
      </c>
      <c r="Y546" t="str">
        <f>HYPERLINK("http://dx.doi.org/10.2151/jmsj.2021-034","http://dx.doi.org/10.2151/jmsj.2021-034")</f>
        <v>http://dx.doi.org/10.2151/jmsj.2021-034</v>
      </c>
      <c r="Z546" t="s">
        <v>3825</v>
      </c>
      <c r="AA546" t="s">
        <v>3826</v>
      </c>
      <c r="AB546" s="3">
        <v>45672</v>
      </c>
      <c r="AC546" t="s">
        <v>8605</v>
      </c>
      <c r="AD546" t="str">
        <f>HYPERLINK("https%3A%2F%2Fwww.webofscience.com%2Fwos%2Fwoscc%2Ffull-record%2FWOS:000660982700005","View Full Record in Web of Science")</f>
        <v>View Full Record in Web of Science</v>
      </c>
    </row>
    <row r="547" spans="1:30" x14ac:dyDescent="0.35">
      <c r="A547">
        <v>546</v>
      </c>
      <c r="B547" t="s">
        <v>3576</v>
      </c>
      <c r="C547" t="s">
        <v>2162</v>
      </c>
      <c r="D547" t="s">
        <v>3576</v>
      </c>
      <c r="E547" t="s">
        <v>2886</v>
      </c>
      <c r="F547" t="s">
        <v>3810</v>
      </c>
      <c r="G547" t="s">
        <v>8606</v>
      </c>
      <c r="H547" t="s">
        <v>8607</v>
      </c>
      <c r="I547" t="s">
        <v>8608</v>
      </c>
      <c r="K547" t="s">
        <v>3808</v>
      </c>
      <c r="L547">
        <v>3</v>
      </c>
      <c r="M547" t="s">
        <v>4061</v>
      </c>
      <c r="N547" t="s">
        <v>4062</v>
      </c>
      <c r="O547" t="s">
        <v>4063</v>
      </c>
      <c r="P547" t="s">
        <v>4125</v>
      </c>
      <c r="Q547" t="s">
        <v>4126</v>
      </c>
      <c r="R547" t="s">
        <v>4127</v>
      </c>
      <c r="S547" t="s">
        <v>4128</v>
      </c>
      <c r="T547" t="s">
        <v>8609</v>
      </c>
      <c r="U547">
        <v>2020</v>
      </c>
      <c r="V547">
        <v>13</v>
      </c>
      <c r="W547">
        <v>14</v>
      </c>
      <c r="X547" t="s">
        <v>8610</v>
      </c>
      <c r="Y547" t="str">
        <f>HYPERLINK("http://dx.doi.org/10.1007/s12517-020-05546-w","http://dx.doi.org/10.1007/s12517-020-05546-w")</f>
        <v>http://dx.doi.org/10.1007/s12517-020-05546-w</v>
      </c>
      <c r="Z547" t="s">
        <v>4116</v>
      </c>
      <c r="AA547" t="s">
        <v>3826</v>
      </c>
      <c r="AB547" s="3">
        <v>45672</v>
      </c>
      <c r="AC547" t="s">
        <v>8611</v>
      </c>
      <c r="AD547" t="str">
        <f>HYPERLINK("https%3A%2F%2Fwww.webofscience.com%2Fwos%2Fwoscc%2Ffull-record%2FWOS:000552401800001","View Full Record in Web of Science")</f>
        <v>View Full Record in Web of Science</v>
      </c>
    </row>
    <row r="548" spans="1:30" x14ac:dyDescent="0.35">
      <c r="A548">
        <v>547</v>
      </c>
      <c r="B548" t="s">
        <v>3577</v>
      </c>
      <c r="C548" t="s">
        <v>8612</v>
      </c>
      <c r="D548" t="s">
        <v>3577</v>
      </c>
      <c r="E548" t="s">
        <v>2872</v>
      </c>
      <c r="F548" t="s">
        <v>3810</v>
      </c>
      <c r="G548" t="s">
        <v>8613</v>
      </c>
      <c r="H548" t="s">
        <v>8614</v>
      </c>
      <c r="I548" t="s">
        <v>8615</v>
      </c>
      <c r="J548" t="s">
        <v>8616</v>
      </c>
      <c r="K548" t="s">
        <v>8617</v>
      </c>
      <c r="L548">
        <v>89</v>
      </c>
      <c r="M548" t="s">
        <v>3951</v>
      </c>
      <c r="N548" t="s">
        <v>3952</v>
      </c>
      <c r="O548" t="s">
        <v>3953</v>
      </c>
      <c r="P548" t="s">
        <v>3954</v>
      </c>
      <c r="Q548" t="s">
        <v>3955</v>
      </c>
      <c r="R548" t="s">
        <v>3956</v>
      </c>
      <c r="S548" t="s">
        <v>3957</v>
      </c>
      <c r="T548" t="s">
        <v>4137</v>
      </c>
      <c r="U548">
        <v>2016</v>
      </c>
      <c r="V548">
        <v>539</v>
      </c>
      <c r="W548" t="s">
        <v>3808</v>
      </c>
      <c r="X548" t="s">
        <v>8618</v>
      </c>
      <c r="Y548" t="str">
        <f>HYPERLINK("http://dx.doi.org/10.1016/j.jhydrol.2016.05.045","http://dx.doi.org/10.1016/j.jhydrol.2016.05.045")</f>
        <v>http://dx.doi.org/10.1016/j.jhydrol.2016.05.045</v>
      </c>
      <c r="Z548" t="s">
        <v>3960</v>
      </c>
      <c r="AA548" t="s">
        <v>3826</v>
      </c>
      <c r="AB548" s="3">
        <v>45672</v>
      </c>
      <c r="AC548" t="s">
        <v>8619</v>
      </c>
      <c r="AD548" t="str">
        <f>HYPERLINK("https%3A%2F%2Fwww.webofscience.com%2Fwos%2Fwoscc%2Ffull-record%2FWOS:000378953700028","View Full Record in Web of Science")</f>
        <v>View Full Record in Web of Science</v>
      </c>
    </row>
    <row r="549" spans="1:30" x14ac:dyDescent="0.35">
      <c r="A549">
        <v>548</v>
      </c>
      <c r="B549" t="s">
        <v>3578</v>
      </c>
      <c r="C549" t="s">
        <v>8620</v>
      </c>
      <c r="D549" t="s">
        <v>3578</v>
      </c>
      <c r="E549" t="s">
        <v>2862</v>
      </c>
      <c r="F549" t="s">
        <v>3810</v>
      </c>
      <c r="G549" t="s">
        <v>8621</v>
      </c>
      <c r="H549" t="s">
        <v>8622</v>
      </c>
      <c r="I549" t="s">
        <v>8623</v>
      </c>
      <c r="J549" t="s">
        <v>8624</v>
      </c>
      <c r="K549" t="s">
        <v>8625</v>
      </c>
      <c r="L549">
        <v>15</v>
      </c>
      <c r="M549" t="s">
        <v>3816</v>
      </c>
      <c r="N549" t="s">
        <v>3817</v>
      </c>
      <c r="O549" t="s">
        <v>3818</v>
      </c>
      <c r="P549" t="s">
        <v>3819</v>
      </c>
      <c r="Q549" t="s">
        <v>3820</v>
      </c>
      <c r="R549" t="s">
        <v>3821</v>
      </c>
      <c r="S549" t="s">
        <v>3822</v>
      </c>
      <c r="T549" t="s">
        <v>6136</v>
      </c>
      <c r="U549">
        <v>2017</v>
      </c>
      <c r="V549">
        <v>193</v>
      </c>
      <c r="W549" t="s">
        <v>3808</v>
      </c>
      <c r="X549" t="s">
        <v>8626</v>
      </c>
      <c r="Y549" t="str">
        <f>HYPERLINK("http://dx.doi.org/10.1016/j.atmosres.2017.04.016","http://dx.doi.org/10.1016/j.atmosres.2017.04.016")</f>
        <v>http://dx.doi.org/10.1016/j.atmosres.2017.04.016</v>
      </c>
      <c r="Z549" t="s">
        <v>3825</v>
      </c>
      <c r="AA549" t="s">
        <v>3826</v>
      </c>
      <c r="AB549" s="3">
        <v>45672</v>
      </c>
      <c r="AC549" t="s">
        <v>8627</v>
      </c>
      <c r="AD549" t="str">
        <f>HYPERLINK("https%3A%2F%2Fwww.webofscience.com%2Fwos%2Fwoscc%2Ffull-record%2FWOS:000403995200015","View Full Record in Web of Science")</f>
        <v>View Full Record in Web of Science</v>
      </c>
    </row>
    <row r="550" spans="1:30" x14ac:dyDescent="0.35">
      <c r="A550">
        <v>549</v>
      </c>
      <c r="B550" t="s">
        <v>3579</v>
      </c>
      <c r="C550" t="s">
        <v>8628</v>
      </c>
      <c r="D550" t="s">
        <v>3579</v>
      </c>
      <c r="E550" t="s">
        <v>2871</v>
      </c>
      <c r="F550" t="s">
        <v>3810</v>
      </c>
      <c r="G550" t="s">
        <v>8629</v>
      </c>
      <c r="H550" t="s">
        <v>8630</v>
      </c>
      <c r="I550" t="s">
        <v>5164</v>
      </c>
      <c r="J550" t="s">
        <v>8631</v>
      </c>
      <c r="K550" t="s">
        <v>8632</v>
      </c>
      <c r="L550">
        <v>0</v>
      </c>
      <c r="M550" t="s">
        <v>3866</v>
      </c>
      <c r="N550" t="s">
        <v>3817</v>
      </c>
      <c r="O550" t="s">
        <v>3867</v>
      </c>
      <c r="P550" t="s">
        <v>3928</v>
      </c>
      <c r="Q550" t="s">
        <v>3929</v>
      </c>
      <c r="R550" t="s">
        <v>3930</v>
      </c>
      <c r="S550" t="s">
        <v>3931</v>
      </c>
      <c r="T550" t="s">
        <v>3974</v>
      </c>
      <c r="U550">
        <v>2023</v>
      </c>
      <c r="V550">
        <v>117</v>
      </c>
      <c r="W550">
        <v>2</v>
      </c>
      <c r="X550" t="s">
        <v>8633</v>
      </c>
      <c r="Y550" t="str">
        <f>HYPERLINK("http://dx.doi.org/10.1007/s11069-023-05930-1","http://dx.doi.org/10.1007/s11069-023-05930-1")</f>
        <v>http://dx.doi.org/10.1007/s11069-023-05930-1</v>
      </c>
      <c r="Z550" t="s">
        <v>3934</v>
      </c>
      <c r="AA550" t="s">
        <v>3826</v>
      </c>
      <c r="AB550" s="3">
        <v>45672</v>
      </c>
      <c r="AC550" t="s">
        <v>8634</v>
      </c>
      <c r="AD550" t="str">
        <f>HYPERLINK("https%3A%2F%2Fwww.webofscience.com%2Fwos%2Fwoscc%2Ffull-record%2FWOS:000964212900003","View Full Record in Web of Science")</f>
        <v>View Full Record in Web of Science</v>
      </c>
    </row>
    <row r="551" spans="1:30" x14ac:dyDescent="0.35">
      <c r="A551">
        <v>550</v>
      </c>
      <c r="B551" t="s">
        <v>3580</v>
      </c>
      <c r="C551" t="s">
        <v>8635</v>
      </c>
      <c r="D551" t="s">
        <v>3580</v>
      </c>
      <c r="E551" t="s">
        <v>2894</v>
      </c>
      <c r="F551" t="s">
        <v>3810</v>
      </c>
      <c r="G551" t="s">
        <v>8636</v>
      </c>
      <c r="H551" t="s">
        <v>8637</v>
      </c>
      <c r="I551" t="s">
        <v>8638</v>
      </c>
      <c r="K551" t="s">
        <v>3808</v>
      </c>
      <c r="L551">
        <v>6</v>
      </c>
      <c r="M551" t="s">
        <v>4252</v>
      </c>
      <c r="N551" t="s">
        <v>4355</v>
      </c>
      <c r="O551" t="s">
        <v>4356</v>
      </c>
      <c r="P551" t="s">
        <v>4255</v>
      </c>
      <c r="Q551" t="s">
        <v>4256</v>
      </c>
      <c r="R551" t="s">
        <v>4257</v>
      </c>
      <c r="S551" t="s">
        <v>4258</v>
      </c>
      <c r="T551" t="s">
        <v>5045</v>
      </c>
      <c r="U551">
        <v>2022</v>
      </c>
      <c r="V551">
        <v>148</v>
      </c>
      <c r="W551" t="s">
        <v>4259</v>
      </c>
      <c r="X551" t="s">
        <v>8639</v>
      </c>
      <c r="Y551" t="str">
        <f>HYPERLINK("http://dx.doi.org/10.1007/s00704-022-03925-9","http://dx.doi.org/10.1007/s00704-022-03925-9")</f>
        <v>http://dx.doi.org/10.1007/s00704-022-03925-9</v>
      </c>
      <c r="Z551" t="s">
        <v>3825</v>
      </c>
      <c r="AA551" t="s">
        <v>3826</v>
      </c>
      <c r="AB551" s="3">
        <v>45672</v>
      </c>
      <c r="AC551" t="s">
        <v>8640</v>
      </c>
      <c r="AD551" t="str">
        <f>HYPERLINK("https%3A%2F%2Fwww.webofscience.com%2Fwos%2Fwoscc%2Ffull-record%2FWOS:000742579100001","View Full Record in Web of Science")</f>
        <v>View Full Record in Web of Science</v>
      </c>
    </row>
    <row r="552" spans="1:30" x14ac:dyDescent="0.35">
      <c r="A552">
        <v>551</v>
      </c>
      <c r="B552" t="s">
        <v>3581</v>
      </c>
      <c r="C552" t="s">
        <v>2178</v>
      </c>
      <c r="D552" t="s">
        <v>3581</v>
      </c>
      <c r="E552" t="s">
        <v>2931</v>
      </c>
      <c r="F552" t="s">
        <v>3810</v>
      </c>
      <c r="G552" t="s">
        <v>8641</v>
      </c>
      <c r="H552" t="s">
        <v>8642</v>
      </c>
      <c r="I552" t="s">
        <v>8643</v>
      </c>
      <c r="J552" t="s">
        <v>8644</v>
      </c>
      <c r="K552" t="s">
        <v>8645</v>
      </c>
      <c r="L552">
        <v>6</v>
      </c>
      <c r="M552" t="s">
        <v>4277</v>
      </c>
      <c r="N552" t="s">
        <v>4278</v>
      </c>
      <c r="O552" t="s">
        <v>4279</v>
      </c>
      <c r="P552" t="s">
        <v>5212</v>
      </c>
      <c r="Q552" t="s">
        <v>3808</v>
      </c>
      <c r="R552" t="s">
        <v>5213</v>
      </c>
      <c r="S552" t="s">
        <v>8646</v>
      </c>
      <c r="T552" t="s">
        <v>3918</v>
      </c>
      <c r="U552">
        <v>2019</v>
      </c>
      <c r="V552">
        <v>8</v>
      </c>
      <c r="W552">
        <v>7</v>
      </c>
      <c r="X552" t="s">
        <v>8647</v>
      </c>
      <c r="Y552" t="str">
        <f>HYPERLINK("http://dx.doi.org/10.3390/ijgi8070312","http://dx.doi.org/10.3390/ijgi8070312")</f>
        <v>http://dx.doi.org/10.3390/ijgi8070312</v>
      </c>
      <c r="Z552" t="s">
        <v>5216</v>
      </c>
      <c r="AA552" t="s">
        <v>3826</v>
      </c>
      <c r="AB552" s="3">
        <v>45672</v>
      </c>
      <c r="AC552" t="s">
        <v>8648</v>
      </c>
      <c r="AD552" t="str">
        <f>HYPERLINK("https%3A%2F%2Fwww.webofscience.com%2Fwos%2Fwoscc%2Ffull-record%2FWOS:000478616400004","View Full Record in Web of Science")</f>
        <v>View Full Record in Web of Science</v>
      </c>
    </row>
    <row r="553" spans="1:30" x14ac:dyDescent="0.35">
      <c r="A553">
        <v>552</v>
      </c>
      <c r="B553" t="s">
        <v>3582</v>
      </c>
      <c r="C553" t="s">
        <v>8649</v>
      </c>
      <c r="D553" t="s">
        <v>3582</v>
      </c>
      <c r="E553" t="s">
        <v>2919</v>
      </c>
      <c r="F553" t="s">
        <v>3810</v>
      </c>
      <c r="G553" t="s">
        <v>8650</v>
      </c>
      <c r="H553" t="s">
        <v>8651</v>
      </c>
      <c r="I553" t="s">
        <v>8652</v>
      </c>
      <c r="J553" t="s">
        <v>8653</v>
      </c>
      <c r="K553" t="s">
        <v>8654</v>
      </c>
      <c r="L553">
        <v>1</v>
      </c>
      <c r="M553" t="s">
        <v>4033</v>
      </c>
      <c r="N553" t="s">
        <v>4034</v>
      </c>
      <c r="O553" t="s">
        <v>5063</v>
      </c>
      <c r="P553" t="s">
        <v>4823</v>
      </c>
      <c r="Q553" t="s">
        <v>4824</v>
      </c>
      <c r="R553" t="s">
        <v>4825</v>
      </c>
      <c r="S553" t="s">
        <v>4826</v>
      </c>
      <c r="T553" t="s">
        <v>3974</v>
      </c>
      <c r="U553">
        <v>2023</v>
      </c>
      <c r="V553">
        <v>38</v>
      </c>
      <c r="W553">
        <v>6</v>
      </c>
      <c r="X553" t="s">
        <v>8655</v>
      </c>
      <c r="Y553" t="str">
        <f>HYPERLINK("http://dx.doi.org/10.1175/WAF-D-22-0160.1","http://dx.doi.org/10.1175/WAF-D-22-0160.1")</f>
        <v>http://dx.doi.org/10.1175/WAF-D-22-0160.1</v>
      </c>
      <c r="Z553" t="s">
        <v>3825</v>
      </c>
      <c r="AA553" t="s">
        <v>3826</v>
      </c>
      <c r="AB553" s="3">
        <v>45672</v>
      </c>
      <c r="AC553" t="s">
        <v>8656</v>
      </c>
      <c r="AD553" t="str">
        <f>HYPERLINK("https%3A%2F%2Fwww.webofscience.com%2Fwos%2Fwoscc%2Ffull-record%2FWOS:001016985200001","View Full Record in Web of Science")</f>
        <v>View Full Record in Web of Science</v>
      </c>
    </row>
    <row r="554" spans="1:30" x14ac:dyDescent="0.35">
      <c r="A554">
        <v>553</v>
      </c>
      <c r="B554" t="s">
        <v>3583</v>
      </c>
      <c r="C554" t="s">
        <v>8657</v>
      </c>
      <c r="D554" t="s">
        <v>3583</v>
      </c>
      <c r="E554" t="s">
        <v>2877</v>
      </c>
      <c r="F554" t="s">
        <v>3810</v>
      </c>
      <c r="G554" t="s">
        <v>8658</v>
      </c>
      <c r="H554" t="s">
        <v>8659</v>
      </c>
      <c r="I554" t="s">
        <v>8660</v>
      </c>
      <c r="J554" t="s">
        <v>8661</v>
      </c>
      <c r="K554" t="s">
        <v>8662</v>
      </c>
      <c r="L554">
        <v>16</v>
      </c>
      <c r="M554" t="s">
        <v>4033</v>
      </c>
      <c r="N554" t="s">
        <v>4034</v>
      </c>
      <c r="O554" t="s">
        <v>4035</v>
      </c>
      <c r="P554" t="s">
        <v>4036</v>
      </c>
      <c r="Q554" t="s">
        <v>4037</v>
      </c>
      <c r="R554" t="s">
        <v>4038</v>
      </c>
      <c r="S554" t="s">
        <v>4039</v>
      </c>
      <c r="T554" t="s">
        <v>5045</v>
      </c>
      <c r="U554">
        <v>2016</v>
      </c>
      <c r="V554">
        <v>29</v>
      </c>
      <c r="W554">
        <v>7</v>
      </c>
      <c r="X554" t="s">
        <v>8663</v>
      </c>
      <c r="Y554" t="str">
        <f>HYPERLINK("http://dx.doi.org/10.1175/JCLI-D-14-00574.1","http://dx.doi.org/10.1175/JCLI-D-14-00574.1")</f>
        <v>http://dx.doi.org/10.1175/JCLI-D-14-00574.1</v>
      </c>
      <c r="Z554" t="s">
        <v>3825</v>
      </c>
      <c r="AA554" t="s">
        <v>3826</v>
      </c>
      <c r="AB554" s="3">
        <v>45672</v>
      </c>
      <c r="AC554" t="s">
        <v>8664</v>
      </c>
      <c r="AD554" t="str">
        <f>HYPERLINK("https%3A%2F%2Fwww.webofscience.com%2Fwos%2Fwoscc%2Ffull-record%2FWOS:000372933100002","View Full Record in Web of Science")</f>
        <v>View Full Record in Web of Science</v>
      </c>
    </row>
    <row r="555" spans="1:30" x14ac:dyDescent="0.35">
      <c r="A555">
        <v>554</v>
      </c>
      <c r="B555" t="s">
        <v>3584</v>
      </c>
      <c r="C555" t="s">
        <v>8665</v>
      </c>
      <c r="D555" t="s">
        <v>3584</v>
      </c>
      <c r="E555" t="s">
        <v>2942</v>
      </c>
      <c r="F555" t="s">
        <v>3810</v>
      </c>
      <c r="G555" t="s">
        <v>8666</v>
      </c>
      <c r="H555" t="s">
        <v>8667</v>
      </c>
      <c r="I555" t="s">
        <v>8668</v>
      </c>
      <c r="J555" t="s">
        <v>8669</v>
      </c>
      <c r="K555" t="s">
        <v>8670</v>
      </c>
      <c r="L555">
        <v>1</v>
      </c>
      <c r="M555" t="s">
        <v>5554</v>
      </c>
      <c r="N555" t="s">
        <v>4378</v>
      </c>
      <c r="O555" t="s">
        <v>5555</v>
      </c>
      <c r="P555" t="s">
        <v>5556</v>
      </c>
      <c r="Q555" t="s">
        <v>5557</v>
      </c>
      <c r="R555" t="s">
        <v>5558</v>
      </c>
      <c r="S555" t="s">
        <v>5559</v>
      </c>
      <c r="T555" t="s">
        <v>3974</v>
      </c>
      <c r="U555">
        <v>2022</v>
      </c>
      <c r="V555">
        <v>17</v>
      </c>
      <c r="W555">
        <v>4</v>
      </c>
      <c r="X555" t="s">
        <v>8671</v>
      </c>
      <c r="Y555" t="str">
        <f>HYPERLINK("http://dx.doi.org/10.20965/jdr.2022.p0561","http://dx.doi.org/10.20965/jdr.2022.p0561")</f>
        <v>http://dx.doi.org/10.20965/jdr.2022.p0561</v>
      </c>
      <c r="Z555" t="s">
        <v>4116</v>
      </c>
      <c r="AA555" t="s">
        <v>4117</v>
      </c>
      <c r="AB555" s="3">
        <v>45672</v>
      </c>
      <c r="AC555" t="s">
        <v>8672</v>
      </c>
      <c r="AD555" t="str">
        <f>HYPERLINK("https%3A%2F%2Fwww.webofscience.com%2Fwos%2Fwoscc%2Ffull-record%2FWOS:000806742200008","View Full Record in Web of Science")</f>
        <v>View Full Record in Web of Science</v>
      </c>
    </row>
    <row r="556" spans="1:30" x14ac:dyDescent="0.35">
      <c r="A556">
        <v>555</v>
      </c>
      <c r="B556" t="s">
        <v>3585</v>
      </c>
      <c r="C556" t="s">
        <v>8673</v>
      </c>
      <c r="D556" t="s">
        <v>3585</v>
      </c>
      <c r="E556" t="s">
        <v>2888</v>
      </c>
      <c r="F556" t="s">
        <v>3810</v>
      </c>
      <c r="G556" t="s">
        <v>8674</v>
      </c>
      <c r="H556" t="s">
        <v>8675</v>
      </c>
      <c r="I556" t="s">
        <v>8676</v>
      </c>
      <c r="J556" t="s">
        <v>8677</v>
      </c>
      <c r="K556" t="s">
        <v>8678</v>
      </c>
      <c r="L556">
        <v>16</v>
      </c>
      <c r="M556" t="s">
        <v>4211</v>
      </c>
      <c r="N556" t="s">
        <v>3952</v>
      </c>
      <c r="O556" t="s">
        <v>4212</v>
      </c>
      <c r="P556" t="s">
        <v>4198</v>
      </c>
      <c r="Q556" t="s">
        <v>4199</v>
      </c>
      <c r="R556" t="s">
        <v>4200</v>
      </c>
      <c r="S556" t="s">
        <v>4201</v>
      </c>
      <c r="T556" t="s">
        <v>4016</v>
      </c>
      <c r="U556">
        <v>2015</v>
      </c>
      <c r="V556">
        <v>133</v>
      </c>
      <c r="W556" t="s">
        <v>3808</v>
      </c>
      <c r="X556" t="s">
        <v>8679</v>
      </c>
      <c r="Y556" t="str">
        <f>HYPERLINK("http://dx.doi.org/10.1016/j.gloplacha.2015.07.003","http://dx.doi.org/10.1016/j.gloplacha.2015.07.003")</f>
        <v>http://dx.doi.org/10.1016/j.gloplacha.2015.07.003</v>
      </c>
      <c r="Z556" t="s">
        <v>4203</v>
      </c>
      <c r="AA556" t="s">
        <v>3826</v>
      </c>
      <c r="AB556" s="3">
        <v>45672</v>
      </c>
      <c r="AC556" t="s">
        <v>8680</v>
      </c>
      <c r="AD556" t="str">
        <f>HYPERLINK("https%3A%2F%2Fwww.webofscience.com%2Fwos%2Fwoscc%2Ffull-record%2FWOS:000365053700003","View Full Record in Web of Science")</f>
        <v>View Full Record in Web of Science</v>
      </c>
    </row>
    <row r="557" spans="1:30" x14ac:dyDescent="0.35">
      <c r="A557">
        <v>556</v>
      </c>
      <c r="B557" t="s">
        <v>3586</v>
      </c>
      <c r="C557" t="s">
        <v>8681</v>
      </c>
      <c r="D557" t="s">
        <v>3586</v>
      </c>
      <c r="E557" t="s">
        <v>2926</v>
      </c>
      <c r="F557" t="s">
        <v>3810</v>
      </c>
      <c r="G557" t="s">
        <v>8682</v>
      </c>
      <c r="H557" t="s">
        <v>8683</v>
      </c>
      <c r="I557" t="s">
        <v>8684</v>
      </c>
      <c r="J557" t="s">
        <v>8685</v>
      </c>
      <c r="K557" t="s">
        <v>8686</v>
      </c>
      <c r="L557">
        <v>2</v>
      </c>
      <c r="M557" t="s">
        <v>3951</v>
      </c>
      <c r="N557" t="s">
        <v>3952</v>
      </c>
      <c r="O557" t="s">
        <v>3953</v>
      </c>
      <c r="P557" t="s">
        <v>5029</v>
      </c>
      <c r="Q557" t="s">
        <v>3808</v>
      </c>
      <c r="R557" t="s">
        <v>5030</v>
      </c>
      <c r="S557" t="s">
        <v>5031</v>
      </c>
      <c r="T557" t="s">
        <v>3918</v>
      </c>
      <c r="U557">
        <v>2023</v>
      </c>
      <c r="V557">
        <v>93</v>
      </c>
      <c r="W557" t="s">
        <v>3808</v>
      </c>
      <c r="X557" t="s">
        <v>8687</v>
      </c>
      <c r="Y557" t="str">
        <f>HYPERLINK("http://dx.doi.org/10.1016/j.ijdrr.2023.103745","http://dx.doi.org/10.1016/j.ijdrr.2023.103745")</f>
        <v>http://dx.doi.org/10.1016/j.ijdrr.2023.103745</v>
      </c>
      <c r="Z557" t="s">
        <v>3934</v>
      </c>
      <c r="AA557" t="s">
        <v>3826</v>
      </c>
      <c r="AB557" s="3">
        <v>45672</v>
      </c>
      <c r="AC557" t="s">
        <v>8688</v>
      </c>
      <c r="AD557" t="str">
        <f>HYPERLINK("https%3A%2F%2Fwww.webofscience.com%2Fwos%2Fwoscc%2Ffull-record%2FWOS:000999206000001","View Full Record in Web of Science")</f>
        <v>View Full Record in Web of Science</v>
      </c>
    </row>
    <row r="558" spans="1:30" x14ac:dyDescent="0.35">
      <c r="A558">
        <v>557</v>
      </c>
      <c r="B558" t="s">
        <v>3587</v>
      </c>
      <c r="C558" t="s">
        <v>8689</v>
      </c>
      <c r="D558" t="s">
        <v>3587</v>
      </c>
      <c r="E558" t="s">
        <v>2921</v>
      </c>
      <c r="F558" t="s">
        <v>3810</v>
      </c>
      <c r="G558" t="s">
        <v>8690</v>
      </c>
      <c r="H558" t="s">
        <v>8691</v>
      </c>
      <c r="I558" t="s">
        <v>8692</v>
      </c>
      <c r="J558" t="s">
        <v>8693</v>
      </c>
      <c r="K558" t="s">
        <v>8694</v>
      </c>
      <c r="L558">
        <v>2</v>
      </c>
      <c r="M558" t="s">
        <v>4888</v>
      </c>
      <c r="N558" t="s">
        <v>3835</v>
      </c>
      <c r="O558" t="s">
        <v>4407</v>
      </c>
      <c r="P558" t="s">
        <v>4889</v>
      </c>
      <c r="Q558" t="s">
        <v>4890</v>
      </c>
      <c r="R558" t="s">
        <v>4891</v>
      </c>
      <c r="S558" t="s">
        <v>4892</v>
      </c>
      <c r="T558" t="s">
        <v>5045</v>
      </c>
      <c r="U558">
        <v>2021</v>
      </c>
      <c r="V558">
        <v>32</v>
      </c>
      <c r="W558">
        <v>2</v>
      </c>
      <c r="X558" t="s">
        <v>8695</v>
      </c>
      <c r="Y558" t="str">
        <f>HYPERLINK("http://dx.doi.org/10.3319/TAO.2020.12.17.01","http://dx.doi.org/10.3319/TAO.2020.12.17.01")</f>
        <v>http://dx.doi.org/10.3319/TAO.2020.12.17.01</v>
      </c>
      <c r="Z558" t="s">
        <v>4894</v>
      </c>
      <c r="AA558" t="s">
        <v>3826</v>
      </c>
      <c r="AB558" s="3">
        <v>45672</v>
      </c>
      <c r="AC558" t="s">
        <v>8696</v>
      </c>
      <c r="AD558" t="str">
        <f>HYPERLINK("https%3A%2F%2Fwww.webofscience.com%2Fwos%2Fwoscc%2Ffull-record%2FWOS:000675914500005","View Full Record in Web of Science")</f>
        <v>View Full Record in Web of Science</v>
      </c>
    </row>
    <row r="559" spans="1:30" x14ac:dyDescent="0.35">
      <c r="A559">
        <v>558</v>
      </c>
      <c r="B559" t="s">
        <v>3588</v>
      </c>
      <c r="C559" t="s">
        <v>8697</v>
      </c>
      <c r="D559" t="s">
        <v>3588</v>
      </c>
      <c r="E559" t="s">
        <v>2869</v>
      </c>
      <c r="F559" t="s">
        <v>3810</v>
      </c>
      <c r="G559" t="s">
        <v>8698</v>
      </c>
      <c r="H559" t="s">
        <v>8699</v>
      </c>
      <c r="I559" t="s">
        <v>8700</v>
      </c>
      <c r="J559" t="s">
        <v>8701</v>
      </c>
      <c r="K559" t="s">
        <v>8702</v>
      </c>
      <c r="L559">
        <v>11</v>
      </c>
      <c r="M559" t="s">
        <v>3880</v>
      </c>
      <c r="N559" t="s">
        <v>3881</v>
      </c>
      <c r="O559" t="s">
        <v>6814</v>
      </c>
      <c r="P559" t="s">
        <v>3897</v>
      </c>
      <c r="Q559" t="s">
        <v>3898</v>
      </c>
      <c r="R559" t="s">
        <v>3899</v>
      </c>
      <c r="S559" t="s">
        <v>3900</v>
      </c>
      <c r="T559" t="s">
        <v>3901</v>
      </c>
      <c r="U559">
        <v>2014</v>
      </c>
      <c r="V559">
        <v>35</v>
      </c>
      <c r="W559">
        <v>8</v>
      </c>
      <c r="X559" t="s">
        <v>8703</v>
      </c>
      <c r="Y559" t="str">
        <f>HYPERLINK("http://dx.doi.org/10.1080/01431161.2014.890304","http://dx.doi.org/10.1080/01431161.2014.890304")</f>
        <v>http://dx.doi.org/10.1080/01431161.2014.890304</v>
      </c>
      <c r="Z559" t="s">
        <v>3903</v>
      </c>
      <c r="AA559" t="s">
        <v>3826</v>
      </c>
      <c r="AB559" s="3">
        <v>45672</v>
      </c>
      <c r="AC559" t="s">
        <v>8704</v>
      </c>
      <c r="AD559" t="str">
        <f>HYPERLINK("https%3A%2F%2Fwww.webofscience.com%2Fwos%2Fwoscc%2Ffull-record%2FWOS:000333875100003","View Full Record in Web of Science")</f>
        <v>View Full Record in Web of Science</v>
      </c>
    </row>
    <row r="560" spans="1:30" x14ac:dyDescent="0.35">
      <c r="A560">
        <v>559</v>
      </c>
      <c r="B560" t="s">
        <v>3589</v>
      </c>
      <c r="C560" t="s">
        <v>2208</v>
      </c>
      <c r="D560" t="s">
        <v>3589</v>
      </c>
      <c r="E560" t="s">
        <v>2867</v>
      </c>
      <c r="F560" t="s">
        <v>3810</v>
      </c>
      <c r="G560" t="s">
        <v>8705</v>
      </c>
      <c r="H560" t="s">
        <v>8706</v>
      </c>
      <c r="I560" t="s">
        <v>8707</v>
      </c>
      <c r="K560" t="s">
        <v>3808</v>
      </c>
      <c r="L560">
        <v>2</v>
      </c>
      <c r="M560" t="s">
        <v>3866</v>
      </c>
      <c r="N560" t="s">
        <v>3817</v>
      </c>
      <c r="O560" t="s">
        <v>3867</v>
      </c>
      <c r="P560" t="s">
        <v>3868</v>
      </c>
      <c r="Q560" t="s">
        <v>3869</v>
      </c>
      <c r="R560" t="s">
        <v>3870</v>
      </c>
      <c r="S560" t="s">
        <v>3871</v>
      </c>
      <c r="T560" t="s">
        <v>4137</v>
      </c>
      <c r="U560">
        <v>2022</v>
      </c>
      <c r="V560">
        <v>59</v>
      </c>
      <c r="W560" t="s">
        <v>4268</v>
      </c>
      <c r="X560" t="s">
        <v>8708</v>
      </c>
      <c r="Y560" t="str">
        <f>HYPERLINK("http://dx.doi.org/10.1007/s00382-022-06181-9","http://dx.doi.org/10.1007/s00382-022-06181-9")</f>
        <v>http://dx.doi.org/10.1007/s00382-022-06181-9</v>
      </c>
      <c r="Z560" t="s">
        <v>3825</v>
      </c>
      <c r="AA560" t="s">
        <v>3826</v>
      </c>
      <c r="AB560" s="3">
        <v>45672</v>
      </c>
      <c r="AC560" t="s">
        <v>8709</v>
      </c>
      <c r="AD560" t="str">
        <f>HYPERLINK("https%3A%2F%2Fwww.webofscience.com%2Fwos%2Fwoscc%2Ffull-record%2FWOS:000757183600001","View Full Record in Web of Science")</f>
        <v>View Full Record in Web of Science</v>
      </c>
    </row>
    <row r="561" spans="1:30" x14ac:dyDescent="0.35">
      <c r="A561">
        <v>560</v>
      </c>
      <c r="B561" t="s">
        <v>3590</v>
      </c>
      <c r="C561" t="s">
        <v>8710</v>
      </c>
      <c r="D561" t="s">
        <v>3590</v>
      </c>
      <c r="E561" t="s">
        <v>2872</v>
      </c>
      <c r="F561" t="s">
        <v>3810</v>
      </c>
      <c r="G561" t="s">
        <v>8711</v>
      </c>
      <c r="H561" t="s">
        <v>8712</v>
      </c>
      <c r="I561" t="s">
        <v>8713</v>
      </c>
      <c r="J561" t="s">
        <v>8714</v>
      </c>
      <c r="K561" t="s">
        <v>8715</v>
      </c>
      <c r="L561">
        <v>10</v>
      </c>
      <c r="M561" t="s">
        <v>3951</v>
      </c>
      <c r="N561" t="s">
        <v>3952</v>
      </c>
      <c r="O561" t="s">
        <v>3953</v>
      </c>
      <c r="P561" t="s">
        <v>3954</v>
      </c>
      <c r="Q561" t="s">
        <v>3955</v>
      </c>
      <c r="R561" t="s">
        <v>3956</v>
      </c>
      <c r="S561" t="s">
        <v>3957</v>
      </c>
      <c r="T561" t="s">
        <v>3918</v>
      </c>
      <c r="U561">
        <v>2022</v>
      </c>
      <c r="V561">
        <v>610</v>
      </c>
      <c r="W561" t="s">
        <v>3808</v>
      </c>
      <c r="X561" t="s">
        <v>8716</v>
      </c>
      <c r="Y561" t="str">
        <f>HYPERLINK("http://dx.doi.org/10.1016/j.jhydrol.2022.127927","http://dx.doi.org/10.1016/j.jhydrol.2022.127927")</f>
        <v>http://dx.doi.org/10.1016/j.jhydrol.2022.127927</v>
      </c>
      <c r="Z561" t="s">
        <v>3960</v>
      </c>
      <c r="AA561" t="s">
        <v>3826</v>
      </c>
      <c r="AB561" s="3">
        <v>45672</v>
      </c>
      <c r="AC561" t="s">
        <v>8717</v>
      </c>
      <c r="AD561" t="str">
        <f>HYPERLINK("https%3A%2F%2Fwww.webofscience.com%2Fwos%2Fwoscc%2Ffull-record%2FWOS:000820715700002","View Full Record in Web of Science")</f>
        <v>View Full Record in Web of Science</v>
      </c>
    </row>
    <row r="562" spans="1:30" x14ac:dyDescent="0.35">
      <c r="A562">
        <v>561</v>
      </c>
      <c r="B562" t="s">
        <v>3591</v>
      </c>
      <c r="C562" t="s">
        <v>8718</v>
      </c>
      <c r="D562" t="s">
        <v>3591</v>
      </c>
      <c r="E562" t="s">
        <v>2877</v>
      </c>
      <c r="F562" t="s">
        <v>3810</v>
      </c>
      <c r="G562" t="s">
        <v>8719</v>
      </c>
      <c r="H562" t="s">
        <v>8720</v>
      </c>
      <c r="I562" t="s">
        <v>8721</v>
      </c>
      <c r="J562" t="s">
        <v>8722</v>
      </c>
      <c r="K562" t="s">
        <v>8723</v>
      </c>
      <c r="L562">
        <v>15</v>
      </c>
      <c r="M562" t="s">
        <v>4033</v>
      </c>
      <c r="N562" t="s">
        <v>4034</v>
      </c>
      <c r="O562" t="s">
        <v>4035</v>
      </c>
      <c r="P562" t="s">
        <v>4036</v>
      </c>
      <c r="Q562" t="s">
        <v>4037</v>
      </c>
      <c r="R562" t="s">
        <v>4038</v>
      </c>
      <c r="S562" t="s">
        <v>4039</v>
      </c>
      <c r="T562" t="s">
        <v>3872</v>
      </c>
      <c r="U562">
        <v>2019</v>
      </c>
      <c r="V562">
        <v>32</v>
      </c>
      <c r="W562">
        <v>17</v>
      </c>
      <c r="X562" t="s">
        <v>8724</v>
      </c>
      <c r="Y562" t="str">
        <f>HYPERLINK("http://dx.doi.org/10.1175/JCLI-D-18-0513.1","http://dx.doi.org/10.1175/JCLI-D-18-0513.1")</f>
        <v>http://dx.doi.org/10.1175/JCLI-D-18-0513.1</v>
      </c>
      <c r="Z562" t="s">
        <v>3825</v>
      </c>
      <c r="AA562" t="s">
        <v>3826</v>
      </c>
      <c r="AB562" s="3">
        <v>45672</v>
      </c>
      <c r="AC562" t="s">
        <v>8725</v>
      </c>
      <c r="AD562" t="str">
        <f>HYPERLINK("https%3A%2F%2Fwww.webofscience.com%2Fwos%2Fwoscc%2Ffull-record%2FWOS:000477763000003","View Full Record in Web of Science")</f>
        <v>View Full Record in Web of Science</v>
      </c>
    </row>
    <row r="563" spans="1:30" x14ac:dyDescent="0.35">
      <c r="A563">
        <v>562</v>
      </c>
      <c r="B563" t="s">
        <v>3592</v>
      </c>
      <c r="C563" t="s">
        <v>6668</v>
      </c>
      <c r="D563" t="s">
        <v>3592</v>
      </c>
      <c r="E563" t="s">
        <v>2871</v>
      </c>
      <c r="F563" t="s">
        <v>3810</v>
      </c>
      <c r="G563" t="s">
        <v>8726</v>
      </c>
      <c r="H563" t="s">
        <v>8727</v>
      </c>
      <c r="I563" t="s">
        <v>4633</v>
      </c>
      <c r="J563" t="s">
        <v>8728</v>
      </c>
      <c r="K563" t="s">
        <v>8729</v>
      </c>
      <c r="L563">
        <v>2</v>
      </c>
      <c r="M563" t="s">
        <v>3866</v>
      </c>
      <c r="N563" t="s">
        <v>3817</v>
      </c>
      <c r="O563" t="s">
        <v>3867</v>
      </c>
      <c r="P563" t="s">
        <v>3928</v>
      </c>
      <c r="Q563" t="s">
        <v>3929</v>
      </c>
      <c r="R563" t="s">
        <v>3930</v>
      </c>
      <c r="S563" t="s">
        <v>3931</v>
      </c>
      <c r="T563" t="s">
        <v>3872</v>
      </c>
      <c r="U563">
        <v>2014</v>
      </c>
      <c r="V563">
        <v>73</v>
      </c>
      <c r="W563">
        <v>3</v>
      </c>
      <c r="X563" t="s">
        <v>8730</v>
      </c>
      <c r="Y563" t="str">
        <f>HYPERLINK("http://dx.doi.org/10.1007/s11069-014-1176-6","http://dx.doi.org/10.1007/s11069-014-1176-6")</f>
        <v>http://dx.doi.org/10.1007/s11069-014-1176-6</v>
      </c>
      <c r="Z563" t="s">
        <v>3934</v>
      </c>
      <c r="AA563" t="s">
        <v>3826</v>
      </c>
      <c r="AB563" s="3">
        <v>45672</v>
      </c>
      <c r="AC563" t="s">
        <v>8731</v>
      </c>
      <c r="AD563" t="str">
        <f>HYPERLINK("https%3A%2F%2Fwww.webofscience.com%2Fwos%2Fwoscc%2Ffull-record%2FWOS:000340492700039","View Full Record in Web of Science")</f>
        <v>View Full Record in Web of Science</v>
      </c>
    </row>
    <row r="564" spans="1:30" x14ac:dyDescent="0.35">
      <c r="A564">
        <v>563</v>
      </c>
      <c r="B564" t="s">
        <v>3593</v>
      </c>
      <c r="C564" t="s">
        <v>8732</v>
      </c>
      <c r="D564" t="s">
        <v>3593</v>
      </c>
      <c r="E564" t="s">
        <v>2882</v>
      </c>
      <c r="F564" t="s">
        <v>3810</v>
      </c>
      <c r="G564" t="s">
        <v>8733</v>
      </c>
      <c r="H564" t="s">
        <v>8734</v>
      </c>
      <c r="I564" t="s">
        <v>8735</v>
      </c>
      <c r="J564" t="s">
        <v>4544</v>
      </c>
      <c r="K564" t="s">
        <v>8736</v>
      </c>
      <c r="L564">
        <v>0</v>
      </c>
      <c r="M564" t="s">
        <v>3850</v>
      </c>
      <c r="N564" t="s">
        <v>3851</v>
      </c>
      <c r="O564" t="s">
        <v>3852</v>
      </c>
      <c r="P564" t="s">
        <v>4088</v>
      </c>
      <c r="Q564" t="s">
        <v>4089</v>
      </c>
      <c r="R564" t="s">
        <v>4090</v>
      </c>
      <c r="S564" t="s">
        <v>4091</v>
      </c>
      <c r="T564" t="s">
        <v>4001</v>
      </c>
      <c r="U564">
        <v>2023</v>
      </c>
      <c r="V564">
        <v>149</v>
      </c>
      <c r="W564">
        <v>751</v>
      </c>
      <c r="X564" t="s">
        <v>8737</v>
      </c>
      <c r="Y564" t="str">
        <f>HYPERLINK("http://dx.doi.org/10.1002/qj.4423","http://dx.doi.org/10.1002/qj.4423")</f>
        <v>http://dx.doi.org/10.1002/qj.4423</v>
      </c>
      <c r="Z564" t="s">
        <v>3825</v>
      </c>
      <c r="AA564" t="s">
        <v>3826</v>
      </c>
      <c r="AB564" s="3">
        <v>45672</v>
      </c>
      <c r="AC564" t="s">
        <v>8738</v>
      </c>
      <c r="AD564" t="str">
        <f>HYPERLINK("https%3A%2F%2Fwww.webofscience.com%2Fwos%2Fwoscc%2Ffull-record%2FWOS:000930655900001","View Full Record in Web of Science")</f>
        <v>View Full Record in Web of Science</v>
      </c>
    </row>
    <row r="565" spans="1:30" x14ac:dyDescent="0.35">
      <c r="A565">
        <v>564</v>
      </c>
      <c r="B565" t="s">
        <v>3594</v>
      </c>
      <c r="C565" t="s">
        <v>8739</v>
      </c>
      <c r="D565" t="s">
        <v>3594</v>
      </c>
      <c r="E565" t="s">
        <v>2969</v>
      </c>
      <c r="F565" t="s">
        <v>3810</v>
      </c>
      <c r="G565" t="s">
        <v>8740</v>
      </c>
      <c r="H565" t="s">
        <v>8741</v>
      </c>
      <c r="I565" t="s">
        <v>8742</v>
      </c>
      <c r="J565" t="s">
        <v>8743</v>
      </c>
      <c r="K565" t="s">
        <v>8744</v>
      </c>
      <c r="L565">
        <v>117</v>
      </c>
      <c r="M565" t="s">
        <v>4061</v>
      </c>
      <c r="N565" t="s">
        <v>4062</v>
      </c>
      <c r="O565" t="s">
        <v>4063</v>
      </c>
      <c r="P565" t="s">
        <v>6830</v>
      </c>
      <c r="Q565" t="s">
        <v>6831</v>
      </c>
      <c r="R565" t="s">
        <v>6832</v>
      </c>
      <c r="S565" t="s">
        <v>6833</v>
      </c>
      <c r="T565" t="s">
        <v>3974</v>
      </c>
      <c r="U565">
        <v>2016</v>
      </c>
      <c r="V565">
        <v>30</v>
      </c>
      <c r="W565">
        <v>3</v>
      </c>
      <c r="X565" t="s">
        <v>8745</v>
      </c>
      <c r="Y565" t="str">
        <f>HYPERLINK("http://dx.doi.org/10.1007/s13351-016-6101-3","http://dx.doi.org/10.1007/s13351-016-6101-3")</f>
        <v>http://dx.doi.org/10.1007/s13351-016-6101-3</v>
      </c>
      <c r="Z565" t="s">
        <v>3825</v>
      </c>
      <c r="AA565" t="s">
        <v>3826</v>
      </c>
      <c r="AB565" s="3">
        <v>45672</v>
      </c>
      <c r="AC565" t="s">
        <v>8746</v>
      </c>
      <c r="AD565" t="str">
        <f>HYPERLINK("https%3A%2F%2Fwww.webofscience.com%2Fwos%2Fwoscc%2Ffull-record%2FWOS:000379502700001","View Full Record in Web of Science")</f>
        <v>View Full Record in Web of Science</v>
      </c>
    </row>
    <row r="566" spans="1:30" x14ac:dyDescent="0.35">
      <c r="A566">
        <v>565</v>
      </c>
      <c r="B566" t="s">
        <v>3595</v>
      </c>
      <c r="C566" t="s">
        <v>8747</v>
      </c>
      <c r="D566" t="s">
        <v>3595</v>
      </c>
      <c r="E566" t="s">
        <v>2932</v>
      </c>
      <c r="F566" t="s">
        <v>3810</v>
      </c>
      <c r="G566" t="s">
        <v>8748</v>
      </c>
      <c r="H566" t="s">
        <v>8749</v>
      </c>
      <c r="I566" t="s">
        <v>8750</v>
      </c>
      <c r="J566" t="s">
        <v>8751</v>
      </c>
      <c r="K566" t="s">
        <v>8752</v>
      </c>
      <c r="L566">
        <v>7</v>
      </c>
      <c r="M566" t="s">
        <v>4922</v>
      </c>
      <c r="N566" t="s">
        <v>4109</v>
      </c>
      <c r="O566" t="s">
        <v>4923</v>
      </c>
      <c r="P566" t="s">
        <v>5241</v>
      </c>
      <c r="Q566" t="s">
        <v>5242</v>
      </c>
      <c r="R566" t="s">
        <v>5243</v>
      </c>
      <c r="S566" t="s">
        <v>5244</v>
      </c>
      <c r="T566" t="s">
        <v>5045</v>
      </c>
      <c r="U566">
        <v>2016</v>
      </c>
      <c r="V566">
        <v>33</v>
      </c>
      <c r="W566">
        <v>4</v>
      </c>
      <c r="X566" t="s">
        <v>8753</v>
      </c>
      <c r="Y566" t="str">
        <f>HYPERLINK("http://dx.doi.org/10.1007/s00376-015-5097-4","http://dx.doi.org/10.1007/s00376-015-5097-4")</f>
        <v>http://dx.doi.org/10.1007/s00376-015-5097-4</v>
      </c>
      <c r="Z566" t="s">
        <v>3825</v>
      </c>
      <c r="AA566" t="s">
        <v>3826</v>
      </c>
      <c r="AB566" s="3">
        <v>45672</v>
      </c>
      <c r="AC566" t="s">
        <v>8754</v>
      </c>
      <c r="AD566" t="str">
        <f>HYPERLINK("https%3A%2F%2Fwww.webofscience.com%2Fwos%2Fwoscc%2Ffull-record%2FWOS:000370030100010","View Full Record in Web of Science")</f>
        <v>View Full Record in Web of Science</v>
      </c>
    </row>
    <row r="567" spans="1:30" x14ac:dyDescent="0.35">
      <c r="A567">
        <v>566</v>
      </c>
      <c r="B567" t="s">
        <v>3596</v>
      </c>
      <c r="C567" t="s">
        <v>8755</v>
      </c>
      <c r="D567" t="s">
        <v>3596</v>
      </c>
      <c r="E567" t="s">
        <v>2867</v>
      </c>
      <c r="F567" t="s">
        <v>3810</v>
      </c>
      <c r="G567" t="s">
        <v>8756</v>
      </c>
      <c r="H567" t="s">
        <v>8757</v>
      </c>
      <c r="I567" t="s">
        <v>8758</v>
      </c>
      <c r="J567" t="s">
        <v>8759</v>
      </c>
      <c r="K567" t="s">
        <v>8760</v>
      </c>
      <c r="L567">
        <v>42</v>
      </c>
      <c r="M567" t="s">
        <v>3866</v>
      </c>
      <c r="N567" t="s">
        <v>3817</v>
      </c>
      <c r="O567" t="s">
        <v>4290</v>
      </c>
      <c r="P567" t="s">
        <v>3868</v>
      </c>
      <c r="Q567" t="s">
        <v>3869</v>
      </c>
      <c r="R567" t="s">
        <v>3870</v>
      </c>
      <c r="S567" t="s">
        <v>3871</v>
      </c>
      <c r="T567" t="s">
        <v>4001</v>
      </c>
      <c r="U567">
        <v>2019</v>
      </c>
      <c r="V567">
        <v>52</v>
      </c>
      <c r="W567" t="s">
        <v>4259</v>
      </c>
      <c r="X567" t="s">
        <v>8761</v>
      </c>
      <c r="Y567" t="str">
        <f>HYPERLINK("http://dx.doi.org/10.1007/s00382-018-4170-y","http://dx.doi.org/10.1007/s00382-018-4170-y")</f>
        <v>http://dx.doi.org/10.1007/s00382-018-4170-y</v>
      </c>
      <c r="Z567" t="s">
        <v>3825</v>
      </c>
      <c r="AA567" t="s">
        <v>3826</v>
      </c>
      <c r="AB567" s="3">
        <v>45672</v>
      </c>
      <c r="AC567" t="s">
        <v>8762</v>
      </c>
      <c r="AD567" t="str">
        <f>HYPERLINK("https%3A%2F%2Fwww.webofscience.com%2Fwos%2Fwoscc%2Ffull-record%2FWOS:000460619200031","View Full Record in Web of Science")</f>
        <v>View Full Record in Web of Science</v>
      </c>
    </row>
    <row r="568" spans="1:30" x14ac:dyDescent="0.35">
      <c r="A568">
        <v>567</v>
      </c>
      <c r="B568" t="s">
        <v>3597</v>
      </c>
      <c r="C568" t="s">
        <v>8763</v>
      </c>
      <c r="D568" t="s">
        <v>3597</v>
      </c>
      <c r="E568" t="s">
        <v>2866</v>
      </c>
      <c r="F568" t="s">
        <v>3810</v>
      </c>
      <c r="G568" t="s">
        <v>8764</v>
      </c>
      <c r="H568" t="s">
        <v>8765</v>
      </c>
      <c r="I568" t="s">
        <v>8766</v>
      </c>
      <c r="K568" t="s">
        <v>3808</v>
      </c>
      <c r="L568">
        <v>4</v>
      </c>
      <c r="M568" t="s">
        <v>3850</v>
      </c>
      <c r="N568" t="s">
        <v>3851</v>
      </c>
      <c r="O568" t="s">
        <v>3852</v>
      </c>
      <c r="P568" t="s">
        <v>3853</v>
      </c>
      <c r="Q568" t="s">
        <v>3854</v>
      </c>
      <c r="R568" t="s">
        <v>3855</v>
      </c>
      <c r="S568" t="s">
        <v>3856</v>
      </c>
      <c r="T568" t="s">
        <v>4016</v>
      </c>
      <c r="U568">
        <v>2021</v>
      </c>
      <c r="V568">
        <v>41</v>
      </c>
      <c r="W568">
        <v>12</v>
      </c>
      <c r="X568" t="s">
        <v>8767</v>
      </c>
      <c r="Y568" t="str">
        <f>HYPERLINK("http://dx.doi.org/10.1002/joc.7143","http://dx.doi.org/10.1002/joc.7143")</f>
        <v>http://dx.doi.org/10.1002/joc.7143</v>
      </c>
      <c r="Z568" t="s">
        <v>3825</v>
      </c>
      <c r="AA568" t="s">
        <v>3826</v>
      </c>
      <c r="AB568" s="3">
        <v>45672</v>
      </c>
      <c r="AC568" t="s">
        <v>8768</v>
      </c>
      <c r="AD568" t="str">
        <f>HYPERLINK("https%3A%2F%2Fwww.webofscience.com%2Fwos%2Fwoscc%2Ffull-record%2FWOS:000650546200001","View Full Record in Web of Science")</f>
        <v>View Full Record in Web of Science</v>
      </c>
    </row>
    <row r="569" spans="1:30" x14ac:dyDescent="0.35">
      <c r="A569">
        <v>568</v>
      </c>
      <c r="B569" t="s">
        <v>3598</v>
      </c>
      <c r="C569" t="s">
        <v>8769</v>
      </c>
      <c r="D569" t="s">
        <v>3598</v>
      </c>
      <c r="E569" t="s">
        <v>2894</v>
      </c>
      <c r="F569" t="s">
        <v>3810</v>
      </c>
      <c r="G569" t="s">
        <v>8770</v>
      </c>
      <c r="H569" t="s">
        <v>8771</v>
      </c>
      <c r="I569" t="s">
        <v>8772</v>
      </c>
      <c r="J569" t="s">
        <v>8773</v>
      </c>
      <c r="K569" t="s">
        <v>8774</v>
      </c>
      <c r="L569">
        <v>116</v>
      </c>
      <c r="M569" t="s">
        <v>4252</v>
      </c>
      <c r="N569" t="s">
        <v>4253</v>
      </c>
      <c r="O569" t="s">
        <v>4254</v>
      </c>
      <c r="P569" t="s">
        <v>4255</v>
      </c>
      <c r="Q569" t="s">
        <v>4256</v>
      </c>
      <c r="R569" t="s">
        <v>4257</v>
      </c>
      <c r="S569" t="s">
        <v>4258</v>
      </c>
      <c r="T569" t="s">
        <v>4137</v>
      </c>
      <c r="U569">
        <v>2014</v>
      </c>
      <c r="V569">
        <v>117</v>
      </c>
      <c r="W569" t="s">
        <v>4268</v>
      </c>
      <c r="X569" t="s">
        <v>8775</v>
      </c>
      <c r="Y569" t="str">
        <f>HYPERLINK("http://dx.doi.org/10.1007/s00704-013-1019-5","http://dx.doi.org/10.1007/s00704-013-1019-5")</f>
        <v>http://dx.doi.org/10.1007/s00704-013-1019-5</v>
      </c>
      <c r="Z569" t="s">
        <v>3825</v>
      </c>
      <c r="AA569" t="s">
        <v>3826</v>
      </c>
      <c r="AB569" s="3">
        <v>45672</v>
      </c>
      <c r="AC569" t="s">
        <v>8776</v>
      </c>
      <c r="AD569" t="str">
        <f>HYPERLINK("https%3A%2F%2Fwww.webofscience.com%2Fwos%2Fwoscc%2Ffull-record%2FWOS:000339905000008","View Full Record in Web of Science")</f>
        <v>View Full Record in Web of Science</v>
      </c>
    </row>
    <row r="570" spans="1:30" x14ac:dyDescent="0.35">
      <c r="A570">
        <v>569</v>
      </c>
      <c r="B570" t="s">
        <v>3599</v>
      </c>
      <c r="C570" t="s">
        <v>8777</v>
      </c>
      <c r="D570" t="s">
        <v>3599</v>
      </c>
      <c r="E570" t="s">
        <v>2866</v>
      </c>
      <c r="F570" t="s">
        <v>3810</v>
      </c>
      <c r="G570" t="s">
        <v>8778</v>
      </c>
      <c r="H570" t="s">
        <v>8779</v>
      </c>
      <c r="I570" t="s">
        <v>8780</v>
      </c>
      <c r="J570" t="s">
        <v>8781</v>
      </c>
      <c r="K570" t="s">
        <v>8782</v>
      </c>
      <c r="L570">
        <v>3</v>
      </c>
      <c r="M570" t="s">
        <v>3850</v>
      </c>
      <c r="N570" t="s">
        <v>3851</v>
      </c>
      <c r="O570" t="s">
        <v>3852</v>
      </c>
      <c r="P570" t="s">
        <v>3853</v>
      </c>
      <c r="Q570" t="s">
        <v>3854</v>
      </c>
      <c r="R570" t="s">
        <v>3855</v>
      </c>
      <c r="S570" t="s">
        <v>3856</v>
      </c>
      <c r="T570" t="s">
        <v>5797</v>
      </c>
      <c r="U570">
        <v>2021</v>
      </c>
      <c r="V570">
        <v>41</v>
      </c>
      <c r="W570">
        <v>13</v>
      </c>
      <c r="X570" t="s">
        <v>8783</v>
      </c>
      <c r="Y570" t="str">
        <f>HYPERLINK("http://dx.doi.org/10.1002/joc.7153","http://dx.doi.org/10.1002/joc.7153")</f>
        <v>http://dx.doi.org/10.1002/joc.7153</v>
      </c>
      <c r="Z570" t="s">
        <v>3825</v>
      </c>
      <c r="AA570" t="s">
        <v>3826</v>
      </c>
      <c r="AB570" s="3">
        <v>45672</v>
      </c>
      <c r="AC570" t="s">
        <v>8784</v>
      </c>
      <c r="AD570" t="str">
        <f>HYPERLINK("https%3A%2F%2Fwww.webofscience.com%2Fwos%2Fwoscc%2Ffull-record%2FWOS:000647867100001","View Full Record in Web of Science")</f>
        <v>View Full Record in Web of Science</v>
      </c>
    </row>
    <row r="571" spans="1:30" x14ac:dyDescent="0.35">
      <c r="A571">
        <v>570</v>
      </c>
      <c r="B571" t="s">
        <v>3600</v>
      </c>
      <c r="C571" t="s">
        <v>8785</v>
      </c>
      <c r="D571" t="s">
        <v>3600</v>
      </c>
      <c r="E571" t="s">
        <v>2877</v>
      </c>
      <c r="F571" t="s">
        <v>3810</v>
      </c>
      <c r="G571" t="s">
        <v>8786</v>
      </c>
      <c r="H571" t="s">
        <v>8787</v>
      </c>
      <c r="I571" t="s">
        <v>8788</v>
      </c>
      <c r="J571" t="s">
        <v>8789</v>
      </c>
      <c r="K571" t="s">
        <v>8790</v>
      </c>
      <c r="L571">
        <v>40</v>
      </c>
      <c r="M571" t="s">
        <v>4033</v>
      </c>
      <c r="N571" t="s">
        <v>4034</v>
      </c>
      <c r="O571" t="s">
        <v>4035</v>
      </c>
      <c r="P571" t="s">
        <v>4036</v>
      </c>
      <c r="Q571" t="s">
        <v>4037</v>
      </c>
      <c r="R571" t="s">
        <v>4038</v>
      </c>
      <c r="S571" t="s">
        <v>4039</v>
      </c>
      <c r="T571" t="s">
        <v>4114</v>
      </c>
      <c r="U571">
        <v>2016</v>
      </c>
      <c r="V571">
        <v>29</v>
      </c>
      <c r="W571">
        <v>5</v>
      </c>
      <c r="X571" t="s">
        <v>8791</v>
      </c>
      <c r="Y571" t="str">
        <f>HYPERLINK("http://dx.doi.org/10.1175/JCLI-D-14-00723.1","http://dx.doi.org/10.1175/JCLI-D-14-00723.1")</f>
        <v>http://dx.doi.org/10.1175/JCLI-D-14-00723.1</v>
      </c>
      <c r="Z571" t="s">
        <v>3825</v>
      </c>
      <c r="AA571" t="s">
        <v>3826</v>
      </c>
      <c r="AB571" s="3">
        <v>45672</v>
      </c>
      <c r="AC571" t="s">
        <v>8792</v>
      </c>
      <c r="AD571" t="str">
        <f>HYPERLINK("https%3A%2F%2Fwww.webofscience.com%2Fwos%2Fwoscc%2Ffull-record%2FWOS:000371302300002","View Full Record in Web of Science")</f>
        <v>View Full Record in Web of Science</v>
      </c>
    </row>
    <row r="572" spans="1:30" x14ac:dyDescent="0.35">
      <c r="A572">
        <v>571</v>
      </c>
      <c r="B572" t="s">
        <v>3601</v>
      </c>
      <c r="C572" t="s">
        <v>8793</v>
      </c>
      <c r="D572" t="s">
        <v>3601</v>
      </c>
      <c r="E572" t="s">
        <v>2866</v>
      </c>
      <c r="F572" t="s">
        <v>3810</v>
      </c>
      <c r="G572" t="s">
        <v>8794</v>
      </c>
      <c r="H572" t="s">
        <v>8795</v>
      </c>
      <c r="I572" t="s">
        <v>8022</v>
      </c>
      <c r="J572" t="s">
        <v>8796</v>
      </c>
      <c r="K572" t="s">
        <v>8797</v>
      </c>
      <c r="L572">
        <v>13</v>
      </c>
      <c r="M572" t="s">
        <v>3850</v>
      </c>
      <c r="N572" t="s">
        <v>3851</v>
      </c>
      <c r="O572" t="s">
        <v>3852</v>
      </c>
      <c r="P572" t="s">
        <v>3853</v>
      </c>
      <c r="Q572" t="s">
        <v>3854</v>
      </c>
      <c r="R572" t="s">
        <v>3855</v>
      </c>
      <c r="S572" t="s">
        <v>3856</v>
      </c>
      <c r="T572" t="s">
        <v>4424</v>
      </c>
      <c r="U572">
        <v>2018</v>
      </c>
      <c r="V572">
        <v>38</v>
      </c>
      <c r="W572">
        <v>14</v>
      </c>
      <c r="X572" t="s">
        <v>8798</v>
      </c>
      <c r="Y572" t="str">
        <f>HYPERLINK("http://dx.doi.org/10.1002/joc.5724","http://dx.doi.org/10.1002/joc.5724")</f>
        <v>http://dx.doi.org/10.1002/joc.5724</v>
      </c>
      <c r="Z572" t="s">
        <v>3825</v>
      </c>
      <c r="AA572" t="s">
        <v>3826</v>
      </c>
      <c r="AB572" s="3">
        <v>45672</v>
      </c>
      <c r="AC572" t="s">
        <v>8799</v>
      </c>
      <c r="AD572" t="str">
        <f>HYPERLINK("https%3A%2F%2Fwww.webofscience.com%2Fwos%2Fwoscc%2Ffull-record%2FWOS:000452430000013","View Full Record in Web of Science")</f>
        <v>View Full Record in Web of Science</v>
      </c>
    </row>
    <row r="573" spans="1:30" x14ac:dyDescent="0.35">
      <c r="A573">
        <v>572</v>
      </c>
      <c r="B573" t="s">
        <v>3602</v>
      </c>
      <c r="C573" t="s">
        <v>8800</v>
      </c>
      <c r="D573" t="s">
        <v>3602</v>
      </c>
      <c r="E573" t="s">
        <v>2921</v>
      </c>
      <c r="F573" t="s">
        <v>3810</v>
      </c>
      <c r="G573" t="s">
        <v>8801</v>
      </c>
      <c r="H573" t="s">
        <v>8802</v>
      </c>
      <c r="I573" t="s">
        <v>6901</v>
      </c>
      <c r="J573" t="s">
        <v>8803</v>
      </c>
      <c r="K573" t="s">
        <v>8804</v>
      </c>
      <c r="L573">
        <v>2</v>
      </c>
      <c r="M573" t="s">
        <v>4888</v>
      </c>
      <c r="N573" t="s">
        <v>3835</v>
      </c>
      <c r="O573" t="s">
        <v>4407</v>
      </c>
      <c r="P573" t="s">
        <v>4889</v>
      </c>
      <c r="Q573" t="s">
        <v>4890</v>
      </c>
      <c r="R573" t="s">
        <v>4891</v>
      </c>
      <c r="S573" t="s">
        <v>4892</v>
      </c>
      <c r="T573" t="s">
        <v>4016</v>
      </c>
      <c r="U573">
        <v>2021</v>
      </c>
      <c r="V573">
        <v>32</v>
      </c>
      <c r="W573">
        <v>5</v>
      </c>
      <c r="X573" t="s">
        <v>8805</v>
      </c>
      <c r="Y573" t="str">
        <f>HYPERLINK("http://dx.doi.org/10.3319/TAO.2020.11.30.01","http://dx.doi.org/10.3319/TAO.2020.11.30.01")</f>
        <v>http://dx.doi.org/10.3319/TAO.2020.11.30.01</v>
      </c>
      <c r="Z573" t="s">
        <v>4894</v>
      </c>
      <c r="AA573" t="s">
        <v>3826</v>
      </c>
      <c r="AB573" s="3">
        <v>45672</v>
      </c>
      <c r="AC573" t="s">
        <v>8806</v>
      </c>
      <c r="AD573" t="str">
        <f>HYPERLINK("https%3A%2F%2Fwww.webofscience.com%2Fwos%2Fwoscc%2Ffull-record%2FWOS:000789616000006","View Full Record in Web of Science")</f>
        <v>View Full Record in Web of Science</v>
      </c>
    </row>
    <row r="574" spans="1:30" x14ac:dyDescent="0.35">
      <c r="A574">
        <v>573</v>
      </c>
      <c r="B574" t="s">
        <v>3603</v>
      </c>
      <c r="C574" t="s">
        <v>8807</v>
      </c>
      <c r="D574" t="s">
        <v>3603</v>
      </c>
      <c r="E574" t="s">
        <v>2871</v>
      </c>
      <c r="F574" t="s">
        <v>3810</v>
      </c>
      <c r="G574" t="s">
        <v>8808</v>
      </c>
      <c r="H574" t="s">
        <v>8809</v>
      </c>
      <c r="I574" t="s">
        <v>6151</v>
      </c>
      <c r="J574" t="s">
        <v>8810</v>
      </c>
      <c r="K574" t="s">
        <v>8811</v>
      </c>
      <c r="L574">
        <v>4</v>
      </c>
      <c r="M574" t="s">
        <v>3866</v>
      </c>
      <c r="N574" t="s">
        <v>3817</v>
      </c>
      <c r="O574" t="s">
        <v>3867</v>
      </c>
      <c r="P574" t="s">
        <v>3928</v>
      </c>
      <c r="Q574" t="s">
        <v>3929</v>
      </c>
      <c r="R574" t="s">
        <v>3930</v>
      </c>
      <c r="S574" t="s">
        <v>3931</v>
      </c>
      <c r="T574" t="s">
        <v>3958</v>
      </c>
      <c r="U574">
        <v>2021</v>
      </c>
      <c r="V574">
        <v>109</v>
      </c>
      <c r="W574">
        <v>2</v>
      </c>
      <c r="X574" t="s">
        <v>8812</v>
      </c>
      <c r="Y574" t="str">
        <f>HYPERLINK("http://dx.doi.org/10.1007/s11069-021-04887-3","http://dx.doi.org/10.1007/s11069-021-04887-3")</f>
        <v>http://dx.doi.org/10.1007/s11069-021-04887-3</v>
      </c>
      <c r="Z574" t="s">
        <v>3934</v>
      </c>
      <c r="AA574" t="s">
        <v>3826</v>
      </c>
      <c r="AB574" s="3">
        <v>45672</v>
      </c>
      <c r="AC574" t="s">
        <v>8813</v>
      </c>
      <c r="AD574" t="str">
        <f>HYPERLINK("https%3A%2F%2Fwww.webofscience.com%2Fwos%2Fwoscc%2Ffull-record%2FWOS:000668441400001","View Full Record in Web of Science")</f>
        <v>View Full Record in Web of Science</v>
      </c>
    </row>
    <row r="575" spans="1:30" x14ac:dyDescent="0.35">
      <c r="A575">
        <v>574</v>
      </c>
      <c r="B575" t="s">
        <v>3604</v>
      </c>
      <c r="C575" t="s">
        <v>8814</v>
      </c>
      <c r="D575" t="s">
        <v>3604</v>
      </c>
      <c r="E575" t="s">
        <v>2894</v>
      </c>
      <c r="F575" t="s">
        <v>3810</v>
      </c>
      <c r="G575" t="s">
        <v>8815</v>
      </c>
      <c r="H575" t="s">
        <v>8816</v>
      </c>
      <c r="I575" t="s">
        <v>8817</v>
      </c>
      <c r="J575" t="s">
        <v>8818</v>
      </c>
      <c r="K575" t="s">
        <v>8819</v>
      </c>
      <c r="L575">
        <v>1</v>
      </c>
      <c r="M575" t="s">
        <v>4252</v>
      </c>
      <c r="N575" t="s">
        <v>4253</v>
      </c>
      <c r="O575" t="s">
        <v>4254</v>
      </c>
      <c r="P575" t="s">
        <v>4255</v>
      </c>
      <c r="Q575" t="s">
        <v>4256</v>
      </c>
      <c r="R575" t="s">
        <v>4257</v>
      </c>
      <c r="S575" t="s">
        <v>4258</v>
      </c>
      <c r="T575" t="s">
        <v>3918</v>
      </c>
      <c r="U575">
        <v>2022</v>
      </c>
      <c r="V575">
        <v>149</v>
      </c>
      <c r="W575" t="s">
        <v>4259</v>
      </c>
      <c r="X575" t="s">
        <v>8820</v>
      </c>
      <c r="Y575" t="str">
        <f>HYPERLINK("http://dx.doi.org/10.1007/s00704-022-04075-8","http://dx.doi.org/10.1007/s00704-022-04075-8")</f>
        <v>http://dx.doi.org/10.1007/s00704-022-04075-8</v>
      </c>
      <c r="Z575" t="s">
        <v>3825</v>
      </c>
      <c r="AA575" t="s">
        <v>3826</v>
      </c>
      <c r="AB575" s="3">
        <v>45672</v>
      </c>
      <c r="AC575" t="s">
        <v>8821</v>
      </c>
      <c r="AD575" t="str">
        <f>HYPERLINK("https%3A%2F%2Fwww.webofscience.com%2Fwos%2Fwoscc%2Ffull-record%2FWOS:000795029700001","View Full Record in Web of Science")</f>
        <v>View Full Record in Web of Science</v>
      </c>
    </row>
    <row r="576" spans="1:30" x14ac:dyDescent="0.35">
      <c r="A576">
        <v>575</v>
      </c>
      <c r="B576" t="s">
        <v>3605</v>
      </c>
      <c r="C576" t="s">
        <v>8822</v>
      </c>
      <c r="D576" t="s">
        <v>3605</v>
      </c>
      <c r="E576" t="s">
        <v>2866</v>
      </c>
      <c r="F576" t="s">
        <v>3810</v>
      </c>
      <c r="G576" t="s">
        <v>8823</v>
      </c>
      <c r="H576" t="s">
        <v>8824</v>
      </c>
      <c r="I576" t="s">
        <v>8825</v>
      </c>
      <c r="J576" t="s">
        <v>8826</v>
      </c>
      <c r="K576" t="s">
        <v>8827</v>
      </c>
      <c r="L576">
        <v>6</v>
      </c>
      <c r="M576" t="s">
        <v>3850</v>
      </c>
      <c r="N576" t="s">
        <v>3851</v>
      </c>
      <c r="O576" t="s">
        <v>3852</v>
      </c>
      <c r="P576" t="s">
        <v>3853</v>
      </c>
      <c r="Q576" t="s">
        <v>3854</v>
      </c>
      <c r="R576" t="s">
        <v>3855</v>
      </c>
      <c r="S576" t="s">
        <v>3856</v>
      </c>
      <c r="T576" t="s">
        <v>4001</v>
      </c>
      <c r="U576">
        <v>2017</v>
      </c>
      <c r="V576">
        <v>37</v>
      </c>
      <c r="W576">
        <v>1</v>
      </c>
      <c r="X576" t="s">
        <v>8828</v>
      </c>
      <c r="Y576" t="str">
        <f>HYPERLINK("http://dx.doi.org/10.1002/joc.4704","http://dx.doi.org/10.1002/joc.4704")</f>
        <v>http://dx.doi.org/10.1002/joc.4704</v>
      </c>
      <c r="Z576" t="s">
        <v>3825</v>
      </c>
      <c r="AA576" t="s">
        <v>3826</v>
      </c>
      <c r="AB576" s="3">
        <v>45672</v>
      </c>
      <c r="AC576" t="s">
        <v>8829</v>
      </c>
      <c r="AD576" t="str">
        <f>HYPERLINK("https%3A%2F%2Fwww.webofscience.com%2Fwos%2Fwoscc%2Ffull-record%2FWOS:000392415700041","View Full Record in Web of Science")</f>
        <v>View Full Record in Web of Science</v>
      </c>
    </row>
    <row r="577" spans="1:30" x14ac:dyDescent="0.35">
      <c r="A577">
        <v>576</v>
      </c>
      <c r="B577" t="s">
        <v>3606</v>
      </c>
      <c r="C577" t="s">
        <v>8830</v>
      </c>
      <c r="D577" t="s">
        <v>3606</v>
      </c>
      <c r="E577" t="s">
        <v>2894</v>
      </c>
      <c r="F577" t="s">
        <v>3810</v>
      </c>
      <c r="G577" t="s">
        <v>8831</v>
      </c>
      <c r="H577" t="s">
        <v>8832</v>
      </c>
      <c r="I577" t="s">
        <v>8833</v>
      </c>
      <c r="J577" t="s">
        <v>8834</v>
      </c>
      <c r="K577" t="s">
        <v>8835</v>
      </c>
      <c r="L577">
        <v>20</v>
      </c>
      <c r="M577" t="s">
        <v>4252</v>
      </c>
      <c r="N577" t="s">
        <v>4253</v>
      </c>
      <c r="O577" t="s">
        <v>4254</v>
      </c>
      <c r="P577" t="s">
        <v>4255</v>
      </c>
      <c r="Q577" t="s">
        <v>4256</v>
      </c>
      <c r="R577" t="s">
        <v>4257</v>
      </c>
      <c r="S577" t="s">
        <v>4258</v>
      </c>
      <c r="T577" t="s">
        <v>3918</v>
      </c>
      <c r="U577">
        <v>2019</v>
      </c>
      <c r="V577">
        <v>137</v>
      </c>
      <c r="W577" t="s">
        <v>4259</v>
      </c>
      <c r="X577" t="s">
        <v>8836</v>
      </c>
      <c r="Y577" t="str">
        <f>HYPERLINK("http://dx.doi.org/10.1007/s00704-018-2669-0","http://dx.doi.org/10.1007/s00704-018-2669-0")</f>
        <v>http://dx.doi.org/10.1007/s00704-018-2669-0</v>
      </c>
      <c r="Z577" t="s">
        <v>3825</v>
      </c>
      <c r="AA577" t="s">
        <v>3826</v>
      </c>
      <c r="AB577" s="3">
        <v>45672</v>
      </c>
      <c r="AC577" t="s">
        <v>8837</v>
      </c>
      <c r="AD577" t="str">
        <f>HYPERLINK("https%3A%2F%2Fwww.webofscience.com%2Fwos%2Fwoscc%2Ffull-record%2FWOS:000475737500088","View Full Record in Web of Science")</f>
        <v>View Full Record in Web of Science</v>
      </c>
    </row>
    <row r="578" spans="1:30" x14ac:dyDescent="0.35">
      <c r="A578">
        <v>577</v>
      </c>
      <c r="B578" t="s">
        <v>3607</v>
      </c>
      <c r="C578" t="s">
        <v>8838</v>
      </c>
      <c r="D578" t="s">
        <v>3607</v>
      </c>
      <c r="E578" t="s">
        <v>2926</v>
      </c>
      <c r="F578" t="s">
        <v>3810</v>
      </c>
      <c r="G578" t="s">
        <v>8839</v>
      </c>
      <c r="H578" t="s">
        <v>8840</v>
      </c>
      <c r="I578" t="s">
        <v>8841</v>
      </c>
      <c r="J578" t="s">
        <v>8842</v>
      </c>
      <c r="K578" t="s">
        <v>8843</v>
      </c>
      <c r="L578">
        <v>0</v>
      </c>
      <c r="M578" t="s">
        <v>3951</v>
      </c>
      <c r="N578" t="s">
        <v>3952</v>
      </c>
      <c r="O578" t="s">
        <v>3953</v>
      </c>
      <c r="P578" t="s">
        <v>5029</v>
      </c>
      <c r="Q578" t="s">
        <v>3808</v>
      </c>
      <c r="R578" t="s">
        <v>5030</v>
      </c>
      <c r="S578" t="s">
        <v>5031</v>
      </c>
      <c r="T578" t="s">
        <v>8844</v>
      </c>
      <c r="U578">
        <v>2023</v>
      </c>
      <c r="V578">
        <v>97</v>
      </c>
      <c r="W578" t="s">
        <v>3808</v>
      </c>
      <c r="X578" t="s">
        <v>8845</v>
      </c>
      <c r="Y578" t="str">
        <f>HYPERLINK("http://dx.doi.org/10.1016/j.ijdrr.2023.104052","http://dx.doi.org/10.1016/j.ijdrr.2023.104052")</f>
        <v>http://dx.doi.org/10.1016/j.ijdrr.2023.104052</v>
      </c>
      <c r="Z578" t="s">
        <v>3934</v>
      </c>
      <c r="AA578" t="s">
        <v>3826</v>
      </c>
      <c r="AB578" s="3">
        <v>45672</v>
      </c>
      <c r="AC578" t="s">
        <v>8846</v>
      </c>
      <c r="AD578" t="str">
        <f>HYPERLINK("https%3A%2F%2Fwww.webofscience.com%2Fwos%2Fwoscc%2Ffull-record%2FWOS:001098637700001","View Full Record in Web of Science")</f>
        <v>View Full Record in Web of Science</v>
      </c>
    </row>
    <row r="579" spans="1:30" x14ac:dyDescent="0.35">
      <c r="A579">
        <v>578</v>
      </c>
      <c r="B579" t="s">
        <v>3608</v>
      </c>
      <c r="C579" t="s">
        <v>8847</v>
      </c>
      <c r="D579" t="s">
        <v>3608</v>
      </c>
      <c r="E579" t="s">
        <v>3007</v>
      </c>
      <c r="F579" t="s">
        <v>8848</v>
      </c>
      <c r="G579" t="s">
        <v>8849</v>
      </c>
      <c r="H579" t="s">
        <v>8850</v>
      </c>
      <c r="I579" t="s">
        <v>5001</v>
      </c>
      <c r="K579" t="s">
        <v>3808</v>
      </c>
      <c r="L579">
        <v>1</v>
      </c>
      <c r="M579" t="s">
        <v>4922</v>
      </c>
      <c r="N579" t="s">
        <v>4109</v>
      </c>
      <c r="O579" t="s">
        <v>4923</v>
      </c>
      <c r="P579" t="s">
        <v>8851</v>
      </c>
      <c r="Q579" t="s">
        <v>3808</v>
      </c>
      <c r="R579" t="s">
        <v>8852</v>
      </c>
      <c r="S579" t="s">
        <v>8853</v>
      </c>
      <c r="T579" t="s">
        <v>4001</v>
      </c>
      <c r="U579">
        <v>2018</v>
      </c>
      <c r="V579">
        <v>61</v>
      </c>
      <c r="W579">
        <v>1</v>
      </c>
      <c r="X579" t="s">
        <v>8854</v>
      </c>
      <c r="Y579" t="str">
        <f>HYPERLINK("http://dx.doi.org/10.6038/cjg2018K0553","http://dx.doi.org/10.6038/cjg2018K0553")</f>
        <v>http://dx.doi.org/10.6038/cjg2018K0553</v>
      </c>
      <c r="Z579" t="s">
        <v>3920</v>
      </c>
      <c r="AA579" t="s">
        <v>3826</v>
      </c>
      <c r="AB579" s="3">
        <v>45672</v>
      </c>
      <c r="AC579" t="s">
        <v>8855</v>
      </c>
      <c r="AD579" t="str">
        <f>HYPERLINK("https%3A%2F%2Fwww.webofscience.com%2Fwos%2Fwoscc%2Ffull-record%2FWOS:000422703100010","View Full Record in Web of Science")</f>
        <v>View Full Record in Web of Science</v>
      </c>
    </row>
    <row r="580" spans="1:30" x14ac:dyDescent="0.35">
      <c r="A580">
        <v>579</v>
      </c>
      <c r="B580" t="s">
        <v>3609</v>
      </c>
      <c r="C580" t="s">
        <v>8856</v>
      </c>
      <c r="D580" t="s">
        <v>3609</v>
      </c>
      <c r="E580" t="s">
        <v>2894</v>
      </c>
      <c r="F580" t="s">
        <v>3810</v>
      </c>
      <c r="G580" t="s">
        <v>8857</v>
      </c>
      <c r="H580" t="s">
        <v>8858</v>
      </c>
      <c r="I580" t="s">
        <v>7077</v>
      </c>
      <c r="J580" t="s">
        <v>8859</v>
      </c>
      <c r="K580" t="s">
        <v>8860</v>
      </c>
      <c r="L580">
        <v>18</v>
      </c>
      <c r="M580" t="s">
        <v>4252</v>
      </c>
      <c r="N580" t="s">
        <v>4253</v>
      </c>
      <c r="O580" t="s">
        <v>4254</v>
      </c>
      <c r="P580" t="s">
        <v>4255</v>
      </c>
      <c r="Q580" t="s">
        <v>4256</v>
      </c>
      <c r="R580" t="s">
        <v>4257</v>
      </c>
      <c r="S580" t="s">
        <v>4258</v>
      </c>
      <c r="T580" t="s">
        <v>3918</v>
      </c>
      <c r="U580">
        <v>2018</v>
      </c>
      <c r="V580">
        <v>133</v>
      </c>
      <c r="W580" t="s">
        <v>4259</v>
      </c>
      <c r="X580" t="s">
        <v>8861</v>
      </c>
      <c r="Y580" t="str">
        <f>HYPERLINK("http://dx.doi.org/10.1007/s00704-017-2202-x","http://dx.doi.org/10.1007/s00704-017-2202-x")</f>
        <v>http://dx.doi.org/10.1007/s00704-017-2202-x</v>
      </c>
      <c r="Z580" t="s">
        <v>3825</v>
      </c>
      <c r="AA580" t="s">
        <v>3826</v>
      </c>
      <c r="AB580" s="3">
        <v>45672</v>
      </c>
      <c r="AC580" t="s">
        <v>8862</v>
      </c>
      <c r="AD580" t="str">
        <f>HYPERLINK("https%3A%2F%2Fwww.webofscience.com%2Fwos%2Fwoscc%2Ffull-record%2FWOS:000436245600038","View Full Record in Web of Science")</f>
        <v>View Full Record in Web of Science</v>
      </c>
    </row>
    <row r="581" spans="1:30" x14ac:dyDescent="0.35">
      <c r="A581">
        <v>580</v>
      </c>
      <c r="B581" t="s">
        <v>3610</v>
      </c>
      <c r="C581" t="s">
        <v>8863</v>
      </c>
      <c r="D581" t="s">
        <v>3610</v>
      </c>
      <c r="E581" t="s">
        <v>2887</v>
      </c>
      <c r="F581" t="s">
        <v>3810</v>
      </c>
      <c r="G581" t="s">
        <v>8864</v>
      </c>
      <c r="H581" t="s">
        <v>8865</v>
      </c>
      <c r="I581" t="s">
        <v>8866</v>
      </c>
      <c r="J581" t="s">
        <v>8867</v>
      </c>
      <c r="K581" t="s">
        <v>8868</v>
      </c>
      <c r="L581">
        <v>4</v>
      </c>
      <c r="M581" t="s">
        <v>3850</v>
      </c>
      <c r="N581" t="s">
        <v>3851</v>
      </c>
      <c r="O581" t="s">
        <v>3852</v>
      </c>
      <c r="P581" t="s">
        <v>4188</v>
      </c>
      <c r="Q581" t="s">
        <v>4189</v>
      </c>
      <c r="R581" t="s">
        <v>4190</v>
      </c>
      <c r="S581" t="s">
        <v>4191</v>
      </c>
      <c r="T581" t="s">
        <v>3918</v>
      </c>
      <c r="U581">
        <v>2014</v>
      </c>
      <c r="V581">
        <v>21</v>
      </c>
      <c r="W581">
        <v>3</v>
      </c>
      <c r="X581" t="s">
        <v>8869</v>
      </c>
      <c r="Y581" t="str">
        <f>HYPERLINK("http://dx.doi.org/10.1002/met.1417","http://dx.doi.org/10.1002/met.1417")</f>
        <v>http://dx.doi.org/10.1002/met.1417</v>
      </c>
      <c r="Z581" t="s">
        <v>3825</v>
      </c>
      <c r="AA581" t="s">
        <v>3826</v>
      </c>
      <c r="AB581" s="3">
        <v>45672</v>
      </c>
      <c r="AC581" t="s">
        <v>8870</v>
      </c>
      <c r="AD581" t="str">
        <f>HYPERLINK("https%3A%2F%2Fwww.webofscience.com%2Fwos%2Fwoscc%2Ffull-record%2FWOS:000339954700032","View Full Record in Web of Science")</f>
        <v>View Full Record in Web of Science</v>
      </c>
    </row>
    <row r="582" spans="1:30" x14ac:dyDescent="0.35">
      <c r="A582">
        <v>581</v>
      </c>
      <c r="B582" t="s">
        <v>3611</v>
      </c>
      <c r="C582" t="s">
        <v>8871</v>
      </c>
      <c r="D582" t="s">
        <v>3611</v>
      </c>
      <c r="E582" t="s">
        <v>2894</v>
      </c>
      <c r="F582" t="s">
        <v>3810</v>
      </c>
      <c r="G582" t="s">
        <v>8872</v>
      </c>
      <c r="H582" t="s">
        <v>8873</v>
      </c>
      <c r="I582" t="s">
        <v>5763</v>
      </c>
      <c r="J582" t="s">
        <v>8874</v>
      </c>
      <c r="K582" t="s">
        <v>8875</v>
      </c>
      <c r="L582">
        <v>148</v>
      </c>
      <c r="M582" t="s">
        <v>4252</v>
      </c>
      <c r="N582" t="s">
        <v>4253</v>
      </c>
      <c r="O582" t="s">
        <v>4254</v>
      </c>
      <c r="P582" t="s">
        <v>4255</v>
      </c>
      <c r="Q582" t="s">
        <v>4256</v>
      </c>
      <c r="R582" t="s">
        <v>4257</v>
      </c>
      <c r="S582" t="s">
        <v>4258</v>
      </c>
      <c r="T582" t="s">
        <v>5045</v>
      </c>
      <c r="U582">
        <v>2014</v>
      </c>
      <c r="V582">
        <v>116</v>
      </c>
      <c r="W582" t="s">
        <v>4259</v>
      </c>
      <c r="X582" t="s">
        <v>8876</v>
      </c>
      <c r="Y582" t="str">
        <f>HYPERLINK("http://dx.doi.org/10.1007/s00704-013-0951-8","http://dx.doi.org/10.1007/s00704-013-0951-8")</f>
        <v>http://dx.doi.org/10.1007/s00704-013-0951-8</v>
      </c>
      <c r="Z582" t="s">
        <v>3825</v>
      </c>
      <c r="AA582" t="s">
        <v>3826</v>
      </c>
      <c r="AB582" s="3">
        <v>45672</v>
      </c>
      <c r="AC582" t="s">
        <v>8877</v>
      </c>
      <c r="AD582" t="str">
        <f>HYPERLINK("https%3A%2F%2Fwww.webofscience.com%2Fwos%2Fwoscc%2Ffull-record%2FWOS:000333121800019","View Full Record in Web of Science")</f>
        <v>View Full Record in Web of Science</v>
      </c>
    </row>
    <row r="583" spans="1:30" x14ac:dyDescent="0.35">
      <c r="A583">
        <v>582</v>
      </c>
      <c r="B583" t="s">
        <v>3612</v>
      </c>
      <c r="C583" t="s">
        <v>8878</v>
      </c>
      <c r="D583" t="s">
        <v>3612</v>
      </c>
      <c r="E583" t="s">
        <v>2866</v>
      </c>
      <c r="F583" t="s">
        <v>3810</v>
      </c>
      <c r="G583" t="s">
        <v>8879</v>
      </c>
      <c r="H583" t="s">
        <v>8880</v>
      </c>
      <c r="I583" t="s">
        <v>8881</v>
      </c>
      <c r="J583" t="s">
        <v>8882</v>
      </c>
      <c r="K583" t="s">
        <v>8883</v>
      </c>
      <c r="L583">
        <v>8</v>
      </c>
      <c r="M583" t="s">
        <v>5298</v>
      </c>
      <c r="N583" t="s">
        <v>3851</v>
      </c>
      <c r="O583" t="s">
        <v>3852</v>
      </c>
      <c r="P583" t="s">
        <v>3853</v>
      </c>
      <c r="Q583" t="s">
        <v>3854</v>
      </c>
      <c r="R583" t="s">
        <v>3855</v>
      </c>
      <c r="S583" t="s">
        <v>3856</v>
      </c>
      <c r="T583" t="s">
        <v>3872</v>
      </c>
      <c r="U583">
        <v>2015</v>
      </c>
      <c r="V583">
        <v>35</v>
      </c>
      <c r="W583">
        <v>11</v>
      </c>
      <c r="X583" t="s">
        <v>8884</v>
      </c>
      <c r="Y583" t="str">
        <f>HYPERLINK("http://dx.doi.org/10.1002/joc.4200","http://dx.doi.org/10.1002/joc.4200")</f>
        <v>http://dx.doi.org/10.1002/joc.4200</v>
      </c>
      <c r="Z583" t="s">
        <v>3825</v>
      </c>
      <c r="AA583" t="s">
        <v>3826</v>
      </c>
      <c r="AB583" s="3">
        <v>45672</v>
      </c>
      <c r="AC583" t="s">
        <v>8885</v>
      </c>
      <c r="AD583" t="str">
        <f>HYPERLINK("https%3A%2F%2Fwww.webofscience.com%2Fwos%2Fwoscc%2Ffull-record%2FWOS:000360917500003","View Full Record in Web of Science")</f>
        <v>View Full Record in Web of Science</v>
      </c>
    </row>
    <row r="584" spans="1:30" x14ac:dyDescent="0.35">
      <c r="A584">
        <v>583</v>
      </c>
      <c r="B584" t="s">
        <v>3613</v>
      </c>
      <c r="C584" t="s">
        <v>8886</v>
      </c>
      <c r="D584" t="s">
        <v>3613</v>
      </c>
      <c r="E584" t="s">
        <v>2969</v>
      </c>
      <c r="F584" t="s">
        <v>3810</v>
      </c>
      <c r="G584" t="s">
        <v>8887</v>
      </c>
      <c r="H584" t="s">
        <v>8888</v>
      </c>
      <c r="I584" t="s">
        <v>8889</v>
      </c>
      <c r="J584" t="s">
        <v>8890</v>
      </c>
      <c r="K584" t="s">
        <v>8891</v>
      </c>
      <c r="L584">
        <v>1</v>
      </c>
      <c r="M584" t="s">
        <v>4061</v>
      </c>
      <c r="N584" t="s">
        <v>4062</v>
      </c>
      <c r="O584" t="s">
        <v>4063</v>
      </c>
      <c r="P584" t="s">
        <v>6830</v>
      </c>
      <c r="Q584" t="s">
        <v>6831</v>
      </c>
      <c r="R584" t="s">
        <v>6832</v>
      </c>
      <c r="S584" t="s">
        <v>6833</v>
      </c>
      <c r="T584" t="s">
        <v>3974</v>
      </c>
      <c r="U584">
        <v>2023</v>
      </c>
      <c r="V584">
        <v>37</v>
      </c>
      <c r="W584">
        <v>3</v>
      </c>
      <c r="X584" t="s">
        <v>8892</v>
      </c>
      <c r="Y584" t="str">
        <f>HYPERLINK("http://dx.doi.org/10.1007/s13351-023-2165-z","http://dx.doi.org/10.1007/s13351-023-2165-z")</f>
        <v>http://dx.doi.org/10.1007/s13351-023-2165-z</v>
      </c>
      <c r="Z584" t="s">
        <v>3825</v>
      </c>
      <c r="AA584" t="s">
        <v>3826</v>
      </c>
      <c r="AB584" s="3">
        <v>45672</v>
      </c>
      <c r="AC584" t="s">
        <v>8893</v>
      </c>
      <c r="AD584" t="str">
        <f>HYPERLINK("https%3A%2F%2Fwww.webofscience.com%2Fwos%2Fwoscc%2Ffull-record%2FWOS:001032031700004","View Full Record in Web of Science")</f>
        <v>View Full Record in Web of Science</v>
      </c>
    </row>
    <row r="585" spans="1:30" x14ac:dyDescent="0.35">
      <c r="A585">
        <v>584</v>
      </c>
      <c r="B585" t="s">
        <v>3614</v>
      </c>
      <c r="C585" t="s">
        <v>8894</v>
      </c>
      <c r="D585" t="s">
        <v>3614</v>
      </c>
      <c r="E585" t="s">
        <v>2867</v>
      </c>
      <c r="F585" t="s">
        <v>3810</v>
      </c>
      <c r="G585" t="s">
        <v>8895</v>
      </c>
      <c r="H585" t="s">
        <v>8896</v>
      </c>
      <c r="I585" t="s">
        <v>8897</v>
      </c>
      <c r="J585" t="s">
        <v>8898</v>
      </c>
      <c r="K585" t="s">
        <v>8899</v>
      </c>
      <c r="L585">
        <v>41</v>
      </c>
      <c r="M585" t="s">
        <v>3866</v>
      </c>
      <c r="N585" t="s">
        <v>3817</v>
      </c>
      <c r="O585" t="s">
        <v>4290</v>
      </c>
      <c r="P585" t="s">
        <v>3868</v>
      </c>
      <c r="Q585" t="s">
        <v>3869</v>
      </c>
      <c r="R585" t="s">
        <v>3870</v>
      </c>
      <c r="S585" t="s">
        <v>3871</v>
      </c>
      <c r="T585" t="s">
        <v>3823</v>
      </c>
      <c r="U585">
        <v>2018</v>
      </c>
      <c r="V585">
        <v>50</v>
      </c>
      <c r="W585" t="s">
        <v>4268</v>
      </c>
      <c r="X585" t="s">
        <v>8900</v>
      </c>
      <c r="Y585" t="str">
        <f>HYPERLINK("http://dx.doi.org/10.1007/s00382-017-3668-z","http://dx.doi.org/10.1007/s00382-017-3668-z")</f>
        <v>http://dx.doi.org/10.1007/s00382-017-3668-z</v>
      </c>
      <c r="Z585" t="s">
        <v>3825</v>
      </c>
      <c r="AA585" t="s">
        <v>3826</v>
      </c>
      <c r="AB585" s="3">
        <v>45672</v>
      </c>
      <c r="AC585" t="s">
        <v>8901</v>
      </c>
      <c r="AD585" t="str">
        <f>HYPERLINK("https%3A%2F%2Fwww.webofscience.com%2Fwos%2Fwoscc%2Ffull-record%2FWOS:000425328700025","View Full Record in Web of Science")</f>
        <v>View Full Record in Web of Science</v>
      </c>
    </row>
    <row r="586" spans="1:30" x14ac:dyDescent="0.35">
      <c r="A586">
        <v>585</v>
      </c>
      <c r="B586" t="s">
        <v>3615</v>
      </c>
      <c r="C586" t="s">
        <v>8902</v>
      </c>
      <c r="D586" t="s">
        <v>3615</v>
      </c>
      <c r="E586" t="s">
        <v>2922</v>
      </c>
      <c r="F586" t="s">
        <v>3810</v>
      </c>
      <c r="G586" t="s">
        <v>8903</v>
      </c>
      <c r="H586" t="s">
        <v>8904</v>
      </c>
      <c r="I586" t="s">
        <v>8905</v>
      </c>
      <c r="K586" t="s">
        <v>3808</v>
      </c>
      <c r="L586">
        <v>14</v>
      </c>
      <c r="M586" t="s">
        <v>3951</v>
      </c>
      <c r="N586" t="s">
        <v>3952</v>
      </c>
      <c r="O586" t="s">
        <v>3953</v>
      </c>
      <c r="P586" t="s">
        <v>4910</v>
      </c>
      <c r="Q586" t="s">
        <v>4911</v>
      </c>
      <c r="R586" t="s">
        <v>4912</v>
      </c>
      <c r="S586" t="s">
        <v>4913</v>
      </c>
      <c r="T586" t="s">
        <v>4773</v>
      </c>
      <c r="U586">
        <v>2021</v>
      </c>
      <c r="V586">
        <v>103</v>
      </c>
      <c r="W586" t="s">
        <v>3808</v>
      </c>
      <c r="X586" t="s">
        <v>8906</v>
      </c>
      <c r="Y586" t="str">
        <f>HYPERLINK("http://dx.doi.org/10.1016/j.jag.2021.102471","http://dx.doi.org/10.1016/j.jag.2021.102471")</f>
        <v>http://dx.doi.org/10.1016/j.jag.2021.102471</v>
      </c>
      <c r="Z586" t="s">
        <v>4475</v>
      </c>
      <c r="AA586" t="s">
        <v>3826</v>
      </c>
      <c r="AB586" s="3">
        <v>45672</v>
      </c>
      <c r="AC586" t="s">
        <v>8907</v>
      </c>
      <c r="AD586" t="str">
        <f>HYPERLINK("https%3A%2F%2Fwww.webofscience.com%2Fwos%2Fwoscc%2Ffull-record%2FWOS:000697100100003","View Full Record in Web of Science")</f>
        <v>View Full Record in Web of Science</v>
      </c>
    </row>
    <row r="587" spans="1:30" x14ac:dyDescent="0.35">
      <c r="A587">
        <v>586</v>
      </c>
      <c r="B587" t="s">
        <v>3616</v>
      </c>
      <c r="C587" t="s">
        <v>8908</v>
      </c>
      <c r="D587" t="s">
        <v>3616</v>
      </c>
      <c r="E587" t="s">
        <v>3008</v>
      </c>
      <c r="F587" t="s">
        <v>3810</v>
      </c>
      <c r="G587" t="s">
        <v>8909</v>
      </c>
      <c r="H587" t="s">
        <v>8910</v>
      </c>
      <c r="I587" t="s">
        <v>8911</v>
      </c>
      <c r="J587" t="s">
        <v>8912</v>
      </c>
      <c r="K587" t="s">
        <v>8913</v>
      </c>
      <c r="L587">
        <v>10</v>
      </c>
      <c r="M587" t="s">
        <v>4339</v>
      </c>
      <c r="N587" t="s">
        <v>4340</v>
      </c>
      <c r="O587" t="s">
        <v>4341</v>
      </c>
      <c r="P587" t="s">
        <v>8914</v>
      </c>
      <c r="Q587" t="s">
        <v>8915</v>
      </c>
      <c r="R587" t="s">
        <v>8916</v>
      </c>
      <c r="S587" t="s">
        <v>8917</v>
      </c>
      <c r="T587" t="s">
        <v>8918</v>
      </c>
      <c r="U587">
        <v>2021</v>
      </c>
      <c r="V587">
        <v>14</v>
      </c>
      <c r="W587">
        <v>2</v>
      </c>
      <c r="X587" t="s">
        <v>8919</v>
      </c>
      <c r="Y587" t="str">
        <f>HYPERLINK("http://dx.doi.org/10.5194/gmd-14-1007-2021","http://dx.doi.org/10.5194/gmd-14-1007-2021")</f>
        <v>http://dx.doi.org/10.5194/gmd-14-1007-2021</v>
      </c>
      <c r="Z587" t="s">
        <v>4116</v>
      </c>
      <c r="AA587" t="s">
        <v>3826</v>
      </c>
      <c r="AB587" s="3">
        <v>45672</v>
      </c>
      <c r="AC587" t="s">
        <v>8920</v>
      </c>
      <c r="AD587" t="str">
        <f>HYPERLINK("https%3A%2F%2Fwww.webofscience.com%2Fwos%2Fwoscc%2Ffull-record%2FWOS:000622998100001","View Full Record in Web of Science")</f>
        <v>View Full Record in Web of Science</v>
      </c>
    </row>
    <row r="588" spans="1:30" x14ac:dyDescent="0.35">
      <c r="A588">
        <v>587</v>
      </c>
      <c r="B588" t="s">
        <v>3617</v>
      </c>
      <c r="C588" t="s">
        <v>8921</v>
      </c>
      <c r="D588" t="s">
        <v>3617</v>
      </c>
      <c r="E588" t="s">
        <v>2932</v>
      </c>
      <c r="F588" t="s">
        <v>3810</v>
      </c>
      <c r="G588" t="s">
        <v>8922</v>
      </c>
      <c r="H588" t="s">
        <v>8923</v>
      </c>
      <c r="I588" t="s">
        <v>8924</v>
      </c>
      <c r="J588" t="s">
        <v>8925</v>
      </c>
      <c r="K588" t="s">
        <v>8926</v>
      </c>
      <c r="L588">
        <v>4</v>
      </c>
      <c r="M588" t="s">
        <v>4922</v>
      </c>
      <c r="N588" t="s">
        <v>4109</v>
      </c>
      <c r="O588" t="s">
        <v>4923</v>
      </c>
      <c r="P588" t="s">
        <v>5241</v>
      </c>
      <c r="Q588" t="s">
        <v>5242</v>
      </c>
      <c r="R588" t="s">
        <v>5243</v>
      </c>
      <c r="S588" t="s">
        <v>5244</v>
      </c>
      <c r="T588" t="s">
        <v>4137</v>
      </c>
      <c r="U588">
        <v>2020</v>
      </c>
      <c r="V588">
        <v>37</v>
      </c>
      <c r="W588">
        <v>8</v>
      </c>
      <c r="X588" t="s">
        <v>8927</v>
      </c>
      <c r="Y588" t="str">
        <f>HYPERLINK("http://dx.doi.org/10.1007/s00376-020-9268-6","http://dx.doi.org/10.1007/s00376-020-9268-6")</f>
        <v>http://dx.doi.org/10.1007/s00376-020-9268-6</v>
      </c>
      <c r="Z588" t="s">
        <v>3825</v>
      </c>
      <c r="AA588" t="s">
        <v>3826</v>
      </c>
      <c r="AB588" s="3">
        <v>45672</v>
      </c>
      <c r="AC588" t="s">
        <v>8928</v>
      </c>
      <c r="AD588" t="str">
        <f>HYPERLINK("https%3A%2F%2Fwww.webofscience.com%2Fwos%2Fwoscc%2Ffull-record%2FWOS:000552173600001","View Full Record in Web of Science")</f>
        <v>View Full Record in Web of Science</v>
      </c>
    </row>
    <row r="589" spans="1:30" x14ac:dyDescent="0.35">
      <c r="A589">
        <v>588</v>
      </c>
      <c r="B589" t="s">
        <v>3618</v>
      </c>
      <c r="C589" t="s">
        <v>8929</v>
      </c>
      <c r="D589" t="s">
        <v>3618</v>
      </c>
      <c r="E589" t="s">
        <v>2915</v>
      </c>
      <c r="F589" t="s">
        <v>3810</v>
      </c>
      <c r="G589" t="s">
        <v>8930</v>
      </c>
      <c r="H589" t="s">
        <v>8931</v>
      </c>
      <c r="I589" t="s">
        <v>8932</v>
      </c>
      <c r="K589" t="s">
        <v>8933</v>
      </c>
      <c r="L589">
        <v>7</v>
      </c>
      <c r="M589" t="s">
        <v>4730</v>
      </c>
      <c r="N589" t="s">
        <v>4731</v>
      </c>
      <c r="O589" t="s">
        <v>4732</v>
      </c>
      <c r="P589" t="s">
        <v>4733</v>
      </c>
      <c r="Q589" t="s">
        <v>4734</v>
      </c>
      <c r="R589" t="s">
        <v>4735</v>
      </c>
      <c r="S589" t="s">
        <v>4736</v>
      </c>
      <c r="T589" t="s">
        <v>3808</v>
      </c>
      <c r="U589">
        <v>2022</v>
      </c>
      <c r="V589">
        <v>44</v>
      </c>
      <c r="W589">
        <v>1</v>
      </c>
      <c r="X589" t="s">
        <v>8934</v>
      </c>
      <c r="Y589" t="str">
        <f>HYPERLINK("http://dx.doi.org/10.15625/2615-9783/16874","http://dx.doi.org/10.15625/2615-9783/16874")</f>
        <v>http://dx.doi.org/10.15625/2615-9783/16874</v>
      </c>
      <c r="Z589" t="s">
        <v>4116</v>
      </c>
      <c r="AA589" t="s">
        <v>4117</v>
      </c>
      <c r="AB589" s="3">
        <v>45672</v>
      </c>
      <c r="AC589" t="s">
        <v>8935</v>
      </c>
      <c r="AD589" t="str">
        <f>HYPERLINK("https%3A%2F%2Fwww.webofscience.com%2Fwos%2Fwoscc%2Ffull-record%2FWOS:000767348300005","View Full Record in Web of Science")</f>
        <v>View Full Record in Web of Science</v>
      </c>
    </row>
    <row r="590" spans="1:30" x14ac:dyDescent="0.35">
      <c r="A590">
        <v>589</v>
      </c>
      <c r="B590" t="s">
        <v>3619</v>
      </c>
      <c r="C590" t="s">
        <v>8936</v>
      </c>
      <c r="D590" t="s">
        <v>3619</v>
      </c>
      <c r="E590" t="s">
        <v>2958</v>
      </c>
      <c r="F590" t="s">
        <v>3810</v>
      </c>
      <c r="G590" t="s">
        <v>8937</v>
      </c>
      <c r="H590" t="s">
        <v>8938</v>
      </c>
      <c r="I590" t="s">
        <v>8939</v>
      </c>
      <c r="J590" t="s">
        <v>8940</v>
      </c>
      <c r="K590" t="s">
        <v>8941</v>
      </c>
      <c r="L590">
        <v>19</v>
      </c>
      <c r="M590" t="s">
        <v>3911</v>
      </c>
      <c r="N590" t="s">
        <v>3912</v>
      </c>
      <c r="O590" t="s">
        <v>3913</v>
      </c>
      <c r="P590" t="s">
        <v>6340</v>
      </c>
      <c r="Q590" t="s">
        <v>6341</v>
      </c>
      <c r="R590" t="s">
        <v>6342</v>
      </c>
      <c r="S590" t="s">
        <v>6343</v>
      </c>
      <c r="T590" t="s">
        <v>3932</v>
      </c>
      <c r="U590">
        <v>2016</v>
      </c>
      <c r="V590">
        <v>121</v>
      </c>
      <c r="W590">
        <v>5</v>
      </c>
      <c r="X590" t="s">
        <v>8942</v>
      </c>
      <c r="Y590" t="str">
        <f>HYPERLINK("http://dx.doi.org/10.1002/2015JC011443","http://dx.doi.org/10.1002/2015JC011443")</f>
        <v>http://dx.doi.org/10.1002/2015JC011443</v>
      </c>
      <c r="Z590" t="s">
        <v>4055</v>
      </c>
      <c r="AA590" t="s">
        <v>3826</v>
      </c>
      <c r="AB590" s="3">
        <v>45672</v>
      </c>
      <c r="AC590" t="s">
        <v>8943</v>
      </c>
      <c r="AD590" t="str">
        <f>HYPERLINK("https%3A%2F%2Fwww.webofscience.com%2Fwos%2Fwoscc%2Ffull-record%2FWOS:000383466500015","View Full Record in Web of Science")</f>
        <v>View Full Record in Web of Science</v>
      </c>
    </row>
    <row r="591" spans="1:30" x14ac:dyDescent="0.35">
      <c r="A591">
        <v>590</v>
      </c>
      <c r="B591" t="s">
        <v>3620</v>
      </c>
      <c r="C591" t="s">
        <v>8944</v>
      </c>
      <c r="D591" t="s">
        <v>3620</v>
      </c>
      <c r="E591" t="s">
        <v>2894</v>
      </c>
      <c r="F591" t="s">
        <v>3810</v>
      </c>
      <c r="G591" t="s">
        <v>8945</v>
      </c>
      <c r="H591" t="s">
        <v>8946</v>
      </c>
      <c r="I591" t="s">
        <v>8947</v>
      </c>
      <c r="K591" t="s">
        <v>3808</v>
      </c>
      <c r="L591">
        <v>5</v>
      </c>
      <c r="M591" t="s">
        <v>4252</v>
      </c>
      <c r="N591" t="s">
        <v>4355</v>
      </c>
      <c r="O591" t="s">
        <v>4356</v>
      </c>
      <c r="P591" t="s">
        <v>4255</v>
      </c>
      <c r="Q591" t="s">
        <v>4256</v>
      </c>
      <c r="R591" t="s">
        <v>4257</v>
      </c>
      <c r="S591" t="s">
        <v>4258</v>
      </c>
      <c r="T591" t="s">
        <v>3918</v>
      </c>
      <c r="U591">
        <v>2022</v>
      </c>
      <c r="V591">
        <v>149</v>
      </c>
      <c r="W591" t="s">
        <v>4259</v>
      </c>
      <c r="X591" t="s">
        <v>8948</v>
      </c>
      <c r="Y591" t="str">
        <f>HYPERLINK("http://dx.doi.org/10.1007/s00704-022-04085-6","http://dx.doi.org/10.1007/s00704-022-04085-6")</f>
        <v>http://dx.doi.org/10.1007/s00704-022-04085-6</v>
      </c>
      <c r="Z591" t="s">
        <v>3825</v>
      </c>
      <c r="AA591" t="s">
        <v>3826</v>
      </c>
      <c r="AB591" s="3">
        <v>45672</v>
      </c>
      <c r="AC591" t="s">
        <v>8949</v>
      </c>
      <c r="AD591" t="str">
        <f>HYPERLINK("https%3A%2F%2Fwww.webofscience.com%2Fwos%2Fwoscc%2Ffull-record%2FWOS:000795755000001","View Full Record in Web of Science")</f>
        <v>View Full Record in Web of Science</v>
      </c>
    </row>
    <row r="592" spans="1:30" x14ac:dyDescent="0.35">
      <c r="A592">
        <v>591</v>
      </c>
      <c r="B592" t="s">
        <v>3621</v>
      </c>
      <c r="C592" t="s">
        <v>8950</v>
      </c>
      <c r="D592" t="s">
        <v>3621</v>
      </c>
      <c r="E592" t="s">
        <v>3009</v>
      </c>
      <c r="F592" t="s">
        <v>3810</v>
      </c>
      <c r="G592" t="s">
        <v>8951</v>
      </c>
      <c r="H592" t="s">
        <v>8952</v>
      </c>
      <c r="I592" t="s">
        <v>8953</v>
      </c>
      <c r="J592" t="s">
        <v>8954</v>
      </c>
      <c r="K592" t="s">
        <v>8955</v>
      </c>
      <c r="L592">
        <v>11</v>
      </c>
      <c r="M592" t="s">
        <v>4046</v>
      </c>
      <c r="N592" t="s">
        <v>4047</v>
      </c>
      <c r="O592" t="s">
        <v>4048</v>
      </c>
      <c r="P592" t="s">
        <v>8956</v>
      </c>
      <c r="Q592" t="s">
        <v>8957</v>
      </c>
      <c r="R592" t="s">
        <v>8958</v>
      </c>
      <c r="S592" t="s">
        <v>8959</v>
      </c>
      <c r="T592" t="s">
        <v>8960</v>
      </c>
      <c r="U592">
        <v>2014</v>
      </c>
      <c r="V592">
        <v>79</v>
      </c>
      <c r="W592" t="s">
        <v>3808</v>
      </c>
      <c r="X592" t="s">
        <v>8961</v>
      </c>
      <c r="Y592" t="str">
        <f>HYPERLINK("http://dx.doi.org/10.1016/j.jseaes.2013.09.025","http://dx.doi.org/10.1016/j.jseaes.2013.09.025")</f>
        <v>http://dx.doi.org/10.1016/j.jseaes.2013.09.025</v>
      </c>
      <c r="Z592" t="s">
        <v>4116</v>
      </c>
      <c r="AA592" t="s">
        <v>3826</v>
      </c>
      <c r="AB592" s="3">
        <v>45672</v>
      </c>
      <c r="AC592" t="s">
        <v>8962</v>
      </c>
      <c r="AD592" t="str">
        <f>HYPERLINK("https%3A%2F%2Fwww.webofscience.com%2Fwos%2Fwoscc%2Ffull-record%2FWOS:000330604900006","View Full Record in Web of Science")</f>
        <v>View Full Record in Web of Science</v>
      </c>
    </row>
    <row r="593" spans="1:30" x14ac:dyDescent="0.35">
      <c r="A593">
        <v>592</v>
      </c>
      <c r="B593" t="s">
        <v>3622</v>
      </c>
      <c r="C593" t="s">
        <v>8963</v>
      </c>
      <c r="D593" t="s">
        <v>3622</v>
      </c>
      <c r="E593" t="s">
        <v>2965</v>
      </c>
      <c r="F593" t="s">
        <v>3810</v>
      </c>
      <c r="G593" t="s">
        <v>8964</v>
      </c>
      <c r="H593" t="s">
        <v>8965</v>
      </c>
      <c r="I593" t="s">
        <v>8966</v>
      </c>
      <c r="J593" t="s">
        <v>8967</v>
      </c>
      <c r="K593" t="s">
        <v>8968</v>
      </c>
      <c r="L593">
        <v>1</v>
      </c>
      <c r="M593" t="s">
        <v>6726</v>
      </c>
      <c r="N593" t="s">
        <v>6727</v>
      </c>
      <c r="O593" t="s">
        <v>6728</v>
      </c>
      <c r="P593" t="s">
        <v>6729</v>
      </c>
      <c r="Q593" t="s">
        <v>3808</v>
      </c>
      <c r="R593" t="s">
        <v>6730</v>
      </c>
      <c r="S593" t="s">
        <v>6731</v>
      </c>
      <c r="T593" t="s">
        <v>3808</v>
      </c>
      <c r="U593">
        <v>2022</v>
      </c>
      <c r="V593">
        <v>22</v>
      </c>
      <c r="W593">
        <v>3</v>
      </c>
      <c r="X593" t="s">
        <v>8969</v>
      </c>
      <c r="Y593" t="str">
        <f>HYPERLINK("http://dx.doi.org/10.2205/2022ES000791","http://dx.doi.org/10.2205/2022ES000791")</f>
        <v>http://dx.doi.org/10.2205/2022ES000791</v>
      </c>
      <c r="Z593" t="s">
        <v>4116</v>
      </c>
      <c r="AA593" t="s">
        <v>4117</v>
      </c>
      <c r="AB593" s="3">
        <v>45672</v>
      </c>
      <c r="AC593" t="s">
        <v>8970</v>
      </c>
      <c r="AD593" t="str">
        <f>HYPERLINK("https%3A%2F%2Fwww.webofscience.com%2Fwos%2Fwoscc%2Ffull-record%2FWOS:000925688700003","View Full Record in Web of Science")</f>
        <v>View Full Record in Web of Science</v>
      </c>
    </row>
    <row r="594" spans="1:30" x14ac:dyDescent="0.35">
      <c r="A594">
        <v>593</v>
      </c>
      <c r="B594" t="s">
        <v>3623</v>
      </c>
      <c r="C594" t="s">
        <v>8971</v>
      </c>
      <c r="D594" t="s">
        <v>3623</v>
      </c>
      <c r="E594" t="s">
        <v>3006</v>
      </c>
      <c r="F594" t="s">
        <v>3810</v>
      </c>
      <c r="G594" t="s">
        <v>8972</v>
      </c>
      <c r="H594" t="s">
        <v>8973</v>
      </c>
      <c r="I594" t="s">
        <v>7397</v>
      </c>
      <c r="J594" t="s">
        <v>7398</v>
      </c>
      <c r="K594" t="s">
        <v>8974</v>
      </c>
      <c r="L594">
        <v>10</v>
      </c>
      <c r="M594" t="s">
        <v>5326</v>
      </c>
      <c r="N594" t="s">
        <v>4047</v>
      </c>
      <c r="O594" t="s">
        <v>5327</v>
      </c>
      <c r="P594" t="s">
        <v>8568</v>
      </c>
      <c r="Q594" t="s">
        <v>8569</v>
      </c>
      <c r="R594" t="s">
        <v>8570</v>
      </c>
      <c r="S594" t="s">
        <v>8571</v>
      </c>
      <c r="T594" t="s">
        <v>4137</v>
      </c>
      <c r="U594">
        <v>2020</v>
      </c>
      <c r="V594">
        <v>152</v>
      </c>
      <c r="W594" t="s">
        <v>3808</v>
      </c>
      <c r="X594" t="s">
        <v>8975</v>
      </c>
      <c r="Y594" t="str">
        <f>HYPERLINK("http://dx.doi.org/10.1016/j.ocemod.2020.101655","http://dx.doi.org/10.1016/j.ocemod.2020.101655")</f>
        <v>http://dx.doi.org/10.1016/j.ocemod.2020.101655</v>
      </c>
      <c r="Z594" t="s">
        <v>6193</v>
      </c>
      <c r="AA594" t="s">
        <v>3826</v>
      </c>
      <c r="AB594" s="3">
        <v>45672</v>
      </c>
      <c r="AC594" t="s">
        <v>8976</v>
      </c>
      <c r="AD594" t="str">
        <f>HYPERLINK("https%3A%2F%2Fwww.webofscience.com%2Fwos%2Fwoscc%2Ffull-record%2FWOS:000550870000003","View Full Record in Web of Science")</f>
        <v>View Full Record in Web of Science</v>
      </c>
    </row>
    <row r="595" spans="1:30" x14ac:dyDescent="0.35">
      <c r="A595">
        <v>594</v>
      </c>
      <c r="B595" t="s">
        <v>3624</v>
      </c>
      <c r="C595" t="s">
        <v>8977</v>
      </c>
      <c r="D595" t="s">
        <v>3624</v>
      </c>
      <c r="E595" t="s">
        <v>2958</v>
      </c>
      <c r="F595" t="s">
        <v>3810</v>
      </c>
      <c r="G595" t="s">
        <v>8978</v>
      </c>
      <c r="H595" t="s">
        <v>8979</v>
      </c>
      <c r="I595" t="s">
        <v>8980</v>
      </c>
      <c r="J595" t="s">
        <v>8981</v>
      </c>
      <c r="K595" t="s">
        <v>8982</v>
      </c>
      <c r="L595">
        <v>40</v>
      </c>
      <c r="M595" t="s">
        <v>3911</v>
      </c>
      <c r="N595" t="s">
        <v>3912</v>
      </c>
      <c r="O595" t="s">
        <v>3913</v>
      </c>
      <c r="P595" t="s">
        <v>6340</v>
      </c>
      <c r="Q595" t="s">
        <v>6341</v>
      </c>
      <c r="R595" t="s">
        <v>6342</v>
      </c>
      <c r="S595" t="s">
        <v>6343</v>
      </c>
      <c r="T595" t="s">
        <v>4016</v>
      </c>
      <c r="U595">
        <v>2014</v>
      </c>
      <c r="V595">
        <v>119</v>
      </c>
      <c r="W595">
        <v>10</v>
      </c>
      <c r="X595" t="s">
        <v>8983</v>
      </c>
      <c r="Y595" t="str">
        <f>HYPERLINK("http://dx.doi.org/10.1002/2014JC010206","http://dx.doi.org/10.1002/2014JC010206")</f>
        <v>http://dx.doi.org/10.1002/2014JC010206</v>
      </c>
      <c r="Z595" t="s">
        <v>4055</v>
      </c>
      <c r="AA595" t="s">
        <v>3826</v>
      </c>
      <c r="AB595" s="3">
        <v>45672</v>
      </c>
      <c r="AC595" t="s">
        <v>8984</v>
      </c>
      <c r="AD595" t="str">
        <f>HYPERLINK("https%3A%2F%2Fwww.webofscience.com%2Fwos%2Fwoscc%2Ffull-record%2FWOS:000345499700040","View Full Record in Web of Science")</f>
        <v>View Full Record in Web of Science</v>
      </c>
    </row>
    <row r="596" spans="1:30" x14ac:dyDescent="0.35">
      <c r="A596">
        <v>595</v>
      </c>
      <c r="B596" t="s">
        <v>3625</v>
      </c>
      <c r="C596" t="s">
        <v>8985</v>
      </c>
      <c r="D596" t="s">
        <v>3625</v>
      </c>
      <c r="E596" t="s">
        <v>2964</v>
      </c>
      <c r="F596" t="s">
        <v>3810</v>
      </c>
      <c r="G596" t="s">
        <v>8986</v>
      </c>
      <c r="H596" t="s">
        <v>8987</v>
      </c>
      <c r="I596" t="s">
        <v>8988</v>
      </c>
      <c r="J596" t="s">
        <v>3808</v>
      </c>
      <c r="K596" t="s">
        <v>3808</v>
      </c>
      <c r="L596">
        <v>5</v>
      </c>
      <c r="M596" t="s">
        <v>8989</v>
      </c>
      <c r="N596" t="s">
        <v>6681</v>
      </c>
      <c r="O596" t="s">
        <v>6682</v>
      </c>
      <c r="P596" t="s">
        <v>6684</v>
      </c>
      <c r="Q596" t="s">
        <v>3808</v>
      </c>
      <c r="R596" t="s">
        <v>6685</v>
      </c>
      <c r="S596" t="s">
        <v>6686</v>
      </c>
      <c r="T596" t="s">
        <v>4016</v>
      </c>
      <c r="U596">
        <v>2018</v>
      </c>
      <c r="V596">
        <v>66</v>
      </c>
      <c r="W596">
        <v>5</v>
      </c>
      <c r="X596" t="s">
        <v>8990</v>
      </c>
      <c r="Y596" t="str">
        <f>HYPERLINK("http://dx.doi.org/10.1007/s11600-018-0176-4","http://dx.doi.org/10.1007/s11600-018-0176-4")</f>
        <v>http://dx.doi.org/10.1007/s11600-018-0176-4</v>
      </c>
      <c r="Z596" t="s">
        <v>3920</v>
      </c>
      <c r="AA596" t="s">
        <v>3826</v>
      </c>
      <c r="AB596" s="3">
        <v>45672</v>
      </c>
      <c r="AC596" t="s">
        <v>8991</v>
      </c>
      <c r="AD596" t="str">
        <f>HYPERLINK("https%3A%2F%2Fwww.webofscience.com%2Fwos%2Fwoscc%2Ffull-record%2FWOS:000448505400020","View Full Record in Web of Science")</f>
        <v>View Full Record in Web of Science</v>
      </c>
    </row>
    <row r="597" spans="1:30" x14ac:dyDescent="0.35">
      <c r="A597">
        <v>596</v>
      </c>
      <c r="B597" t="s">
        <v>3626</v>
      </c>
      <c r="C597" t="s">
        <v>8992</v>
      </c>
      <c r="D597" t="s">
        <v>3626</v>
      </c>
      <c r="E597" t="s">
        <v>2866</v>
      </c>
      <c r="F597" t="s">
        <v>3810</v>
      </c>
      <c r="G597" t="s">
        <v>8993</v>
      </c>
      <c r="H597" t="s">
        <v>8994</v>
      </c>
      <c r="I597" t="s">
        <v>8995</v>
      </c>
      <c r="K597" t="s">
        <v>3808</v>
      </c>
      <c r="L597">
        <v>12</v>
      </c>
      <c r="M597" t="s">
        <v>3850</v>
      </c>
      <c r="N597" t="s">
        <v>3851</v>
      </c>
      <c r="O597" t="s">
        <v>3852</v>
      </c>
      <c r="P597" t="s">
        <v>3853</v>
      </c>
      <c r="Q597" t="s">
        <v>3854</v>
      </c>
      <c r="R597" t="s">
        <v>3855</v>
      </c>
      <c r="S597" t="s">
        <v>3856</v>
      </c>
      <c r="T597" t="s">
        <v>3932</v>
      </c>
      <c r="U597">
        <v>2018</v>
      </c>
      <c r="V597">
        <v>38</v>
      </c>
      <c r="W597">
        <v>6</v>
      </c>
      <c r="X597" t="s">
        <v>8996</v>
      </c>
      <c r="Y597" t="str">
        <f>HYPERLINK("http://dx.doi.org/10.1002/joc.5451","http://dx.doi.org/10.1002/joc.5451")</f>
        <v>http://dx.doi.org/10.1002/joc.5451</v>
      </c>
      <c r="Z597" t="s">
        <v>3825</v>
      </c>
      <c r="AA597" t="s">
        <v>3826</v>
      </c>
      <c r="AB597" s="3">
        <v>45672</v>
      </c>
      <c r="AC597" t="s">
        <v>8997</v>
      </c>
      <c r="AD597" t="str">
        <f>HYPERLINK("https%3A%2F%2Fwww.webofscience.com%2Fwos%2Fwoscc%2Ffull-record%2FWOS:000437834500004","View Full Record in Web of Science")</f>
        <v>View Full Record in Web of Science</v>
      </c>
    </row>
    <row r="598" spans="1:30" x14ac:dyDescent="0.35">
      <c r="A598">
        <v>597</v>
      </c>
      <c r="B598" t="s">
        <v>3627</v>
      </c>
      <c r="C598" t="s">
        <v>8998</v>
      </c>
      <c r="D598" t="s">
        <v>3627</v>
      </c>
      <c r="E598" t="s">
        <v>3010</v>
      </c>
      <c r="F598" t="s">
        <v>3810</v>
      </c>
      <c r="G598" t="s">
        <v>8999</v>
      </c>
      <c r="H598" t="s">
        <v>9000</v>
      </c>
      <c r="I598" t="s">
        <v>9001</v>
      </c>
      <c r="J598" t="s">
        <v>9002</v>
      </c>
      <c r="K598" t="s">
        <v>9003</v>
      </c>
      <c r="L598">
        <v>17</v>
      </c>
      <c r="M598" t="s">
        <v>9004</v>
      </c>
      <c r="N598" t="s">
        <v>9005</v>
      </c>
      <c r="O598" t="s">
        <v>9006</v>
      </c>
      <c r="P598" t="s">
        <v>9007</v>
      </c>
      <c r="Q598" t="s">
        <v>9008</v>
      </c>
      <c r="R598" t="s">
        <v>9009</v>
      </c>
      <c r="S598" t="s">
        <v>9010</v>
      </c>
      <c r="T598" t="s">
        <v>9011</v>
      </c>
      <c r="U598">
        <v>2019</v>
      </c>
      <c r="V598">
        <v>103</v>
      </c>
      <c r="W598">
        <v>7</v>
      </c>
      <c r="X598" t="s">
        <v>9012</v>
      </c>
      <c r="Y598" t="str">
        <f>HYPERLINK("http://dx.doi.org/10.1306/11211817270","http://dx.doi.org/10.1306/11211817270")</f>
        <v>http://dx.doi.org/10.1306/11211817270</v>
      </c>
      <c r="Z598" t="s">
        <v>4116</v>
      </c>
      <c r="AA598" t="s">
        <v>3826</v>
      </c>
      <c r="AB598" s="3">
        <v>45672</v>
      </c>
      <c r="AC598" t="s">
        <v>9013</v>
      </c>
      <c r="AD598" t="str">
        <f>HYPERLINK("https%3A%2F%2Fwww.webofscience.com%2Fwos%2Fwoscc%2Ffull-record%2FWOS:000475472700001","View Full Record in Web of Science")</f>
        <v>View Full Record in Web of Science</v>
      </c>
    </row>
    <row r="599" spans="1:30" x14ac:dyDescent="0.35">
      <c r="A599">
        <v>598</v>
      </c>
      <c r="B599" t="s">
        <v>3628</v>
      </c>
      <c r="C599" t="s">
        <v>9014</v>
      </c>
      <c r="D599" t="s">
        <v>3628</v>
      </c>
      <c r="E599" t="s">
        <v>2915</v>
      </c>
      <c r="F599" t="s">
        <v>3810</v>
      </c>
      <c r="G599" t="s">
        <v>9015</v>
      </c>
      <c r="H599" t="s">
        <v>9016</v>
      </c>
      <c r="I599" t="s">
        <v>9017</v>
      </c>
      <c r="K599" t="s">
        <v>9018</v>
      </c>
      <c r="L599">
        <v>1</v>
      </c>
      <c r="M599" t="s">
        <v>4730</v>
      </c>
      <c r="N599" t="s">
        <v>4731</v>
      </c>
      <c r="O599" t="s">
        <v>4732</v>
      </c>
      <c r="P599" t="s">
        <v>4733</v>
      </c>
      <c r="Q599" t="s">
        <v>4734</v>
      </c>
      <c r="R599" t="s">
        <v>4735</v>
      </c>
      <c r="S599" t="s">
        <v>4736</v>
      </c>
      <c r="T599" t="s">
        <v>3808</v>
      </c>
      <c r="U599">
        <v>2021</v>
      </c>
      <c r="V599">
        <v>43</v>
      </c>
      <c r="W599">
        <v>4</v>
      </c>
      <c r="X599" t="s">
        <v>9019</v>
      </c>
      <c r="Y599" t="str">
        <f>HYPERLINK("http://dx.doi.org/10.15625/2615-9783/16572","http://dx.doi.org/10.15625/2615-9783/16572")</f>
        <v>http://dx.doi.org/10.15625/2615-9783/16572</v>
      </c>
      <c r="Z599" t="s">
        <v>4116</v>
      </c>
      <c r="AA599" t="s">
        <v>4117</v>
      </c>
      <c r="AB599" s="3">
        <v>45672</v>
      </c>
      <c r="AC599" t="s">
        <v>9020</v>
      </c>
      <c r="AD599" t="str">
        <f>HYPERLINK("https%3A%2F%2Fwww.webofscience.com%2Fwos%2Fwoscc%2Ffull-record%2FWOS:000753084800001","View Full Record in Web of Science")</f>
        <v>View Full Record in Web of Science</v>
      </c>
    </row>
    <row r="600" spans="1:30" x14ac:dyDescent="0.35">
      <c r="A600">
        <v>599</v>
      </c>
      <c r="B600" t="s">
        <v>3629</v>
      </c>
      <c r="C600" t="s">
        <v>9021</v>
      </c>
      <c r="D600" t="s">
        <v>3629</v>
      </c>
      <c r="E600" t="s">
        <v>2927</v>
      </c>
      <c r="F600" t="s">
        <v>3810</v>
      </c>
      <c r="G600" t="s">
        <v>9022</v>
      </c>
      <c r="H600" t="s">
        <v>9023</v>
      </c>
      <c r="I600" t="s">
        <v>9024</v>
      </c>
      <c r="J600" t="s">
        <v>9025</v>
      </c>
      <c r="K600" t="s">
        <v>9026</v>
      </c>
      <c r="L600">
        <v>30</v>
      </c>
      <c r="M600" t="s">
        <v>4339</v>
      </c>
      <c r="N600" t="s">
        <v>4340</v>
      </c>
      <c r="O600" t="s">
        <v>4341</v>
      </c>
      <c r="P600" t="s">
        <v>5108</v>
      </c>
      <c r="Q600" t="s">
        <v>5109</v>
      </c>
      <c r="R600" t="s">
        <v>5110</v>
      </c>
      <c r="S600" t="s">
        <v>5111</v>
      </c>
      <c r="T600" t="s">
        <v>5133</v>
      </c>
      <c r="U600">
        <v>2018</v>
      </c>
      <c r="V600">
        <v>22</v>
      </c>
      <c r="W600">
        <v>5</v>
      </c>
      <c r="X600" t="s">
        <v>9027</v>
      </c>
      <c r="Y600" t="str">
        <f>HYPERLINK("http://dx.doi.org/10.5194/hess-22-2903-2018","http://dx.doi.org/10.5194/hess-22-2903-2018")</f>
        <v>http://dx.doi.org/10.5194/hess-22-2903-2018</v>
      </c>
      <c r="Z600" t="s">
        <v>4231</v>
      </c>
      <c r="AA600" t="s">
        <v>3826</v>
      </c>
      <c r="AB600" s="3">
        <v>45672</v>
      </c>
      <c r="AC600" t="s">
        <v>9028</v>
      </c>
      <c r="AD600" t="str">
        <f>HYPERLINK("https%3A%2F%2Fwww.webofscience.com%2Fwos%2Fwoscc%2Ffull-record%2FWOS:000432362700002","View Full Record in Web of Science")</f>
        <v>View Full Record in Web of Science</v>
      </c>
    </row>
    <row r="601" spans="1:30" x14ac:dyDescent="0.35">
      <c r="A601">
        <v>600</v>
      </c>
      <c r="B601" t="s">
        <v>3630</v>
      </c>
      <c r="C601" t="s">
        <v>9029</v>
      </c>
      <c r="D601" t="s">
        <v>3630</v>
      </c>
      <c r="E601" t="s">
        <v>3011</v>
      </c>
      <c r="F601" t="s">
        <v>3810</v>
      </c>
      <c r="G601" t="s">
        <v>9030</v>
      </c>
      <c r="H601" t="s">
        <v>9031</v>
      </c>
      <c r="I601" t="s">
        <v>9032</v>
      </c>
      <c r="J601" t="s">
        <v>9033</v>
      </c>
      <c r="K601" t="s">
        <v>9034</v>
      </c>
      <c r="L601">
        <v>0</v>
      </c>
      <c r="M601" t="s">
        <v>9035</v>
      </c>
      <c r="N601" t="s">
        <v>9036</v>
      </c>
      <c r="O601" t="s">
        <v>9037</v>
      </c>
      <c r="P601" t="s">
        <v>9038</v>
      </c>
      <c r="Q601" t="s">
        <v>9039</v>
      </c>
      <c r="R601" t="s">
        <v>9040</v>
      </c>
      <c r="S601" t="s">
        <v>9041</v>
      </c>
      <c r="T601" t="s">
        <v>3808</v>
      </c>
      <c r="U601">
        <v>2022</v>
      </c>
      <c r="V601">
        <v>37</v>
      </c>
      <c r="W601">
        <v>5</v>
      </c>
      <c r="X601" t="s">
        <v>9042</v>
      </c>
      <c r="Y601" t="str">
        <f>HYPERLINK("http://dx.doi.org/10.17794/rgn.2022.5.12","http://dx.doi.org/10.17794/rgn.2022.5.12")</f>
        <v>http://dx.doi.org/10.17794/rgn.2022.5.12</v>
      </c>
      <c r="Z601" t="s">
        <v>6856</v>
      </c>
      <c r="AA601" t="s">
        <v>4117</v>
      </c>
      <c r="AB601" s="3">
        <v>45672</v>
      </c>
      <c r="AC601" t="s">
        <v>9043</v>
      </c>
      <c r="AD601" t="str">
        <f>HYPERLINK("https%3A%2F%2Fwww.webofscience.com%2Fwos%2Fwoscc%2Ffull-record%2FWOS:000924954600012","View Full Record in Web of Science")</f>
        <v>View Full Record in Web of Science</v>
      </c>
    </row>
    <row r="602" spans="1:30" x14ac:dyDescent="0.35">
      <c r="A602">
        <v>601</v>
      </c>
      <c r="B602" t="s">
        <v>3631</v>
      </c>
      <c r="C602" t="s">
        <v>9044</v>
      </c>
      <c r="D602" t="s">
        <v>3631</v>
      </c>
      <c r="E602" t="s">
        <v>2969</v>
      </c>
      <c r="F602" t="s">
        <v>3810</v>
      </c>
      <c r="G602" t="s">
        <v>9045</v>
      </c>
      <c r="H602" t="s">
        <v>9046</v>
      </c>
      <c r="I602" t="s">
        <v>9047</v>
      </c>
      <c r="J602" t="s">
        <v>8402</v>
      </c>
      <c r="K602" t="s">
        <v>9048</v>
      </c>
      <c r="L602">
        <v>9</v>
      </c>
      <c r="M602" t="s">
        <v>4061</v>
      </c>
      <c r="N602" t="s">
        <v>4062</v>
      </c>
      <c r="O602" t="s">
        <v>4063</v>
      </c>
      <c r="P602" t="s">
        <v>6830</v>
      </c>
      <c r="Q602" t="s">
        <v>6831</v>
      </c>
      <c r="R602" t="s">
        <v>6832</v>
      </c>
      <c r="S602" t="s">
        <v>6833</v>
      </c>
      <c r="T602" t="s">
        <v>4163</v>
      </c>
      <c r="U602">
        <v>2019</v>
      </c>
      <c r="V602">
        <v>33</v>
      </c>
      <c r="W602">
        <v>6</v>
      </c>
      <c r="X602" t="s">
        <v>9049</v>
      </c>
      <c r="Y602" t="str">
        <f>HYPERLINK("http://dx.doi.org/10.1007/s13351-019-9026-9","http://dx.doi.org/10.1007/s13351-019-9026-9")</f>
        <v>http://dx.doi.org/10.1007/s13351-019-9026-9</v>
      </c>
      <c r="Z602" t="s">
        <v>3825</v>
      </c>
      <c r="AA602" t="s">
        <v>3826</v>
      </c>
      <c r="AB602" s="3">
        <v>45672</v>
      </c>
      <c r="AC602" t="s">
        <v>9050</v>
      </c>
      <c r="AD602" t="str">
        <f>HYPERLINK("https%3A%2F%2Fwww.webofscience.com%2Fwos%2Fwoscc%2Ffull-record%2FWOS:000507495300005","View Full Record in Web of Science")</f>
        <v>View Full Record in Web of Science</v>
      </c>
    </row>
    <row r="603" spans="1:30" x14ac:dyDescent="0.35">
      <c r="A603">
        <v>602</v>
      </c>
      <c r="B603" t="s">
        <v>3632</v>
      </c>
      <c r="C603" t="s">
        <v>9051</v>
      </c>
      <c r="D603" t="s">
        <v>3632</v>
      </c>
      <c r="E603" t="s">
        <v>2871</v>
      </c>
      <c r="F603" t="s">
        <v>3810</v>
      </c>
      <c r="G603" t="s">
        <v>9052</v>
      </c>
      <c r="H603" t="s">
        <v>9053</v>
      </c>
      <c r="I603" t="s">
        <v>9054</v>
      </c>
      <c r="J603" t="s">
        <v>9055</v>
      </c>
      <c r="K603" t="s">
        <v>9056</v>
      </c>
      <c r="L603">
        <v>9</v>
      </c>
      <c r="M603" t="s">
        <v>3866</v>
      </c>
      <c r="N603" t="s">
        <v>3817</v>
      </c>
      <c r="O603" t="s">
        <v>4290</v>
      </c>
      <c r="P603" t="s">
        <v>3928</v>
      </c>
      <c r="Q603" t="s">
        <v>3929</v>
      </c>
      <c r="R603" t="s">
        <v>3930</v>
      </c>
      <c r="S603" t="s">
        <v>3931</v>
      </c>
      <c r="T603" t="s">
        <v>3872</v>
      </c>
      <c r="U603">
        <v>2019</v>
      </c>
      <c r="V603">
        <v>98</v>
      </c>
      <c r="W603">
        <v>2</v>
      </c>
      <c r="X603" t="s">
        <v>9057</v>
      </c>
      <c r="Y603" t="str">
        <f>HYPERLINK("http://dx.doi.org/10.1007/s11069-019-03725-x","http://dx.doi.org/10.1007/s11069-019-03725-x")</f>
        <v>http://dx.doi.org/10.1007/s11069-019-03725-x</v>
      </c>
      <c r="Z603" t="s">
        <v>3934</v>
      </c>
      <c r="AA603" t="s">
        <v>3826</v>
      </c>
      <c r="AB603" s="3">
        <v>45672</v>
      </c>
      <c r="AC603" t="s">
        <v>9058</v>
      </c>
      <c r="AD603" t="str">
        <f>HYPERLINK("https%3A%2F%2Fwww.webofscience.com%2Fwos%2Fwoscc%2Ffull-record%2FWOS:000499657300016","View Full Record in Web of Science")</f>
        <v>View Full Record in Web of Science</v>
      </c>
    </row>
    <row r="604" spans="1:30" x14ac:dyDescent="0.35">
      <c r="A604">
        <v>603</v>
      </c>
      <c r="B604" t="s">
        <v>3633</v>
      </c>
      <c r="C604" t="s">
        <v>9059</v>
      </c>
      <c r="D604" t="s">
        <v>3633</v>
      </c>
      <c r="E604" t="s">
        <v>2877</v>
      </c>
      <c r="F604" t="s">
        <v>3810</v>
      </c>
      <c r="G604" t="s">
        <v>9060</v>
      </c>
      <c r="H604" t="s">
        <v>9061</v>
      </c>
      <c r="I604" t="s">
        <v>9062</v>
      </c>
      <c r="J604" t="s">
        <v>9063</v>
      </c>
      <c r="K604" t="s">
        <v>9064</v>
      </c>
      <c r="L604">
        <v>16</v>
      </c>
      <c r="M604" t="s">
        <v>4033</v>
      </c>
      <c r="N604" t="s">
        <v>4034</v>
      </c>
      <c r="O604" t="s">
        <v>4035</v>
      </c>
      <c r="P604" t="s">
        <v>4036</v>
      </c>
      <c r="Q604" t="s">
        <v>4037</v>
      </c>
      <c r="R604" t="s">
        <v>4038</v>
      </c>
      <c r="S604" t="s">
        <v>4039</v>
      </c>
      <c r="T604" t="s">
        <v>4001</v>
      </c>
      <c r="U604">
        <v>2016</v>
      </c>
      <c r="V604">
        <v>29</v>
      </c>
      <c r="W604">
        <v>1</v>
      </c>
      <c r="X604" t="s">
        <v>9065</v>
      </c>
      <c r="Y604" t="str">
        <f>HYPERLINK("http://dx.doi.org/10.1175/JCLI-D-14-00653.1","http://dx.doi.org/10.1175/JCLI-D-14-00653.1")</f>
        <v>http://dx.doi.org/10.1175/JCLI-D-14-00653.1</v>
      </c>
      <c r="Z604" t="s">
        <v>3825</v>
      </c>
      <c r="AA604" t="s">
        <v>3826</v>
      </c>
      <c r="AB604" s="3">
        <v>45672</v>
      </c>
      <c r="AC604" t="s">
        <v>9066</v>
      </c>
      <c r="AD604" t="str">
        <f>HYPERLINK("https%3A%2F%2Fwww.webofscience.com%2Fwos%2Fwoscc%2Ffull-record%2FWOS:000367431200001","View Full Record in Web of Science")</f>
        <v>View Full Record in Web of Science</v>
      </c>
    </row>
    <row r="605" spans="1:30" x14ac:dyDescent="0.35">
      <c r="A605">
        <v>604</v>
      </c>
      <c r="B605" t="s">
        <v>3634</v>
      </c>
      <c r="C605" t="s">
        <v>9067</v>
      </c>
      <c r="D605" t="s">
        <v>3634</v>
      </c>
      <c r="E605" t="s">
        <v>2905</v>
      </c>
      <c r="F605" t="s">
        <v>3810</v>
      </c>
      <c r="G605" t="s">
        <v>9068</v>
      </c>
      <c r="H605" t="s">
        <v>9069</v>
      </c>
      <c r="I605" t="s">
        <v>9070</v>
      </c>
      <c r="J605" t="s">
        <v>9071</v>
      </c>
      <c r="K605" t="s">
        <v>9072</v>
      </c>
      <c r="L605">
        <v>35</v>
      </c>
      <c r="M605" t="s">
        <v>4339</v>
      </c>
      <c r="N605" t="s">
        <v>4340</v>
      </c>
      <c r="O605" t="s">
        <v>4341</v>
      </c>
      <c r="P605" t="s">
        <v>4449</v>
      </c>
      <c r="Q605" t="s">
        <v>4450</v>
      </c>
      <c r="R605" t="s">
        <v>4451</v>
      </c>
      <c r="S605" t="s">
        <v>4452</v>
      </c>
      <c r="T605" t="s">
        <v>3808</v>
      </c>
      <c r="U605">
        <v>2015</v>
      </c>
      <c r="V605">
        <v>11</v>
      </c>
      <c r="W605">
        <v>8</v>
      </c>
      <c r="X605" t="s">
        <v>9073</v>
      </c>
      <c r="Y605" t="str">
        <f>HYPERLINK("http://dx.doi.org/10.5194/cp-11-1027-2015","http://dx.doi.org/10.5194/cp-11-1027-2015")</f>
        <v>http://dx.doi.org/10.5194/cp-11-1027-2015</v>
      </c>
      <c r="Z605" t="s">
        <v>4455</v>
      </c>
      <c r="AA605" t="s">
        <v>3826</v>
      </c>
      <c r="AB605" s="3">
        <v>45672</v>
      </c>
      <c r="AC605" t="s">
        <v>9074</v>
      </c>
      <c r="AD605" t="str">
        <f>HYPERLINK("https%3A%2F%2Fwww.webofscience.com%2Fwos%2Fwoscc%2Ffull-record%2FWOS:000360642800001","View Full Record in Web of Science")</f>
        <v>View Full Record in Web of Science</v>
      </c>
    </row>
    <row r="606" spans="1:30" x14ac:dyDescent="0.35">
      <c r="A606">
        <v>605</v>
      </c>
      <c r="B606" t="s">
        <v>3635</v>
      </c>
      <c r="C606" t="s">
        <v>9075</v>
      </c>
      <c r="D606" t="s">
        <v>3635</v>
      </c>
      <c r="E606" t="s">
        <v>2926</v>
      </c>
      <c r="F606" t="s">
        <v>3810</v>
      </c>
      <c r="G606" t="s">
        <v>9076</v>
      </c>
      <c r="H606" t="s">
        <v>9077</v>
      </c>
      <c r="I606" t="s">
        <v>9078</v>
      </c>
      <c r="J606" t="s">
        <v>9079</v>
      </c>
      <c r="K606" t="s">
        <v>9080</v>
      </c>
      <c r="L606">
        <v>4</v>
      </c>
      <c r="M606" t="s">
        <v>3951</v>
      </c>
      <c r="N606" t="s">
        <v>3952</v>
      </c>
      <c r="O606" t="s">
        <v>3953</v>
      </c>
      <c r="P606" t="s">
        <v>5029</v>
      </c>
      <c r="Q606" t="s">
        <v>3808</v>
      </c>
      <c r="R606" t="s">
        <v>5030</v>
      </c>
      <c r="S606" t="s">
        <v>5031</v>
      </c>
      <c r="T606" t="s">
        <v>3918</v>
      </c>
      <c r="U606">
        <v>2023</v>
      </c>
      <c r="V606">
        <v>93</v>
      </c>
      <c r="W606" t="s">
        <v>3808</v>
      </c>
      <c r="X606" t="s">
        <v>9081</v>
      </c>
      <c r="Y606" t="str">
        <f>HYPERLINK("http://dx.doi.org/10.1016/j.ijdrr.2023.103787","http://dx.doi.org/10.1016/j.ijdrr.2023.103787")</f>
        <v>http://dx.doi.org/10.1016/j.ijdrr.2023.103787</v>
      </c>
      <c r="Z606" t="s">
        <v>3934</v>
      </c>
      <c r="AA606" t="s">
        <v>3826</v>
      </c>
      <c r="AB606" s="3">
        <v>45672</v>
      </c>
      <c r="AC606" t="s">
        <v>9082</v>
      </c>
      <c r="AD606" t="str">
        <f>HYPERLINK("https%3A%2F%2Fwww.webofscience.com%2Fwos%2Fwoscc%2Ffull-record%2FWOS:001020365000001","View Full Record in Web of Science")</f>
        <v>View Full Record in Web of Science</v>
      </c>
    </row>
    <row r="607" spans="1:30" x14ac:dyDescent="0.35">
      <c r="A607">
        <v>606</v>
      </c>
      <c r="B607" t="s">
        <v>3636</v>
      </c>
      <c r="C607" t="s">
        <v>9083</v>
      </c>
      <c r="D607" t="s">
        <v>3636</v>
      </c>
      <c r="E607" t="s">
        <v>2943</v>
      </c>
      <c r="F607" t="s">
        <v>3810</v>
      </c>
      <c r="G607" t="s">
        <v>9084</v>
      </c>
      <c r="H607" t="s">
        <v>9085</v>
      </c>
      <c r="I607" t="s">
        <v>9086</v>
      </c>
      <c r="K607" t="s">
        <v>3808</v>
      </c>
      <c r="L607">
        <v>4</v>
      </c>
      <c r="M607" t="s">
        <v>5750</v>
      </c>
      <c r="N607" t="s">
        <v>5751</v>
      </c>
      <c r="O607" t="s">
        <v>5752</v>
      </c>
      <c r="P607" t="s">
        <v>5753</v>
      </c>
      <c r="Q607" t="s">
        <v>5754</v>
      </c>
      <c r="R607" t="s">
        <v>5755</v>
      </c>
      <c r="S607" t="s">
        <v>5756</v>
      </c>
      <c r="T607" t="s">
        <v>3808</v>
      </c>
      <c r="U607">
        <v>2023</v>
      </c>
      <c r="V607">
        <v>16</v>
      </c>
      <c r="W607" t="s">
        <v>3808</v>
      </c>
      <c r="X607" t="s">
        <v>9087</v>
      </c>
      <c r="Y607" t="str">
        <f>HYPERLINK("http://dx.doi.org/10.1109/JSTARS.2023.3267796","http://dx.doi.org/10.1109/JSTARS.2023.3267796")</f>
        <v>http://dx.doi.org/10.1109/JSTARS.2023.3267796</v>
      </c>
      <c r="Z607" t="s">
        <v>5758</v>
      </c>
      <c r="AA607" t="s">
        <v>3826</v>
      </c>
      <c r="AB607" s="3">
        <v>45672</v>
      </c>
      <c r="AC607" t="s">
        <v>9088</v>
      </c>
      <c r="AD607" t="str">
        <f>HYPERLINK("https%3A%2F%2Fwww.webofscience.com%2Fwos%2Fwoscc%2Ffull-record%2FWOS:000986585000004","View Full Record in Web of Science")</f>
        <v>View Full Record in Web of Science</v>
      </c>
    </row>
    <row r="608" spans="1:30" x14ac:dyDescent="0.35">
      <c r="A608">
        <v>607</v>
      </c>
      <c r="B608" t="s">
        <v>3637</v>
      </c>
      <c r="C608" t="s">
        <v>9089</v>
      </c>
      <c r="D608" t="s">
        <v>3637</v>
      </c>
      <c r="E608" t="s">
        <v>2922</v>
      </c>
      <c r="F608" t="s">
        <v>3810</v>
      </c>
      <c r="G608" t="s">
        <v>9090</v>
      </c>
      <c r="H608" t="s">
        <v>9091</v>
      </c>
      <c r="I608" t="s">
        <v>9092</v>
      </c>
      <c r="J608" t="s">
        <v>9093</v>
      </c>
      <c r="K608" t="s">
        <v>9094</v>
      </c>
      <c r="L608">
        <v>23</v>
      </c>
      <c r="M608" t="s">
        <v>3951</v>
      </c>
      <c r="N608" t="s">
        <v>3952</v>
      </c>
      <c r="O608" t="s">
        <v>3953</v>
      </c>
      <c r="P608" t="s">
        <v>4910</v>
      </c>
      <c r="Q608" t="s">
        <v>4911</v>
      </c>
      <c r="R608" t="s">
        <v>4912</v>
      </c>
      <c r="S608" t="s">
        <v>4913</v>
      </c>
      <c r="T608" t="s">
        <v>4016</v>
      </c>
      <c r="U608">
        <v>2018</v>
      </c>
      <c r="V608">
        <v>72</v>
      </c>
      <c r="W608" t="s">
        <v>3808</v>
      </c>
      <c r="X608" t="s">
        <v>9095</v>
      </c>
      <c r="Y608" t="str">
        <f>HYPERLINK("http://dx.doi.org/10.1016/j.jag.2018.05.024","http://dx.doi.org/10.1016/j.jag.2018.05.024")</f>
        <v>http://dx.doi.org/10.1016/j.jag.2018.05.024</v>
      </c>
      <c r="Z608" t="s">
        <v>4475</v>
      </c>
      <c r="AA608" t="s">
        <v>3826</v>
      </c>
      <c r="AB608" s="3">
        <v>45672</v>
      </c>
      <c r="AC608" t="s">
        <v>9096</v>
      </c>
      <c r="AD608" t="str">
        <f>HYPERLINK("https%3A%2F%2Fwww.webofscience.com%2Fwos%2Fwoscc%2Ffull-record%2FWOS:000445715300009","View Full Record in Web of Science")</f>
        <v>View Full Record in Web of Science</v>
      </c>
    </row>
    <row r="609" spans="1:30" x14ac:dyDescent="0.35">
      <c r="A609">
        <v>608</v>
      </c>
      <c r="B609" t="s">
        <v>3638</v>
      </c>
      <c r="C609" t="s">
        <v>9097</v>
      </c>
      <c r="D609" t="s">
        <v>3638</v>
      </c>
      <c r="E609" t="s">
        <v>2928</v>
      </c>
      <c r="F609" t="s">
        <v>3810</v>
      </c>
      <c r="G609" t="s">
        <v>9098</v>
      </c>
      <c r="H609" t="s">
        <v>9099</v>
      </c>
      <c r="I609" t="s">
        <v>9100</v>
      </c>
      <c r="J609" t="s">
        <v>9101</v>
      </c>
      <c r="K609" t="s">
        <v>9102</v>
      </c>
      <c r="L609">
        <v>420</v>
      </c>
      <c r="M609" t="s">
        <v>3911</v>
      </c>
      <c r="N609" t="s">
        <v>3912</v>
      </c>
      <c r="O609" t="s">
        <v>3913</v>
      </c>
      <c r="P609" t="s">
        <v>5129</v>
      </c>
      <c r="Q609" t="s">
        <v>5130</v>
      </c>
      <c r="R609" t="s">
        <v>5131</v>
      </c>
      <c r="S609" t="s">
        <v>5132</v>
      </c>
      <c r="T609" t="s">
        <v>9103</v>
      </c>
      <c r="U609">
        <v>2014</v>
      </c>
      <c r="V609">
        <v>119</v>
      </c>
      <c r="W609">
        <v>22</v>
      </c>
      <c r="X609" t="s">
        <v>9104</v>
      </c>
      <c r="Y609" t="str">
        <f>HYPERLINK("http://dx.doi.org/10.1002/2014JD022098","http://dx.doi.org/10.1002/2014JD022098")</f>
        <v>http://dx.doi.org/10.1002/2014JD022098</v>
      </c>
      <c r="Z609" t="s">
        <v>3825</v>
      </c>
      <c r="AA609" t="s">
        <v>3826</v>
      </c>
      <c r="AB609" s="3">
        <v>45672</v>
      </c>
      <c r="AC609" t="s">
        <v>9105</v>
      </c>
      <c r="AD609" t="str">
        <f>HYPERLINK("https%3A%2F%2Fwww.webofscience.com%2Fwos%2Fwoscc%2Ffull-record%2FWOS:000346345600005","View Full Record in Web of Science")</f>
        <v>View Full Record in Web of Science</v>
      </c>
    </row>
    <row r="610" spans="1:30" x14ac:dyDescent="0.35">
      <c r="A610">
        <v>609</v>
      </c>
      <c r="B610" t="s">
        <v>3639</v>
      </c>
      <c r="C610" t="s">
        <v>9106</v>
      </c>
      <c r="D610" t="s">
        <v>3639</v>
      </c>
      <c r="E610" t="s">
        <v>2871</v>
      </c>
      <c r="F610" t="s">
        <v>3810</v>
      </c>
      <c r="G610" t="s">
        <v>9107</v>
      </c>
      <c r="H610" t="s">
        <v>9108</v>
      </c>
      <c r="I610" t="s">
        <v>9109</v>
      </c>
      <c r="J610" t="s">
        <v>9110</v>
      </c>
      <c r="K610" t="s">
        <v>9111</v>
      </c>
      <c r="L610">
        <v>27</v>
      </c>
      <c r="M610" t="s">
        <v>3866</v>
      </c>
      <c r="N610" t="s">
        <v>3817</v>
      </c>
      <c r="O610" t="s">
        <v>3867</v>
      </c>
      <c r="P610" t="s">
        <v>3928</v>
      </c>
      <c r="Q610" t="s">
        <v>3929</v>
      </c>
      <c r="R610" t="s">
        <v>3930</v>
      </c>
      <c r="S610" t="s">
        <v>3931</v>
      </c>
      <c r="T610" t="s">
        <v>3974</v>
      </c>
      <c r="U610">
        <v>2019</v>
      </c>
      <c r="V610">
        <v>97</v>
      </c>
      <c r="W610">
        <v>2</v>
      </c>
      <c r="X610" t="s">
        <v>9112</v>
      </c>
      <c r="Y610" t="str">
        <f>HYPERLINK("http://dx.doi.org/10.1007/s11069-019-03681-6","http://dx.doi.org/10.1007/s11069-019-03681-6")</f>
        <v>http://dx.doi.org/10.1007/s11069-019-03681-6</v>
      </c>
      <c r="Z610" t="s">
        <v>3934</v>
      </c>
      <c r="AA610" t="s">
        <v>3826</v>
      </c>
      <c r="AB610" s="3">
        <v>45672</v>
      </c>
      <c r="AC610" t="s">
        <v>9113</v>
      </c>
      <c r="AD610" t="str">
        <f>HYPERLINK("https%3A%2F%2Fwww.webofscience.com%2Fwos%2Fwoscc%2Ffull-record%2FWOS:000482068400020","View Full Record in Web of Science")</f>
        <v>View Full Record in Web of Science</v>
      </c>
    </row>
    <row r="611" spans="1:30" x14ac:dyDescent="0.35">
      <c r="A611">
        <v>610</v>
      </c>
      <c r="B611" t="s">
        <v>3640</v>
      </c>
      <c r="C611" t="s">
        <v>9114</v>
      </c>
      <c r="D611" t="s">
        <v>3640</v>
      </c>
      <c r="E611" t="s">
        <v>2871</v>
      </c>
      <c r="F611" t="s">
        <v>3810</v>
      </c>
      <c r="G611" t="s">
        <v>9115</v>
      </c>
      <c r="H611" t="s">
        <v>9116</v>
      </c>
      <c r="I611" t="s">
        <v>9117</v>
      </c>
      <c r="J611" t="s">
        <v>9118</v>
      </c>
      <c r="K611" t="s">
        <v>9119</v>
      </c>
      <c r="L611">
        <v>2</v>
      </c>
      <c r="M611" t="s">
        <v>3866</v>
      </c>
      <c r="N611" t="s">
        <v>3817</v>
      </c>
      <c r="O611" t="s">
        <v>3867</v>
      </c>
      <c r="P611" t="s">
        <v>3928</v>
      </c>
      <c r="Q611" t="s">
        <v>3929</v>
      </c>
      <c r="R611" t="s">
        <v>3930</v>
      </c>
      <c r="S611" t="s">
        <v>3931</v>
      </c>
      <c r="T611" t="s">
        <v>3918</v>
      </c>
      <c r="U611">
        <v>2023</v>
      </c>
      <c r="V611">
        <v>117</v>
      </c>
      <c r="W611">
        <v>3</v>
      </c>
      <c r="X611" t="s">
        <v>9120</v>
      </c>
      <c r="Y611" t="str">
        <f>HYPERLINK("http://dx.doi.org/10.1007/s11069-023-05969-0","http://dx.doi.org/10.1007/s11069-023-05969-0")</f>
        <v>http://dx.doi.org/10.1007/s11069-023-05969-0</v>
      </c>
      <c r="Z611" t="s">
        <v>3934</v>
      </c>
      <c r="AA611" t="s">
        <v>3826</v>
      </c>
      <c r="AB611" s="3">
        <v>45672</v>
      </c>
      <c r="AC611" t="s">
        <v>9121</v>
      </c>
      <c r="AD611" t="str">
        <f>HYPERLINK("https%3A%2F%2Fwww.webofscience.com%2Fwos%2Fwoscc%2Ffull-record%2FWOS:000986516100001","View Full Record in Web of Science")</f>
        <v>View Full Record in Web of Science</v>
      </c>
    </row>
    <row r="612" spans="1:30" x14ac:dyDescent="0.35">
      <c r="A612">
        <v>611</v>
      </c>
      <c r="B612" t="s">
        <v>3641</v>
      </c>
      <c r="C612" t="s">
        <v>9122</v>
      </c>
      <c r="D612" t="s">
        <v>3641</v>
      </c>
      <c r="E612" t="s">
        <v>2876</v>
      </c>
      <c r="F612" t="s">
        <v>3810</v>
      </c>
      <c r="G612" t="s">
        <v>9123</v>
      </c>
      <c r="H612" t="s">
        <v>9124</v>
      </c>
      <c r="I612" t="s">
        <v>9125</v>
      </c>
      <c r="J612" t="s">
        <v>9126</v>
      </c>
      <c r="K612" t="s">
        <v>9127</v>
      </c>
      <c r="L612">
        <v>9</v>
      </c>
      <c r="M612" t="s">
        <v>3951</v>
      </c>
      <c r="N612" t="s">
        <v>3952</v>
      </c>
      <c r="O612" t="s">
        <v>3953</v>
      </c>
      <c r="P612" t="s">
        <v>3981</v>
      </c>
      <c r="Q612" t="s">
        <v>3808</v>
      </c>
      <c r="R612" t="s">
        <v>3982</v>
      </c>
      <c r="S612" t="s">
        <v>3983</v>
      </c>
      <c r="T612" t="s">
        <v>3872</v>
      </c>
      <c r="U612">
        <v>2022</v>
      </c>
      <c r="V612">
        <v>37</v>
      </c>
      <c r="W612" t="s">
        <v>3808</v>
      </c>
      <c r="X612" t="s">
        <v>9128</v>
      </c>
      <c r="Y612" t="str">
        <f>HYPERLINK("http://dx.doi.org/10.1016/j.wace.2022.100484","http://dx.doi.org/10.1016/j.wace.2022.100484")</f>
        <v>http://dx.doi.org/10.1016/j.wace.2022.100484</v>
      </c>
      <c r="Z612" t="s">
        <v>3825</v>
      </c>
      <c r="AA612" t="s">
        <v>3826</v>
      </c>
      <c r="AB612" s="3">
        <v>45672</v>
      </c>
      <c r="AC612" t="s">
        <v>9129</v>
      </c>
      <c r="AD612" t="str">
        <f>HYPERLINK("https%3A%2F%2Fwww.webofscience.com%2Fwos%2Fwoscc%2Ffull-record%2FWOS:000831133700003","View Full Record in Web of Science")</f>
        <v>View Full Record in Web of Science</v>
      </c>
    </row>
    <row r="613" spans="1:30" x14ac:dyDescent="0.35">
      <c r="A613">
        <v>612</v>
      </c>
      <c r="B613" t="s">
        <v>3642</v>
      </c>
      <c r="C613" t="s">
        <v>9130</v>
      </c>
      <c r="D613" t="s">
        <v>3642</v>
      </c>
      <c r="E613" t="s">
        <v>2953</v>
      </c>
      <c r="F613" t="s">
        <v>3810</v>
      </c>
      <c r="G613" t="s">
        <v>9131</v>
      </c>
      <c r="H613" t="s">
        <v>9132</v>
      </c>
      <c r="I613" t="s">
        <v>9133</v>
      </c>
      <c r="J613" t="s">
        <v>9134</v>
      </c>
      <c r="K613" t="s">
        <v>9135</v>
      </c>
      <c r="L613">
        <v>25</v>
      </c>
      <c r="M613" t="s">
        <v>3850</v>
      </c>
      <c r="N613" t="s">
        <v>3851</v>
      </c>
      <c r="O613" t="s">
        <v>3852</v>
      </c>
      <c r="P613" t="s">
        <v>6201</v>
      </c>
      <c r="Q613" t="s">
        <v>6202</v>
      </c>
      <c r="R613" t="s">
        <v>6203</v>
      </c>
      <c r="S613" t="s">
        <v>6204</v>
      </c>
      <c r="T613" t="s">
        <v>4001</v>
      </c>
      <c r="U613">
        <v>2020</v>
      </c>
      <c r="V613">
        <v>35</v>
      </c>
      <c r="W613" t="s">
        <v>4259</v>
      </c>
      <c r="X613" t="s">
        <v>9136</v>
      </c>
      <c r="Y613" t="str">
        <f>HYPERLINK("http://dx.doi.org/10.1002/jqs.3181","http://dx.doi.org/10.1002/jqs.3181")</f>
        <v>http://dx.doi.org/10.1002/jqs.3181</v>
      </c>
      <c r="Z613" t="s">
        <v>4203</v>
      </c>
      <c r="AA613" t="s">
        <v>3826</v>
      </c>
      <c r="AB613" s="3">
        <v>45672</v>
      </c>
      <c r="AC613" t="s">
        <v>9137</v>
      </c>
      <c r="AD613" t="str">
        <f>HYPERLINK("https%3A%2F%2Fwww.webofscience.com%2Fwos%2Fwoscc%2Ffull-record%2FWOS:000504100300001","View Full Record in Web of Science")</f>
        <v>View Full Record in Web of Science</v>
      </c>
    </row>
    <row r="614" spans="1:30" x14ac:dyDescent="0.35">
      <c r="A614">
        <v>613</v>
      </c>
      <c r="B614" t="s">
        <v>3643</v>
      </c>
      <c r="C614" t="s">
        <v>9138</v>
      </c>
      <c r="D614" t="s">
        <v>3643</v>
      </c>
      <c r="E614" t="s">
        <v>2928</v>
      </c>
      <c r="F614" t="s">
        <v>3810</v>
      </c>
      <c r="G614" t="s">
        <v>9139</v>
      </c>
      <c r="H614" t="s">
        <v>9140</v>
      </c>
      <c r="I614" t="s">
        <v>9141</v>
      </c>
      <c r="J614" t="s">
        <v>9142</v>
      </c>
      <c r="K614" t="s">
        <v>9143</v>
      </c>
      <c r="L614">
        <v>3</v>
      </c>
      <c r="M614" t="s">
        <v>3911</v>
      </c>
      <c r="N614" t="s">
        <v>3912</v>
      </c>
      <c r="O614" t="s">
        <v>3913</v>
      </c>
      <c r="P614" t="s">
        <v>5129</v>
      </c>
      <c r="Q614" t="s">
        <v>5130</v>
      </c>
      <c r="R614" t="s">
        <v>5131</v>
      </c>
      <c r="S614" t="s">
        <v>5132</v>
      </c>
      <c r="T614" t="s">
        <v>9144</v>
      </c>
      <c r="U614">
        <v>2018</v>
      </c>
      <c r="V614">
        <v>123</v>
      </c>
      <c r="W614">
        <v>10</v>
      </c>
      <c r="X614" t="s">
        <v>9145</v>
      </c>
      <c r="Y614" t="str">
        <f>HYPERLINK("http://dx.doi.org/10.1029/2017JD027785","http://dx.doi.org/10.1029/2017JD027785")</f>
        <v>http://dx.doi.org/10.1029/2017JD027785</v>
      </c>
      <c r="Z614" t="s">
        <v>3825</v>
      </c>
      <c r="AA614" t="s">
        <v>3826</v>
      </c>
      <c r="AB614" s="3">
        <v>45672</v>
      </c>
      <c r="AC614" t="s">
        <v>9146</v>
      </c>
      <c r="AD614" t="str">
        <f>HYPERLINK("https%3A%2F%2Fwww.webofscience.com%2Fwos%2Fwoscc%2Ffull-record%2FWOS:000435445600013","View Full Record in Web of Science")</f>
        <v>View Full Record in Web of Science</v>
      </c>
    </row>
    <row r="615" spans="1:30" x14ac:dyDescent="0.35">
      <c r="A615">
        <v>614</v>
      </c>
      <c r="B615" t="s">
        <v>3644</v>
      </c>
      <c r="C615" t="s">
        <v>6668</v>
      </c>
      <c r="D615" t="s">
        <v>3644</v>
      </c>
      <c r="E615" t="s">
        <v>2886</v>
      </c>
      <c r="F615" t="s">
        <v>3810</v>
      </c>
      <c r="G615" t="s">
        <v>9147</v>
      </c>
      <c r="H615" t="s">
        <v>8727</v>
      </c>
      <c r="I615" t="s">
        <v>4633</v>
      </c>
      <c r="J615" t="s">
        <v>9148</v>
      </c>
      <c r="K615" t="s">
        <v>9149</v>
      </c>
      <c r="L615">
        <v>6</v>
      </c>
      <c r="M615" t="s">
        <v>4061</v>
      </c>
      <c r="N615" t="s">
        <v>4062</v>
      </c>
      <c r="O615" t="s">
        <v>4063</v>
      </c>
      <c r="P615" t="s">
        <v>4125</v>
      </c>
      <c r="Q615" t="s">
        <v>4126</v>
      </c>
      <c r="R615" t="s">
        <v>4127</v>
      </c>
      <c r="S615" t="s">
        <v>4128</v>
      </c>
      <c r="T615" t="s">
        <v>3974</v>
      </c>
      <c r="U615">
        <v>2015</v>
      </c>
      <c r="V615">
        <v>8</v>
      </c>
      <c r="W615">
        <v>6</v>
      </c>
      <c r="X615" t="s">
        <v>9150</v>
      </c>
      <c r="Y615" t="str">
        <f>HYPERLINK("http://dx.doi.org/10.1007/s12517-014-1438-3","http://dx.doi.org/10.1007/s12517-014-1438-3")</f>
        <v>http://dx.doi.org/10.1007/s12517-014-1438-3</v>
      </c>
      <c r="Z615" t="s">
        <v>4116</v>
      </c>
      <c r="AA615" t="s">
        <v>3826</v>
      </c>
      <c r="AB615" s="3">
        <v>45672</v>
      </c>
      <c r="AC615" t="s">
        <v>9151</v>
      </c>
      <c r="AD615" t="str">
        <f>HYPERLINK("https%3A%2F%2Fwww.webofscience.com%2Fwos%2Fwoscc%2Ffull-record%2FWOS:000355336800067","View Full Record in Web of Science")</f>
        <v>View Full Record in Web of Science</v>
      </c>
    </row>
    <row r="616" spans="1:30" x14ac:dyDescent="0.35">
      <c r="A616">
        <v>615</v>
      </c>
      <c r="B616" t="s">
        <v>3645</v>
      </c>
      <c r="C616" t="s">
        <v>9152</v>
      </c>
      <c r="D616" t="s">
        <v>3645</v>
      </c>
      <c r="E616" t="s">
        <v>2926</v>
      </c>
      <c r="F616" t="s">
        <v>3810</v>
      </c>
      <c r="G616" t="s">
        <v>9153</v>
      </c>
      <c r="H616" t="s">
        <v>9154</v>
      </c>
      <c r="I616" t="s">
        <v>9155</v>
      </c>
      <c r="J616" t="s">
        <v>9156</v>
      </c>
      <c r="K616" t="s">
        <v>9157</v>
      </c>
      <c r="L616">
        <v>1</v>
      </c>
      <c r="M616" t="s">
        <v>3951</v>
      </c>
      <c r="N616" t="s">
        <v>3952</v>
      </c>
      <c r="O616" t="s">
        <v>3953</v>
      </c>
      <c r="P616" t="s">
        <v>5029</v>
      </c>
      <c r="Q616" t="s">
        <v>3808</v>
      </c>
      <c r="R616" t="s">
        <v>5030</v>
      </c>
      <c r="S616" t="s">
        <v>5031</v>
      </c>
      <c r="T616" t="s">
        <v>8844</v>
      </c>
      <c r="U616">
        <v>2022</v>
      </c>
      <c r="V616">
        <v>81</v>
      </c>
      <c r="W616" t="s">
        <v>3808</v>
      </c>
      <c r="X616" t="s">
        <v>9158</v>
      </c>
      <c r="Y616" t="str">
        <f>HYPERLINK("http://dx.doi.org/10.1016/j.ijdrr.2022.103271","http://dx.doi.org/10.1016/j.ijdrr.2022.103271")</f>
        <v>http://dx.doi.org/10.1016/j.ijdrr.2022.103271</v>
      </c>
      <c r="Z616" t="s">
        <v>3934</v>
      </c>
      <c r="AA616" t="s">
        <v>3826</v>
      </c>
      <c r="AB616" s="3">
        <v>45672</v>
      </c>
      <c r="AC616" t="s">
        <v>9159</v>
      </c>
      <c r="AD616" t="str">
        <f>HYPERLINK("https%3A%2F%2Fwww.webofscience.com%2Fwos%2Fwoscc%2Ffull-record%2FWOS:000877592900018","View Full Record in Web of Science")</f>
        <v>View Full Record in Web of Science</v>
      </c>
    </row>
    <row r="617" spans="1:30" x14ac:dyDescent="0.35">
      <c r="A617">
        <v>616</v>
      </c>
      <c r="B617" t="s">
        <v>3646</v>
      </c>
      <c r="C617" t="s">
        <v>9160</v>
      </c>
      <c r="D617" t="s">
        <v>3646</v>
      </c>
      <c r="E617" t="s">
        <v>2866</v>
      </c>
      <c r="F617" t="s">
        <v>3810</v>
      </c>
      <c r="G617" t="s">
        <v>9161</v>
      </c>
      <c r="H617" t="s">
        <v>9162</v>
      </c>
      <c r="I617" t="s">
        <v>9163</v>
      </c>
      <c r="J617" t="s">
        <v>9164</v>
      </c>
      <c r="K617" t="s">
        <v>9165</v>
      </c>
      <c r="L617">
        <v>6</v>
      </c>
      <c r="M617" t="s">
        <v>3850</v>
      </c>
      <c r="N617" t="s">
        <v>3851</v>
      </c>
      <c r="O617" t="s">
        <v>3852</v>
      </c>
      <c r="P617" t="s">
        <v>3853</v>
      </c>
      <c r="Q617" t="s">
        <v>3854</v>
      </c>
      <c r="R617" t="s">
        <v>3855</v>
      </c>
      <c r="S617" t="s">
        <v>3856</v>
      </c>
      <c r="T617" t="s">
        <v>5045</v>
      </c>
      <c r="U617">
        <v>2022</v>
      </c>
      <c r="V617">
        <v>42</v>
      </c>
      <c r="W617">
        <v>5</v>
      </c>
      <c r="X617" t="s">
        <v>9166</v>
      </c>
      <c r="Y617" t="str">
        <f>HYPERLINK("http://dx.doi.org/10.1002/joc.7404","http://dx.doi.org/10.1002/joc.7404")</f>
        <v>http://dx.doi.org/10.1002/joc.7404</v>
      </c>
      <c r="Z617" t="s">
        <v>3825</v>
      </c>
      <c r="AA617" t="s">
        <v>3826</v>
      </c>
      <c r="AB617" s="3">
        <v>45672</v>
      </c>
      <c r="AC617" t="s">
        <v>9167</v>
      </c>
      <c r="AD617" t="str">
        <f>HYPERLINK("https%3A%2F%2Fwww.webofscience.com%2Fwos%2Fwoscc%2Ffull-record%2FWOS:000712587400001","View Full Record in Web of Science")</f>
        <v>View Full Record in Web of Science</v>
      </c>
    </row>
    <row r="618" spans="1:30" x14ac:dyDescent="0.35">
      <c r="A618">
        <v>617</v>
      </c>
      <c r="B618" t="s">
        <v>3647</v>
      </c>
      <c r="C618" t="s">
        <v>9168</v>
      </c>
      <c r="D618" t="s">
        <v>3647</v>
      </c>
      <c r="E618" t="s">
        <v>3014</v>
      </c>
      <c r="F618" t="s">
        <v>3810</v>
      </c>
      <c r="G618" t="s">
        <v>9169</v>
      </c>
      <c r="H618" t="s">
        <v>9170</v>
      </c>
      <c r="I618" t="s">
        <v>9171</v>
      </c>
      <c r="J618" t="s">
        <v>9172</v>
      </c>
      <c r="K618" t="s">
        <v>9173</v>
      </c>
      <c r="L618">
        <v>2</v>
      </c>
      <c r="M618" t="s">
        <v>9174</v>
      </c>
      <c r="N618" t="s">
        <v>9005</v>
      </c>
      <c r="O618" t="s">
        <v>9175</v>
      </c>
      <c r="P618" t="s">
        <v>9176</v>
      </c>
      <c r="Q618" t="s">
        <v>9177</v>
      </c>
      <c r="R618" t="s">
        <v>9178</v>
      </c>
      <c r="S618" t="s">
        <v>9179</v>
      </c>
      <c r="T618" t="s">
        <v>4001</v>
      </c>
      <c r="U618">
        <v>2021</v>
      </c>
      <c r="V618">
        <v>91</v>
      </c>
      <c r="W618">
        <v>1</v>
      </c>
      <c r="X618" t="s">
        <v>9180</v>
      </c>
      <c r="Y618" t="str">
        <f>HYPERLINK("http://dx.doi.org/10.2110/jsr.2020.76","http://dx.doi.org/10.2110/jsr.2020.76")</f>
        <v>http://dx.doi.org/10.2110/jsr.2020.76</v>
      </c>
      <c r="Z618" t="s">
        <v>3973</v>
      </c>
      <c r="AA618" t="s">
        <v>3826</v>
      </c>
      <c r="AB618" s="3">
        <v>45672</v>
      </c>
      <c r="AC618" t="s">
        <v>9181</v>
      </c>
      <c r="AD618" t="str">
        <f>HYPERLINK("https%3A%2F%2Fwww.webofscience.com%2Fwos%2Fwoscc%2Ffull-record%2FWOS:000634541100003","View Full Record in Web of Science")</f>
        <v>View Full Record in Web of Science</v>
      </c>
    </row>
    <row r="619" spans="1:30" x14ac:dyDescent="0.35">
      <c r="A619">
        <v>618</v>
      </c>
      <c r="B619" t="s">
        <v>3648</v>
      </c>
      <c r="C619" t="s">
        <v>9182</v>
      </c>
      <c r="D619" t="s">
        <v>3648</v>
      </c>
      <c r="E619" t="s">
        <v>2867</v>
      </c>
      <c r="F619" t="s">
        <v>3810</v>
      </c>
      <c r="G619" t="s">
        <v>9183</v>
      </c>
      <c r="H619" t="s">
        <v>9184</v>
      </c>
      <c r="I619" t="s">
        <v>9185</v>
      </c>
      <c r="J619" t="s">
        <v>9186</v>
      </c>
      <c r="K619" t="s">
        <v>9187</v>
      </c>
      <c r="L619">
        <v>24</v>
      </c>
      <c r="M619" t="s">
        <v>3866</v>
      </c>
      <c r="N619" t="s">
        <v>3817</v>
      </c>
      <c r="O619" t="s">
        <v>3867</v>
      </c>
      <c r="P619" t="s">
        <v>3868</v>
      </c>
      <c r="Q619" t="s">
        <v>3869</v>
      </c>
      <c r="R619" t="s">
        <v>3870</v>
      </c>
      <c r="S619" t="s">
        <v>3871</v>
      </c>
      <c r="T619" t="s">
        <v>4001</v>
      </c>
      <c r="U619">
        <v>2019</v>
      </c>
      <c r="V619">
        <v>52</v>
      </c>
      <c r="W619" t="s">
        <v>4259</v>
      </c>
      <c r="X619" t="s">
        <v>9188</v>
      </c>
      <c r="Y619" t="str">
        <f>HYPERLINK("http://dx.doi.org/10.1007/s00382-018-4164-9","http://dx.doi.org/10.1007/s00382-018-4164-9")</f>
        <v>http://dx.doi.org/10.1007/s00382-018-4164-9</v>
      </c>
      <c r="Z619" t="s">
        <v>3825</v>
      </c>
      <c r="AA619" t="s">
        <v>3826</v>
      </c>
      <c r="AB619" s="3">
        <v>45672</v>
      </c>
      <c r="AC619" t="s">
        <v>9189</v>
      </c>
      <c r="AD619" t="str">
        <f>HYPERLINK("https%3A%2F%2Fwww.webofscience.com%2Fwos%2Fwoscc%2Ffull-record%2FWOS:000460619200043","View Full Record in Web of Science")</f>
        <v>View Full Record in Web of Science</v>
      </c>
    </row>
    <row r="620" spans="1:30" x14ac:dyDescent="0.35">
      <c r="A620">
        <v>619</v>
      </c>
      <c r="B620" t="s">
        <v>3649</v>
      </c>
      <c r="C620" t="s">
        <v>8019</v>
      </c>
      <c r="D620" t="s">
        <v>3649</v>
      </c>
      <c r="E620" t="s">
        <v>2872</v>
      </c>
      <c r="F620" t="s">
        <v>3810</v>
      </c>
      <c r="G620" t="s">
        <v>9190</v>
      </c>
      <c r="H620" t="s">
        <v>9191</v>
      </c>
      <c r="I620" t="s">
        <v>8022</v>
      </c>
      <c r="J620" t="s">
        <v>9192</v>
      </c>
      <c r="K620" t="s">
        <v>9193</v>
      </c>
      <c r="L620">
        <v>23</v>
      </c>
      <c r="M620" t="s">
        <v>4211</v>
      </c>
      <c r="N620" t="s">
        <v>3952</v>
      </c>
      <c r="O620" t="s">
        <v>4212</v>
      </c>
      <c r="P620" t="s">
        <v>3954</v>
      </c>
      <c r="Q620" t="s">
        <v>3955</v>
      </c>
      <c r="R620" t="s">
        <v>3956</v>
      </c>
      <c r="S620" t="s">
        <v>3957</v>
      </c>
      <c r="T620" t="s">
        <v>9194</v>
      </c>
      <c r="U620">
        <v>2014</v>
      </c>
      <c r="V620">
        <v>509</v>
      </c>
      <c r="W620" t="s">
        <v>3808</v>
      </c>
      <c r="X620" t="s">
        <v>9195</v>
      </c>
      <c r="Y620" t="str">
        <f>HYPERLINK("http://dx.doi.org/10.1016/j.jhydrol.2013.11.027","http://dx.doi.org/10.1016/j.jhydrol.2013.11.027")</f>
        <v>http://dx.doi.org/10.1016/j.jhydrol.2013.11.027</v>
      </c>
      <c r="Z620" t="s">
        <v>3960</v>
      </c>
      <c r="AA620" t="s">
        <v>3826</v>
      </c>
      <c r="AB620" s="3">
        <v>45672</v>
      </c>
      <c r="AC620" t="s">
        <v>9196</v>
      </c>
      <c r="AD620" t="str">
        <f>HYPERLINK("https%3A%2F%2Fwww.webofscience.com%2Fwos%2Fwoscc%2Ffull-record%2FWOS:000331662800005","View Full Record in Web of Science")</f>
        <v>View Full Record in Web of Science</v>
      </c>
    </row>
    <row r="621" spans="1:30" x14ac:dyDescent="0.35">
      <c r="A621">
        <v>620</v>
      </c>
      <c r="B621" t="s">
        <v>3650</v>
      </c>
      <c r="C621" t="s">
        <v>9197</v>
      </c>
      <c r="D621" t="s">
        <v>3650</v>
      </c>
      <c r="E621" t="s">
        <v>2964</v>
      </c>
      <c r="F621" t="s">
        <v>3810</v>
      </c>
      <c r="G621" t="s">
        <v>9198</v>
      </c>
      <c r="H621" t="s">
        <v>9199</v>
      </c>
      <c r="I621" t="s">
        <v>3808</v>
      </c>
      <c r="J621" t="s">
        <v>9200</v>
      </c>
      <c r="K621" t="s">
        <v>9201</v>
      </c>
      <c r="L621">
        <v>1</v>
      </c>
      <c r="M621" t="s">
        <v>8989</v>
      </c>
      <c r="N621" t="s">
        <v>6681</v>
      </c>
      <c r="O621" t="s">
        <v>6682</v>
      </c>
      <c r="P621" t="s">
        <v>6683</v>
      </c>
      <c r="Q621" t="s">
        <v>6684</v>
      </c>
      <c r="R621" t="s">
        <v>6685</v>
      </c>
      <c r="S621" t="s">
        <v>6686</v>
      </c>
      <c r="T621" t="s">
        <v>4137</v>
      </c>
      <c r="U621">
        <v>2021</v>
      </c>
      <c r="V621">
        <v>69</v>
      </c>
      <c r="W621">
        <v>4</v>
      </c>
      <c r="X621" t="s">
        <v>9202</v>
      </c>
      <c r="Y621" t="str">
        <f>HYPERLINK("http://dx.doi.org/10.1007/s11600-021-00610-9","http://dx.doi.org/10.1007/s11600-021-00610-9")</f>
        <v>http://dx.doi.org/10.1007/s11600-021-00610-9</v>
      </c>
      <c r="Z621" t="s">
        <v>3920</v>
      </c>
      <c r="AA621" t="s">
        <v>3826</v>
      </c>
      <c r="AB621" s="3">
        <v>45672</v>
      </c>
      <c r="AC621" t="s">
        <v>9203</v>
      </c>
      <c r="AD621" t="str">
        <f>HYPERLINK("https%3A%2F%2Fwww.webofscience.com%2Fwos%2Fwoscc%2Ffull-record%2FWOS:000657572900001","View Full Record in Web of Science")</f>
        <v>View Full Record in Web of Science</v>
      </c>
    </row>
    <row r="622" spans="1:30" x14ac:dyDescent="0.35">
      <c r="A622">
        <v>621</v>
      </c>
      <c r="B622" t="s">
        <v>3651</v>
      </c>
      <c r="C622" t="s">
        <v>9204</v>
      </c>
      <c r="D622" t="s">
        <v>3651</v>
      </c>
      <c r="E622" t="s">
        <v>2882</v>
      </c>
      <c r="F622" t="s">
        <v>3810</v>
      </c>
      <c r="G622" t="s">
        <v>9205</v>
      </c>
      <c r="H622" t="s">
        <v>9206</v>
      </c>
      <c r="I622" t="s">
        <v>9207</v>
      </c>
      <c r="K622" t="s">
        <v>3808</v>
      </c>
      <c r="L622">
        <v>1</v>
      </c>
      <c r="M622" t="s">
        <v>3850</v>
      </c>
      <c r="N622" t="s">
        <v>3851</v>
      </c>
      <c r="O622" t="s">
        <v>3852</v>
      </c>
      <c r="P622" t="s">
        <v>4088</v>
      </c>
      <c r="Q622" t="s">
        <v>4089</v>
      </c>
      <c r="R622" t="s">
        <v>4090</v>
      </c>
      <c r="S622" t="s">
        <v>4091</v>
      </c>
      <c r="T622" t="s">
        <v>5045</v>
      </c>
      <c r="U622">
        <v>2022</v>
      </c>
      <c r="V622">
        <v>148</v>
      </c>
      <c r="W622">
        <v>745</v>
      </c>
      <c r="X622" t="s">
        <v>9208</v>
      </c>
      <c r="Y622" t="str">
        <f>HYPERLINK("http://dx.doi.org/10.1002/qj.4269","http://dx.doi.org/10.1002/qj.4269")</f>
        <v>http://dx.doi.org/10.1002/qj.4269</v>
      </c>
      <c r="Z622" t="s">
        <v>3825</v>
      </c>
      <c r="AA622" t="s">
        <v>3826</v>
      </c>
      <c r="AB622" s="3">
        <v>45672</v>
      </c>
      <c r="AC622" t="s">
        <v>9209</v>
      </c>
      <c r="AD622" t="str">
        <f>HYPERLINK("https%3A%2F%2Fwww.webofscience.com%2Fwos%2Fwoscc%2Ffull-record%2FWOS:000781414000001","View Full Record in Web of Science")</f>
        <v>View Full Record in Web of Science</v>
      </c>
    </row>
    <row r="623" spans="1:30" x14ac:dyDescent="0.35">
      <c r="A623">
        <v>622</v>
      </c>
      <c r="B623" t="s">
        <v>3652</v>
      </c>
      <c r="C623" t="s">
        <v>9210</v>
      </c>
      <c r="D623" t="s">
        <v>3652</v>
      </c>
      <c r="E623" t="s">
        <v>2867</v>
      </c>
      <c r="F623" t="s">
        <v>3810</v>
      </c>
      <c r="G623" t="s">
        <v>9211</v>
      </c>
      <c r="H623" t="s">
        <v>9212</v>
      </c>
      <c r="I623" t="s">
        <v>9213</v>
      </c>
      <c r="J623" t="s">
        <v>9214</v>
      </c>
      <c r="K623" t="s">
        <v>9215</v>
      </c>
      <c r="L623">
        <v>27</v>
      </c>
      <c r="M623" t="s">
        <v>3866</v>
      </c>
      <c r="N623" t="s">
        <v>3817</v>
      </c>
      <c r="O623" t="s">
        <v>4290</v>
      </c>
      <c r="P623" t="s">
        <v>3868</v>
      </c>
      <c r="Q623" t="s">
        <v>3869</v>
      </c>
      <c r="R623" t="s">
        <v>3870</v>
      </c>
      <c r="S623" t="s">
        <v>3871</v>
      </c>
      <c r="T623" t="s">
        <v>5045</v>
      </c>
      <c r="U623">
        <v>2016</v>
      </c>
      <c r="V623">
        <v>46</v>
      </c>
      <c r="W623" t="s">
        <v>6145</v>
      </c>
      <c r="X623" t="s">
        <v>9216</v>
      </c>
      <c r="Y623" t="str">
        <f>HYPERLINK("http://dx.doi.org/10.1007/s00382-015-2711-1","http://dx.doi.org/10.1007/s00382-015-2711-1")</f>
        <v>http://dx.doi.org/10.1007/s00382-015-2711-1</v>
      </c>
      <c r="Z623" t="s">
        <v>3825</v>
      </c>
      <c r="AA623" t="s">
        <v>3826</v>
      </c>
      <c r="AB623" s="3">
        <v>45672</v>
      </c>
      <c r="AC623" t="s">
        <v>9217</v>
      </c>
      <c r="AD623" t="str">
        <f>HYPERLINK("https%3A%2F%2Fwww.webofscience.com%2Fwos%2Fwoscc%2Ffull-record%2FWOS:000373442900025","View Full Record in Web of Science")</f>
        <v>View Full Record in Web of Science</v>
      </c>
    </row>
    <row r="624" spans="1:30" x14ac:dyDescent="0.35">
      <c r="A624">
        <v>623</v>
      </c>
      <c r="B624" t="s">
        <v>3653</v>
      </c>
      <c r="C624" t="s">
        <v>9218</v>
      </c>
      <c r="D624" t="s">
        <v>3653</v>
      </c>
      <c r="E624" t="s">
        <v>2866</v>
      </c>
      <c r="F624" t="s">
        <v>3810</v>
      </c>
      <c r="G624" t="s">
        <v>9219</v>
      </c>
      <c r="H624" t="s">
        <v>9220</v>
      </c>
      <c r="I624" t="s">
        <v>9221</v>
      </c>
      <c r="J624" t="s">
        <v>9222</v>
      </c>
      <c r="K624" t="s">
        <v>9223</v>
      </c>
      <c r="L624">
        <v>29</v>
      </c>
      <c r="M624" t="s">
        <v>3850</v>
      </c>
      <c r="N624" t="s">
        <v>3851</v>
      </c>
      <c r="O624" t="s">
        <v>3852</v>
      </c>
      <c r="P624" t="s">
        <v>3853</v>
      </c>
      <c r="Q624" t="s">
        <v>3854</v>
      </c>
      <c r="R624" t="s">
        <v>3855</v>
      </c>
      <c r="S624" t="s">
        <v>3856</v>
      </c>
      <c r="T624" t="s">
        <v>4001</v>
      </c>
      <c r="U624">
        <v>2021</v>
      </c>
      <c r="V624">
        <v>41</v>
      </c>
      <c r="W624" t="s">
        <v>3808</v>
      </c>
      <c r="X624" t="s">
        <v>9224</v>
      </c>
      <c r="Y624" t="str">
        <f>HYPERLINK("http://dx.doi.org/10.1002/joc.6796","http://dx.doi.org/10.1002/joc.6796")</f>
        <v>http://dx.doi.org/10.1002/joc.6796</v>
      </c>
      <c r="Z624" t="s">
        <v>3825</v>
      </c>
      <c r="AA624" t="s">
        <v>3826</v>
      </c>
      <c r="AB624" s="3">
        <v>45672</v>
      </c>
      <c r="AC624" t="s">
        <v>9225</v>
      </c>
      <c r="AD624" t="str">
        <f>HYPERLINK("https%3A%2F%2Fwww.webofscience.com%2Fwos%2Fwoscc%2Ffull-record%2FWOS:000565577700001","View Full Record in Web of Science")</f>
        <v>View Full Record in Web of Science</v>
      </c>
    </row>
    <row r="625" spans="1:30" x14ac:dyDescent="0.35">
      <c r="A625">
        <v>624</v>
      </c>
      <c r="B625" t="s">
        <v>3654</v>
      </c>
      <c r="C625" t="s">
        <v>9226</v>
      </c>
      <c r="D625" t="s">
        <v>3654</v>
      </c>
      <c r="E625" t="s">
        <v>2877</v>
      </c>
      <c r="F625" t="s">
        <v>3810</v>
      </c>
      <c r="G625" t="s">
        <v>9227</v>
      </c>
      <c r="H625" t="s">
        <v>9228</v>
      </c>
      <c r="I625" t="s">
        <v>9229</v>
      </c>
      <c r="J625" t="s">
        <v>9230</v>
      </c>
      <c r="K625" t="s">
        <v>9231</v>
      </c>
      <c r="L625">
        <v>21</v>
      </c>
      <c r="M625" t="s">
        <v>4033</v>
      </c>
      <c r="N625" t="s">
        <v>4034</v>
      </c>
      <c r="O625" t="s">
        <v>4035</v>
      </c>
      <c r="P625" t="s">
        <v>4036</v>
      </c>
      <c r="Q625" t="s">
        <v>4037</v>
      </c>
      <c r="R625" t="s">
        <v>4038</v>
      </c>
      <c r="S625" t="s">
        <v>4039</v>
      </c>
      <c r="T625" t="s">
        <v>4016</v>
      </c>
      <c r="U625">
        <v>2019</v>
      </c>
      <c r="V625">
        <v>32</v>
      </c>
      <c r="W625">
        <v>19</v>
      </c>
      <c r="X625" t="s">
        <v>9232</v>
      </c>
      <c r="Y625" t="str">
        <f>HYPERLINK("http://dx.doi.org/10.1175/JCLI-D-19-0180.1","http://dx.doi.org/10.1175/JCLI-D-19-0180.1")</f>
        <v>http://dx.doi.org/10.1175/JCLI-D-19-0180.1</v>
      </c>
      <c r="Z625" t="s">
        <v>3825</v>
      </c>
      <c r="AA625" t="s">
        <v>3826</v>
      </c>
      <c r="AB625" s="3">
        <v>45672</v>
      </c>
      <c r="AC625" t="s">
        <v>9233</v>
      </c>
      <c r="AD625" t="str">
        <f>HYPERLINK("https%3A%2F%2Fwww.webofscience.com%2Fwos%2Fwoscc%2Ffull-record%2FWOS:000482950800007","View Full Record in Web of Science")</f>
        <v>View Full Record in Web of Science</v>
      </c>
    </row>
    <row r="626" spans="1:30" x14ac:dyDescent="0.35">
      <c r="A626">
        <v>625</v>
      </c>
      <c r="B626" t="s">
        <v>3655</v>
      </c>
      <c r="C626" t="s">
        <v>9234</v>
      </c>
      <c r="D626" t="s">
        <v>3655</v>
      </c>
      <c r="E626" t="s">
        <v>2990</v>
      </c>
      <c r="F626" t="s">
        <v>3810</v>
      </c>
      <c r="G626" t="s">
        <v>9235</v>
      </c>
      <c r="H626" t="s">
        <v>9236</v>
      </c>
      <c r="I626" t="s">
        <v>9237</v>
      </c>
      <c r="J626" t="s">
        <v>9238</v>
      </c>
      <c r="K626" t="s">
        <v>9239</v>
      </c>
      <c r="L626">
        <v>33</v>
      </c>
      <c r="M626" t="s">
        <v>4211</v>
      </c>
      <c r="N626" t="s">
        <v>3952</v>
      </c>
      <c r="O626" t="s">
        <v>4212</v>
      </c>
      <c r="P626" t="s">
        <v>7547</v>
      </c>
      <c r="Q626" t="s">
        <v>7548</v>
      </c>
      <c r="R626" t="s">
        <v>7549</v>
      </c>
      <c r="S626" t="s">
        <v>7550</v>
      </c>
      <c r="T626" t="s">
        <v>4659</v>
      </c>
      <c r="U626">
        <v>2019</v>
      </c>
      <c r="V626">
        <v>505</v>
      </c>
      <c r="W626" t="s">
        <v>3808</v>
      </c>
      <c r="X626" t="s">
        <v>9240</v>
      </c>
      <c r="Y626" t="str">
        <f>HYPERLINK("http://dx.doi.org/10.1016/j.epsl.2018.10.007","http://dx.doi.org/10.1016/j.epsl.2018.10.007")</f>
        <v>http://dx.doi.org/10.1016/j.epsl.2018.10.007</v>
      </c>
      <c r="Z626" t="s">
        <v>3920</v>
      </c>
      <c r="AA626" t="s">
        <v>3826</v>
      </c>
      <c r="AB626" s="3">
        <v>45672</v>
      </c>
      <c r="AC626" t="s">
        <v>9241</v>
      </c>
      <c r="AD626" t="str">
        <f>HYPERLINK("https%3A%2F%2Fwww.webofscience.com%2Fwos%2Fwoscc%2Ffull-record%2FWOS:000451355700001","View Full Record in Web of Science")</f>
        <v>View Full Record in Web of Science</v>
      </c>
    </row>
    <row r="627" spans="1:30" x14ac:dyDescent="0.35">
      <c r="A627">
        <v>626</v>
      </c>
      <c r="B627" t="s">
        <v>3656</v>
      </c>
      <c r="C627" t="s">
        <v>9242</v>
      </c>
      <c r="D627" t="s">
        <v>3656</v>
      </c>
      <c r="E627" t="s">
        <v>2872</v>
      </c>
      <c r="F627" t="s">
        <v>3810</v>
      </c>
      <c r="G627" t="s">
        <v>9243</v>
      </c>
      <c r="H627" t="s">
        <v>9244</v>
      </c>
      <c r="I627" t="s">
        <v>9245</v>
      </c>
      <c r="J627" t="s">
        <v>9246</v>
      </c>
      <c r="K627" t="s">
        <v>9247</v>
      </c>
      <c r="L627">
        <v>2</v>
      </c>
      <c r="M627" t="s">
        <v>3951</v>
      </c>
      <c r="N627" t="s">
        <v>3952</v>
      </c>
      <c r="O627" t="s">
        <v>3953</v>
      </c>
      <c r="P627" t="s">
        <v>3954</v>
      </c>
      <c r="Q627" t="s">
        <v>3955</v>
      </c>
      <c r="R627" t="s">
        <v>3956</v>
      </c>
      <c r="S627" t="s">
        <v>3957</v>
      </c>
      <c r="T627" t="s">
        <v>3872</v>
      </c>
      <c r="U627">
        <v>2022</v>
      </c>
      <c r="V627">
        <v>612</v>
      </c>
      <c r="W627" t="s">
        <v>3808</v>
      </c>
      <c r="X627" t="s">
        <v>9248</v>
      </c>
      <c r="Y627" t="str">
        <f>HYPERLINK("http://dx.doi.org/10.1016/j.jhydrol.2022.128204","http://dx.doi.org/10.1016/j.jhydrol.2022.128204")</f>
        <v>http://dx.doi.org/10.1016/j.jhydrol.2022.128204</v>
      </c>
      <c r="Z627" t="s">
        <v>3960</v>
      </c>
      <c r="AA627" t="s">
        <v>3826</v>
      </c>
      <c r="AB627" s="3">
        <v>45672</v>
      </c>
      <c r="AC627" t="s">
        <v>9249</v>
      </c>
      <c r="AD627" t="str">
        <f>HYPERLINK("https%3A%2F%2Fwww.webofscience.com%2Fwos%2Fwoscc%2Ffull-record%2FWOS:000844339700004","View Full Record in Web of Science")</f>
        <v>View Full Record in Web of Science</v>
      </c>
    </row>
    <row r="628" spans="1:30" x14ac:dyDescent="0.35">
      <c r="A628">
        <v>627</v>
      </c>
      <c r="B628" t="s">
        <v>3657</v>
      </c>
      <c r="C628" t="s">
        <v>9250</v>
      </c>
      <c r="D628" t="s">
        <v>3657</v>
      </c>
      <c r="E628" t="s">
        <v>2867</v>
      </c>
      <c r="F628" t="s">
        <v>3810</v>
      </c>
      <c r="G628" t="s">
        <v>9251</v>
      </c>
      <c r="H628" t="s">
        <v>9252</v>
      </c>
      <c r="I628" t="s">
        <v>9253</v>
      </c>
      <c r="J628" t="s">
        <v>9254</v>
      </c>
      <c r="K628" t="s">
        <v>9255</v>
      </c>
      <c r="L628">
        <v>17</v>
      </c>
      <c r="M628" t="s">
        <v>3866</v>
      </c>
      <c r="N628" t="s">
        <v>3817</v>
      </c>
      <c r="O628" t="s">
        <v>3867</v>
      </c>
      <c r="P628" t="s">
        <v>3868</v>
      </c>
      <c r="Q628" t="s">
        <v>3869</v>
      </c>
      <c r="R628" t="s">
        <v>3870</v>
      </c>
      <c r="S628" t="s">
        <v>3871</v>
      </c>
      <c r="T628" t="s">
        <v>4001</v>
      </c>
      <c r="U628">
        <v>2022</v>
      </c>
      <c r="V628">
        <v>58</v>
      </c>
      <c r="W628" t="s">
        <v>4259</v>
      </c>
      <c r="X628" t="s">
        <v>9256</v>
      </c>
      <c r="Y628" t="str">
        <f>HYPERLINK("http://dx.doi.org/10.1007/s00382-021-05907-5","http://dx.doi.org/10.1007/s00382-021-05907-5")</f>
        <v>http://dx.doi.org/10.1007/s00382-021-05907-5</v>
      </c>
      <c r="Z628" t="s">
        <v>3825</v>
      </c>
      <c r="AA628" t="s">
        <v>3826</v>
      </c>
      <c r="AB628" s="3">
        <v>45672</v>
      </c>
      <c r="AC628" t="s">
        <v>9257</v>
      </c>
      <c r="AD628" t="str">
        <f>HYPERLINK("https%3A%2F%2Fwww.webofscience.com%2Fwos%2Fwoscc%2Ffull-record%2FWOS:000681512900001","View Full Record in Web of Science")</f>
        <v>View Full Record in Web of Science</v>
      </c>
    </row>
    <row r="629" spans="1:30" x14ac:dyDescent="0.35">
      <c r="A629">
        <v>628</v>
      </c>
      <c r="B629" t="s">
        <v>3658</v>
      </c>
      <c r="C629" t="s">
        <v>9258</v>
      </c>
      <c r="D629" t="s">
        <v>3658</v>
      </c>
      <c r="E629" t="s">
        <v>2866</v>
      </c>
      <c r="F629" t="s">
        <v>3810</v>
      </c>
      <c r="G629" t="s">
        <v>9259</v>
      </c>
      <c r="H629" t="s">
        <v>9260</v>
      </c>
      <c r="I629" t="s">
        <v>4122</v>
      </c>
      <c r="K629" t="s">
        <v>3808</v>
      </c>
      <c r="L629">
        <v>6</v>
      </c>
      <c r="M629" t="s">
        <v>3850</v>
      </c>
      <c r="N629" t="s">
        <v>3851</v>
      </c>
      <c r="O629" t="s">
        <v>3852</v>
      </c>
      <c r="P629" t="s">
        <v>3853</v>
      </c>
      <c r="Q629" t="s">
        <v>3854</v>
      </c>
      <c r="R629" t="s">
        <v>3855</v>
      </c>
      <c r="S629" t="s">
        <v>3856</v>
      </c>
      <c r="T629" t="s">
        <v>4424</v>
      </c>
      <c r="U629">
        <v>2019</v>
      </c>
      <c r="V629">
        <v>39</v>
      </c>
      <c r="W629">
        <v>14</v>
      </c>
      <c r="X629" t="s">
        <v>9261</v>
      </c>
      <c r="Y629" t="str">
        <f>HYPERLINK("http://dx.doi.org/10.1002/joc.6156","http://dx.doi.org/10.1002/joc.6156")</f>
        <v>http://dx.doi.org/10.1002/joc.6156</v>
      </c>
      <c r="Z629" t="s">
        <v>3825</v>
      </c>
      <c r="AA629" t="s">
        <v>3826</v>
      </c>
      <c r="AB629" s="3">
        <v>45672</v>
      </c>
      <c r="AC629" t="s">
        <v>9262</v>
      </c>
      <c r="AD629" t="str">
        <f>HYPERLINK("https%3A%2F%2Fwww.webofscience.com%2Fwos%2Fwoscc%2Ffull-record%2FWOS:000492898900007","View Full Record in Web of Science")</f>
        <v>View Full Record in Web of Science</v>
      </c>
    </row>
    <row r="630" spans="1:30" x14ac:dyDescent="0.35">
      <c r="A630">
        <v>629</v>
      </c>
      <c r="B630" t="s">
        <v>3659</v>
      </c>
      <c r="C630" t="s">
        <v>9263</v>
      </c>
      <c r="D630" t="s">
        <v>3659</v>
      </c>
      <c r="E630" t="s">
        <v>2867</v>
      </c>
      <c r="F630" t="s">
        <v>3810</v>
      </c>
      <c r="G630" t="s">
        <v>9264</v>
      </c>
      <c r="H630" t="s">
        <v>9265</v>
      </c>
      <c r="I630" t="s">
        <v>9266</v>
      </c>
      <c r="J630" t="s">
        <v>9267</v>
      </c>
      <c r="K630" t="s">
        <v>9268</v>
      </c>
      <c r="L630">
        <v>10</v>
      </c>
      <c r="M630" t="s">
        <v>3866</v>
      </c>
      <c r="N630" t="s">
        <v>3817</v>
      </c>
      <c r="O630" t="s">
        <v>3867</v>
      </c>
      <c r="P630" t="s">
        <v>3868</v>
      </c>
      <c r="Q630" t="s">
        <v>3869</v>
      </c>
      <c r="R630" t="s">
        <v>3870</v>
      </c>
      <c r="S630" t="s">
        <v>3871</v>
      </c>
      <c r="T630" t="s">
        <v>3918</v>
      </c>
      <c r="U630">
        <v>2022</v>
      </c>
      <c r="V630">
        <v>59</v>
      </c>
      <c r="W630" t="s">
        <v>4259</v>
      </c>
      <c r="X630" t="s">
        <v>9269</v>
      </c>
      <c r="Y630" t="str">
        <f>HYPERLINK("http://dx.doi.org/10.1007/s00382-022-06141-3","http://dx.doi.org/10.1007/s00382-022-06141-3")</f>
        <v>http://dx.doi.org/10.1007/s00382-022-06141-3</v>
      </c>
      <c r="Z630" t="s">
        <v>3825</v>
      </c>
      <c r="AA630" t="s">
        <v>3826</v>
      </c>
      <c r="AB630" s="3">
        <v>45672</v>
      </c>
      <c r="AC630" t="s">
        <v>9270</v>
      </c>
      <c r="AD630" t="str">
        <f>HYPERLINK("https%3A%2F%2Fwww.webofscience.com%2Fwos%2Fwoscc%2Ffull-record%2FWOS:000743022400001","View Full Record in Web of Science")</f>
        <v>View Full Record in Web of Science</v>
      </c>
    </row>
    <row r="631" spans="1:30" x14ac:dyDescent="0.35">
      <c r="A631">
        <v>630</v>
      </c>
      <c r="B631" t="s">
        <v>3660</v>
      </c>
      <c r="C631" t="s">
        <v>9271</v>
      </c>
      <c r="D631" t="s">
        <v>3660</v>
      </c>
      <c r="E631" t="s">
        <v>2969</v>
      </c>
      <c r="F631" t="s">
        <v>3810</v>
      </c>
      <c r="G631" t="s">
        <v>9272</v>
      </c>
      <c r="H631" t="s">
        <v>9273</v>
      </c>
      <c r="I631" t="s">
        <v>9274</v>
      </c>
      <c r="J631" t="s">
        <v>9275</v>
      </c>
      <c r="K631" t="s">
        <v>9276</v>
      </c>
      <c r="L631">
        <v>38</v>
      </c>
      <c r="M631" t="s">
        <v>4061</v>
      </c>
      <c r="N631" t="s">
        <v>4062</v>
      </c>
      <c r="O631" t="s">
        <v>4063</v>
      </c>
      <c r="P631" t="s">
        <v>6830</v>
      </c>
      <c r="Q631" t="s">
        <v>6831</v>
      </c>
      <c r="R631" t="s">
        <v>6832</v>
      </c>
      <c r="S631" t="s">
        <v>6833</v>
      </c>
      <c r="T631" t="s">
        <v>3823</v>
      </c>
      <c r="U631">
        <v>2014</v>
      </c>
      <c r="V631">
        <v>28</v>
      </c>
      <c r="W631">
        <v>1</v>
      </c>
      <c r="X631" t="s">
        <v>9277</v>
      </c>
      <c r="Y631" t="str">
        <f>HYPERLINK("http://dx.doi.org/10.1007/s13351-014-0106-6","http://dx.doi.org/10.1007/s13351-014-0106-6")</f>
        <v>http://dx.doi.org/10.1007/s13351-014-0106-6</v>
      </c>
      <c r="Z631" t="s">
        <v>3825</v>
      </c>
      <c r="AA631" t="s">
        <v>3826</v>
      </c>
      <c r="AB631" s="3">
        <v>45672</v>
      </c>
      <c r="AC631" t="s">
        <v>9278</v>
      </c>
      <c r="AD631" t="str">
        <f>HYPERLINK("https%3A%2F%2Fwww.webofscience.com%2Fwos%2Fwoscc%2Ffull-record%2FWOS:000334428700005","View Full Record in Web of Science")</f>
        <v>View Full Record in Web of Science</v>
      </c>
    </row>
    <row r="632" spans="1:30" x14ac:dyDescent="0.35">
      <c r="A632">
        <v>631</v>
      </c>
      <c r="B632" t="s">
        <v>3661</v>
      </c>
      <c r="C632" t="s">
        <v>9279</v>
      </c>
      <c r="D632" t="s">
        <v>3661</v>
      </c>
      <c r="E632" t="s">
        <v>2877</v>
      </c>
      <c r="F632" t="s">
        <v>3810</v>
      </c>
      <c r="G632" t="s">
        <v>9280</v>
      </c>
      <c r="H632" t="s">
        <v>9281</v>
      </c>
      <c r="I632" t="s">
        <v>8299</v>
      </c>
      <c r="J632" t="s">
        <v>9282</v>
      </c>
      <c r="K632" t="s">
        <v>9283</v>
      </c>
      <c r="L632">
        <v>11</v>
      </c>
      <c r="M632" t="s">
        <v>4033</v>
      </c>
      <c r="N632" t="s">
        <v>4034</v>
      </c>
      <c r="O632" t="s">
        <v>4035</v>
      </c>
      <c r="P632" t="s">
        <v>4036</v>
      </c>
      <c r="Q632" t="s">
        <v>4037</v>
      </c>
      <c r="R632" t="s">
        <v>4038</v>
      </c>
      <c r="S632" t="s">
        <v>4039</v>
      </c>
      <c r="T632" t="s">
        <v>3974</v>
      </c>
      <c r="U632">
        <v>2016</v>
      </c>
      <c r="V632">
        <v>29</v>
      </c>
      <c r="W632">
        <v>11</v>
      </c>
      <c r="X632" t="s">
        <v>9284</v>
      </c>
      <c r="Y632" t="str">
        <f>HYPERLINK("http://dx.doi.org/10.1175/JCLI-D-15-0262.1","http://dx.doi.org/10.1175/JCLI-D-15-0262.1")</f>
        <v>http://dx.doi.org/10.1175/JCLI-D-15-0262.1</v>
      </c>
      <c r="Z632" t="s">
        <v>3825</v>
      </c>
      <c r="AA632" t="s">
        <v>3826</v>
      </c>
      <c r="AB632" s="3">
        <v>45672</v>
      </c>
      <c r="AC632" t="s">
        <v>9285</v>
      </c>
      <c r="AD632" t="str">
        <f>HYPERLINK("https%3A%2F%2Fwww.webofscience.com%2Fwos%2Fwoscc%2Ffull-record%2FWOS:000377116500006","View Full Record in Web of Science")</f>
        <v>View Full Record in Web of Science</v>
      </c>
    </row>
    <row r="633" spans="1:30" x14ac:dyDescent="0.35">
      <c r="A633">
        <v>632</v>
      </c>
      <c r="B633" t="s">
        <v>3662</v>
      </c>
      <c r="C633" t="s">
        <v>9286</v>
      </c>
      <c r="D633" t="s">
        <v>3662</v>
      </c>
      <c r="E633" t="s">
        <v>2866</v>
      </c>
      <c r="F633" t="s">
        <v>3810</v>
      </c>
      <c r="G633" t="s">
        <v>9287</v>
      </c>
      <c r="H633" t="s">
        <v>9288</v>
      </c>
      <c r="I633" t="s">
        <v>9289</v>
      </c>
      <c r="J633" t="s">
        <v>9290</v>
      </c>
      <c r="K633" t="s">
        <v>9291</v>
      </c>
      <c r="L633">
        <v>5</v>
      </c>
      <c r="M633" t="s">
        <v>3850</v>
      </c>
      <c r="N633" t="s">
        <v>3851</v>
      </c>
      <c r="O633" t="s">
        <v>3852</v>
      </c>
      <c r="P633" t="s">
        <v>3853</v>
      </c>
      <c r="Q633" t="s">
        <v>3854</v>
      </c>
      <c r="R633" t="s">
        <v>3855</v>
      </c>
      <c r="S633" t="s">
        <v>3856</v>
      </c>
      <c r="T633" t="s">
        <v>4546</v>
      </c>
      <c r="U633">
        <v>2022</v>
      </c>
      <c r="V633">
        <v>42</v>
      </c>
      <c r="W633">
        <v>8</v>
      </c>
      <c r="X633" t="s">
        <v>9292</v>
      </c>
      <c r="Y633" t="str">
        <f>HYPERLINK("http://dx.doi.org/10.1002/joc.7471","http://dx.doi.org/10.1002/joc.7471")</f>
        <v>http://dx.doi.org/10.1002/joc.7471</v>
      </c>
      <c r="Z633" t="s">
        <v>3825</v>
      </c>
      <c r="AA633" t="s">
        <v>3826</v>
      </c>
      <c r="AB633" s="3">
        <v>45672</v>
      </c>
      <c r="AC633" t="s">
        <v>9293</v>
      </c>
      <c r="AD633" t="str">
        <f>HYPERLINK("https%3A%2F%2Fwww.webofscience.com%2Fwos%2Fwoscc%2Ffull-record%2FWOS:000729377000001","View Full Record in Web of Science")</f>
        <v>View Full Record in Web of Science</v>
      </c>
    </row>
    <row r="634" spans="1:30" x14ac:dyDescent="0.35">
      <c r="A634">
        <v>633</v>
      </c>
      <c r="B634" t="s">
        <v>3663</v>
      </c>
      <c r="C634" t="s">
        <v>9294</v>
      </c>
      <c r="D634" t="s">
        <v>3663</v>
      </c>
      <c r="E634" t="s">
        <v>2946</v>
      </c>
      <c r="F634" t="s">
        <v>3810</v>
      </c>
      <c r="G634" t="s">
        <v>9295</v>
      </c>
      <c r="H634" t="s">
        <v>9296</v>
      </c>
      <c r="I634" t="s">
        <v>9297</v>
      </c>
      <c r="J634" t="s">
        <v>9298</v>
      </c>
      <c r="K634" t="s">
        <v>9299</v>
      </c>
      <c r="L634">
        <v>22</v>
      </c>
      <c r="M634" t="s">
        <v>3951</v>
      </c>
      <c r="N634" t="s">
        <v>3952</v>
      </c>
      <c r="O634" t="s">
        <v>3953</v>
      </c>
      <c r="P634" t="s">
        <v>5892</v>
      </c>
      <c r="Q634" t="s">
        <v>5893</v>
      </c>
      <c r="R634" t="s">
        <v>5894</v>
      </c>
      <c r="S634" t="s">
        <v>5895</v>
      </c>
      <c r="T634" t="s">
        <v>3932</v>
      </c>
      <c r="U634">
        <v>2021</v>
      </c>
      <c r="V634">
        <v>93</v>
      </c>
      <c r="W634" t="s">
        <v>3808</v>
      </c>
      <c r="X634" t="s">
        <v>9300</v>
      </c>
      <c r="Y634" t="str">
        <f>HYPERLINK("http://dx.doi.org/10.1016/j.gr.2021.01.010","http://dx.doi.org/10.1016/j.gr.2021.01.010")</f>
        <v>http://dx.doi.org/10.1016/j.gr.2021.01.010</v>
      </c>
      <c r="Z634" t="s">
        <v>4116</v>
      </c>
      <c r="AA634" t="s">
        <v>3826</v>
      </c>
      <c r="AB634" s="3">
        <v>45672</v>
      </c>
      <c r="AC634" t="s">
        <v>9301</v>
      </c>
      <c r="AD634" t="str">
        <f>HYPERLINK("https%3A%2F%2Fwww.webofscience.com%2Fwos%2Fwoscc%2Ffull-record%2FWOS:000634524600005","View Full Record in Web of Science")</f>
        <v>View Full Record in Web of Science</v>
      </c>
    </row>
    <row r="635" spans="1:30" x14ac:dyDescent="0.35">
      <c r="A635">
        <v>634</v>
      </c>
      <c r="B635" t="s">
        <v>3664</v>
      </c>
      <c r="C635" t="s">
        <v>9302</v>
      </c>
      <c r="D635" t="s">
        <v>3664</v>
      </c>
      <c r="E635" t="s">
        <v>2877</v>
      </c>
      <c r="F635" t="s">
        <v>3810</v>
      </c>
      <c r="G635" t="s">
        <v>9303</v>
      </c>
      <c r="H635" t="s">
        <v>9304</v>
      </c>
      <c r="I635" t="s">
        <v>9305</v>
      </c>
      <c r="J635" t="s">
        <v>9306</v>
      </c>
      <c r="K635" t="s">
        <v>9307</v>
      </c>
      <c r="L635">
        <v>172</v>
      </c>
      <c r="M635" t="s">
        <v>4033</v>
      </c>
      <c r="N635" t="s">
        <v>4034</v>
      </c>
      <c r="O635" t="s">
        <v>5063</v>
      </c>
      <c r="P635" t="s">
        <v>4036</v>
      </c>
      <c r="Q635" t="s">
        <v>4037</v>
      </c>
      <c r="R635" t="s">
        <v>4038</v>
      </c>
      <c r="S635" t="s">
        <v>4039</v>
      </c>
      <c r="T635" t="s">
        <v>4163</v>
      </c>
      <c r="U635">
        <v>2014</v>
      </c>
      <c r="V635">
        <v>27</v>
      </c>
      <c r="W635">
        <v>23</v>
      </c>
      <c r="X635" t="s">
        <v>9308</v>
      </c>
      <c r="Y635" t="str">
        <f>HYPERLINK("http://dx.doi.org/10.1175/JCLI-D-13-00714.1","http://dx.doi.org/10.1175/JCLI-D-13-00714.1")</f>
        <v>http://dx.doi.org/10.1175/JCLI-D-13-00714.1</v>
      </c>
      <c r="Z635" t="s">
        <v>3825</v>
      </c>
      <c r="AA635" t="s">
        <v>3826</v>
      </c>
      <c r="AB635" s="3">
        <v>45672</v>
      </c>
      <c r="AC635" t="s">
        <v>9309</v>
      </c>
      <c r="AD635" t="str">
        <f>HYPERLINK("https%3A%2F%2Fwww.webofscience.com%2Fwos%2Fwoscc%2Ffull-record%2FWOS:000346055100003","View Full Record in Web of Science")</f>
        <v>View Full Record in Web of Science</v>
      </c>
    </row>
    <row r="636" spans="1:30" x14ac:dyDescent="0.35">
      <c r="A636">
        <v>635</v>
      </c>
      <c r="B636" t="s">
        <v>3665</v>
      </c>
      <c r="C636" t="s">
        <v>9310</v>
      </c>
      <c r="D636" t="s">
        <v>3665</v>
      </c>
      <c r="E636" t="s">
        <v>2862</v>
      </c>
      <c r="F636" t="s">
        <v>3810</v>
      </c>
      <c r="G636" t="s">
        <v>9311</v>
      </c>
      <c r="H636" t="s">
        <v>9312</v>
      </c>
      <c r="I636" t="s">
        <v>9313</v>
      </c>
      <c r="J636" t="s">
        <v>9314</v>
      </c>
      <c r="K636" t="s">
        <v>9315</v>
      </c>
      <c r="L636">
        <v>6</v>
      </c>
      <c r="M636" t="s">
        <v>3816</v>
      </c>
      <c r="N636" t="s">
        <v>3817</v>
      </c>
      <c r="O636" t="s">
        <v>3818</v>
      </c>
      <c r="P636" t="s">
        <v>3819</v>
      </c>
      <c r="Q636" t="s">
        <v>3820</v>
      </c>
      <c r="R636" t="s">
        <v>3821</v>
      </c>
      <c r="S636" t="s">
        <v>3822</v>
      </c>
      <c r="T636" t="s">
        <v>6136</v>
      </c>
      <c r="U636">
        <v>2023</v>
      </c>
      <c r="V636">
        <v>292</v>
      </c>
      <c r="W636" t="s">
        <v>3808</v>
      </c>
      <c r="X636" t="s">
        <v>9316</v>
      </c>
      <c r="Y636" t="str">
        <f>HYPERLINK("http://dx.doi.org/10.1016/j.atmosres.2023.106896","http://dx.doi.org/10.1016/j.atmosres.2023.106896")</f>
        <v>http://dx.doi.org/10.1016/j.atmosres.2023.106896</v>
      </c>
      <c r="Z636" t="s">
        <v>3825</v>
      </c>
      <c r="AA636" t="s">
        <v>3826</v>
      </c>
      <c r="AB636" s="3">
        <v>45672</v>
      </c>
      <c r="AC636" t="s">
        <v>9317</v>
      </c>
      <c r="AD636" t="str">
        <f>HYPERLINK("https%3A%2F%2Fwww.webofscience.com%2Fwos%2Fwoscc%2Ffull-record%2FWOS:001030547800001","View Full Record in Web of Science")</f>
        <v>View Full Record in Web of Science</v>
      </c>
    </row>
    <row r="637" spans="1:30" x14ac:dyDescent="0.35">
      <c r="A637">
        <v>636</v>
      </c>
      <c r="B637" t="s">
        <v>3666</v>
      </c>
      <c r="C637" t="s">
        <v>9318</v>
      </c>
      <c r="D637" t="s">
        <v>3666</v>
      </c>
      <c r="E637" t="s">
        <v>2867</v>
      </c>
      <c r="F637" t="s">
        <v>3810</v>
      </c>
      <c r="G637" t="s">
        <v>9319</v>
      </c>
      <c r="H637" t="s">
        <v>9320</v>
      </c>
      <c r="I637" t="s">
        <v>9321</v>
      </c>
      <c r="J637" t="s">
        <v>9322</v>
      </c>
      <c r="K637" t="s">
        <v>9323</v>
      </c>
      <c r="L637">
        <v>7</v>
      </c>
      <c r="M637" t="s">
        <v>3866</v>
      </c>
      <c r="N637" t="s">
        <v>3817</v>
      </c>
      <c r="O637" t="s">
        <v>4290</v>
      </c>
      <c r="P637" t="s">
        <v>3868</v>
      </c>
      <c r="Q637" t="s">
        <v>3869</v>
      </c>
      <c r="R637" t="s">
        <v>3870</v>
      </c>
      <c r="S637" t="s">
        <v>3871</v>
      </c>
      <c r="T637" t="s">
        <v>3974</v>
      </c>
      <c r="U637">
        <v>2019</v>
      </c>
      <c r="V637">
        <v>52</v>
      </c>
      <c r="W637">
        <v>11</v>
      </c>
      <c r="X637" t="s">
        <v>9324</v>
      </c>
      <c r="Y637" t="str">
        <f>HYPERLINK("http://dx.doi.org/10.1007/s00382-018-4517-4","http://dx.doi.org/10.1007/s00382-018-4517-4")</f>
        <v>http://dx.doi.org/10.1007/s00382-018-4517-4</v>
      </c>
      <c r="Z637" t="s">
        <v>3825</v>
      </c>
      <c r="AA637" t="s">
        <v>3826</v>
      </c>
      <c r="AB637" s="3">
        <v>45672</v>
      </c>
      <c r="AC637" t="s">
        <v>9325</v>
      </c>
      <c r="AD637" t="str">
        <f>HYPERLINK("https%3A%2F%2Fwww.webofscience.com%2Fwos%2Fwoscc%2Ffull-record%2FWOS:000469016700003","View Full Record in Web of Science")</f>
        <v>View Full Record in Web of Science</v>
      </c>
    </row>
    <row r="638" spans="1:30" x14ac:dyDescent="0.35">
      <c r="A638">
        <v>637</v>
      </c>
      <c r="B638" t="s">
        <v>3667</v>
      </c>
      <c r="C638" t="s">
        <v>9326</v>
      </c>
      <c r="D638" t="s">
        <v>3667</v>
      </c>
      <c r="E638" t="s">
        <v>2867</v>
      </c>
      <c r="F638" t="s">
        <v>3810</v>
      </c>
      <c r="G638" t="s">
        <v>9327</v>
      </c>
      <c r="H638" t="s">
        <v>9328</v>
      </c>
      <c r="I638" t="s">
        <v>9329</v>
      </c>
      <c r="J638" t="s">
        <v>9330</v>
      </c>
      <c r="K638" t="s">
        <v>9331</v>
      </c>
      <c r="L638">
        <v>4</v>
      </c>
      <c r="M638" t="s">
        <v>3866</v>
      </c>
      <c r="N638" t="s">
        <v>3817</v>
      </c>
      <c r="O638" t="s">
        <v>3867</v>
      </c>
      <c r="P638" t="s">
        <v>3868</v>
      </c>
      <c r="Q638" t="s">
        <v>3869</v>
      </c>
      <c r="R638" t="s">
        <v>3870</v>
      </c>
      <c r="S638" t="s">
        <v>3871</v>
      </c>
      <c r="T638" t="s">
        <v>3823</v>
      </c>
      <c r="U638">
        <v>2023</v>
      </c>
      <c r="V638">
        <v>60</v>
      </c>
      <c r="W638" t="s">
        <v>4268</v>
      </c>
      <c r="X638" t="s">
        <v>9332</v>
      </c>
      <c r="Y638" t="str">
        <f>HYPERLINK("http://dx.doi.org/10.1007/s00382-022-06344-8","http://dx.doi.org/10.1007/s00382-022-06344-8")</f>
        <v>http://dx.doi.org/10.1007/s00382-022-06344-8</v>
      </c>
      <c r="Z638" t="s">
        <v>3825</v>
      </c>
      <c r="AA638" t="s">
        <v>3826</v>
      </c>
      <c r="AB638" s="3">
        <v>45672</v>
      </c>
      <c r="AC638" t="s">
        <v>9333</v>
      </c>
      <c r="AD638" t="str">
        <f>HYPERLINK("https%3A%2F%2Fwww.webofscience.com%2Fwos%2Fwoscc%2Ffull-record%2FWOS:000817030500002","View Full Record in Web of Science")</f>
        <v>View Full Record in Web of Science</v>
      </c>
    </row>
    <row r="639" spans="1:30" x14ac:dyDescent="0.35">
      <c r="A639">
        <v>638</v>
      </c>
      <c r="B639" t="s">
        <v>3668</v>
      </c>
      <c r="C639" t="s">
        <v>9334</v>
      </c>
      <c r="D639" t="s">
        <v>3668</v>
      </c>
      <c r="E639" t="s">
        <v>2894</v>
      </c>
      <c r="F639" t="s">
        <v>3810</v>
      </c>
      <c r="G639" t="s">
        <v>9335</v>
      </c>
      <c r="H639" t="s">
        <v>9336</v>
      </c>
      <c r="I639" t="s">
        <v>9337</v>
      </c>
      <c r="K639" t="s">
        <v>3808</v>
      </c>
      <c r="L639">
        <v>1</v>
      </c>
      <c r="M639" t="s">
        <v>4252</v>
      </c>
      <c r="N639" t="s">
        <v>4355</v>
      </c>
      <c r="O639" t="s">
        <v>4356</v>
      </c>
      <c r="P639" t="s">
        <v>4255</v>
      </c>
      <c r="Q639" t="s">
        <v>4256</v>
      </c>
      <c r="R639" t="s">
        <v>4257</v>
      </c>
      <c r="S639" t="s">
        <v>4258</v>
      </c>
      <c r="T639" t="s">
        <v>4016</v>
      </c>
      <c r="U639">
        <v>2022</v>
      </c>
      <c r="V639">
        <v>150</v>
      </c>
      <c r="W639" t="s">
        <v>4259</v>
      </c>
      <c r="X639" t="s">
        <v>9338</v>
      </c>
      <c r="Y639" t="str">
        <f>HYPERLINK("http://dx.doi.org/10.1007/s00704-022-04175-5","http://dx.doi.org/10.1007/s00704-022-04175-5")</f>
        <v>http://dx.doi.org/10.1007/s00704-022-04175-5</v>
      </c>
      <c r="Z639" t="s">
        <v>3825</v>
      </c>
      <c r="AA639" t="s">
        <v>3826</v>
      </c>
      <c r="AB639" s="3">
        <v>45672</v>
      </c>
      <c r="AC639" t="s">
        <v>9339</v>
      </c>
      <c r="AD639" t="str">
        <f>HYPERLINK("https%3A%2F%2Fwww.webofscience.com%2Fwos%2Fwoscc%2Ffull-record%2FWOS:000840625200002","View Full Record in Web of Science")</f>
        <v>View Full Record in Web of Science</v>
      </c>
    </row>
    <row r="640" spans="1:30" x14ac:dyDescent="0.35">
      <c r="A640">
        <v>639</v>
      </c>
      <c r="B640" t="s">
        <v>3669</v>
      </c>
      <c r="C640" t="s">
        <v>2517</v>
      </c>
      <c r="D640" t="s">
        <v>3669</v>
      </c>
      <c r="E640" t="s">
        <v>2872</v>
      </c>
      <c r="F640" t="s">
        <v>3810</v>
      </c>
      <c r="G640" t="s">
        <v>9340</v>
      </c>
      <c r="H640" t="s">
        <v>9341</v>
      </c>
      <c r="I640" t="s">
        <v>9342</v>
      </c>
      <c r="J640" t="s">
        <v>9343</v>
      </c>
      <c r="K640" t="s">
        <v>9344</v>
      </c>
      <c r="L640">
        <v>6</v>
      </c>
      <c r="M640" t="s">
        <v>3951</v>
      </c>
      <c r="N640" t="s">
        <v>3952</v>
      </c>
      <c r="O640" t="s">
        <v>3953</v>
      </c>
      <c r="P640" t="s">
        <v>3954</v>
      </c>
      <c r="Q640" t="s">
        <v>3955</v>
      </c>
      <c r="R640" t="s">
        <v>3956</v>
      </c>
      <c r="S640" t="s">
        <v>3957</v>
      </c>
      <c r="T640" t="s">
        <v>3958</v>
      </c>
      <c r="U640">
        <v>2020</v>
      </c>
      <c r="V640">
        <v>590</v>
      </c>
      <c r="W640" t="s">
        <v>3808</v>
      </c>
      <c r="X640" t="s">
        <v>9345</v>
      </c>
      <c r="Y640" t="str">
        <f>HYPERLINK("http://dx.doi.org/10.1016/j.jhydrol.2020.125177","http://dx.doi.org/10.1016/j.jhydrol.2020.125177")</f>
        <v>http://dx.doi.org/10.1016/j.jhydrol.2020.125177</v>
      </c>
      <c r="Z640" t="s">
        <v>3960</v>
      </c>
      <c r="AA640" t="s">
        <v>3826</v>
      </c>
      <c r="AB640" s="3">
        <v>45672</v>
      </c>
      <c r="AC640" t="s">
        <v>9346</v>
      </c>
      <c r="AD640" t="str">
        <f>HYPERLINK("https%3A%2F%2Fwww.webofscience.com%2Fwos%2Fwoscc%2Ffull-record%2FWOS:000599754500007","View Full Record in Web of Science")</f>
        <v>View Full Record in Web of Science</v>
      </c>
    </row>
    <row r="641" spans="1:30" x14ac:dyDescent="0.35">
      <c r="A641">
        <v>640</v>
      </c>
      <c r="B641" t="s">
        <v>3670</v>
      </c>
      <c r="C641" t="s">
        <v>9347</v>
      </c>
      <c r="D641" t="s">
        <v>3670</v>
      </c>
      <c r="E641" t="s">
        <v>2931</v>
      </c>
      <c r="F641" t="s">
        <v>3810</v>
      </c>
      <c r="G641" t="s">
        <v>9348</v>
      </c>
      <c r="H641" t="s">
        <v>9349</v>
      </c>
      <c r="I641" t="s">
        <v>9350</v>
      </c>
      <c r="J641" t="s">
        <v>9351</v>
      </c>
      <c r="K641" t="s">
        <v>9352</v>
      </c>
      <c r="L641">
        <v>28</v>
      </c>
      <c r="M641" t="s">
        <v>4277</v>
      </c>
      <c r="N641" t="s">
        <v>4278</v>
      </c>
      <c r="O641" t="s">
        <v>4279</v>
      </c>
      <c r="P641" t="s">
        <v>3808</v>
      </c>
      <c r="Q641" t="s">
        <v>5212</v>
      </c>
      <c r="R641" t="s">
        <v>5213</v>
      </c>
      <c r="S641" t="s">
        <v>8646</v>
      </c>
      <c r="T641" t="s">
        <v>4163</v>
      </c>
      <c r="U641">
        <v>2018</v>
      </c>
      <c r="V641">
        <v>7</v>
      </c>
      <c r="W641">
        <v>12</v>
      </c>
      <c r="X641" t="s">
        <v>9353</v>
      </c>
      <c r="Y641" t="str">
        <f>HYPERLINK("http://dx.doi.org/10.3390/ijgi7120483","http://dx.doi.org/10.3390/ijgi7120483")</f>
        <v>http://dx.doi.org/10.3390/ijgi7120483</v>
      </c>
      <c r="Z641" t="s">
        <v>5216</v>
      </c>
      <c r="AA641" t="s">
        <v>3826</v>
      </c>
      <c r="AB641" s="3">
        <v>45672</v>
      </c>
      <c r="AC641" t="s">
        <v>9354</v>
      </c>
      <c r="AD641" t="str">
        <f>HYPERLINK("https%3A%2F%2Fwww.webofscience.com%2Fwos%2Fwoscc%2Ffull-record%2FWOS:000455392100031","View Full Record in Web of Science")</f>
        <v>View Full Record in Web of Science</v>
      </c>
    </row>
    <row r="642" spans="1:30" x14ac:dyDescent="0.35">
      <c r="A642">
        <v>641</v>
      </c>
      <c r="B642" t="s">
        <v>3671</v>
      </c>
      <c r="C642" t="s">
        <v>9355</v>
      </c>
      <c r="D642" t="s">
        <v>3671</v>
      </c>
      <c r="E642" t="s">
        <v>2866</v>
      </c>
      <c r="F642" t="s">
        <v>3810</v>
      </c>
      <c r="G642" t="s">
        <v>9356</v>
      </c>
      <c r="H642" t="s">
        <v>9357</v>
      </c>
      <c r="I642" t="s">
        <v>9358</v>
      </c>
      <c r="J642" t="s">
        <v>9359</v>
      </c>
      <c r="K642" t="s">
        <v>9360</v>
      </c>
      <c r="L642">
        <v>61</v>
      </c>
      <c r="M642" t="s">
        <v>3850</v>
      </c>
      <c r="N642" t="s">
        <v>3851</v>
      </c>
      <c r="O642" t="s">
        <v>3852</v>
      </c>
      <c r="P642" t="s">
        <v>3853</v>
      </c>
      <c r="Q642" t="s">
        <v>3854</v>
      </c>
      <c r="R642" t="s">
        <v>3855</v>
      </c>
      <c r="S642" t="s">
        <v>3856</v>
      </c>
      <c r="T642" t="s">
        <v>3932</v>
      </c>
      <c r="U642">
        <v>2017</v>
      </c>
      <c r="V642">
        <v>37</v>
      </c>
      <c r="W642">
        <v>6</v>
      </c>
      <c r="X642" t="s">
        <v>9361</v>
      </c>
      <c r="Y642" t="str">
        <f>HYPERLINK("http://dx.doi.org/10.1002/joc.4893","http://dx.doi.org/10.1002/joc.4893")</f>
        <v>http://dx.doi.org/10.1002/joc.4893</v>
      </c>
      <c r="Z642" t="s">
        <v>3825</v>
      </c>
      <c r="AA642" t="s">
        <v>3826</v>
      </c>
      <c r="AB642" s="3">
        <v>45672</v>
      </c>
      <c r="AC642" t="s">
        <v>9362</v>
      </c>
      <c r="AD642" t="str">
        <f>HYPERLINK("https%3A%2F%2Fwww.webofscience.com%2Fwos%2Fwoscc%2Ffull-record%2FWOS:000404849200014","View Full Record in Web of Science")</f>
        <v>View Full Record in Web of Science</v>
      </c>
    </row>
    <row r="643" spans="1:30" x14ac:dyDescent="0.35">
      <c r="A643">
        <v>642</v>
      </c>
      <c r="B643" t="s">
        <v>3672</v>
      </c>
      <c r="C643" t="s">
        <v>9363</v>
      </c>
      <c r="D643" t="s">
        <v>3672</v>
      </c>
      <c r="E643" t="s">
        <v>2910</v>
      </c>
      <c r="F643" t="s">
        <v>3810</v>
      </c>
      <c r="G643" t="s">
        <v>9364</v>
      </c>
      <c r="H643" t="s">
        <v>9365</v>
      </c>
      <c r="I643" t="s">
        <v>9366</v>
      </c>
      <c r="J643" t="s">
        <v>3808</v>
      </c>
      <c r="K643" t="s">
        <v>3808</v>
      </c>
      <c r="L643">
        <v>0</v>
      </c>
      <c r="M643" t="s">
        <v>4555</v>
      </c>
      <c r="N643" t="s">
        <v>4556</v>
      </c>
      <c r="O643" t="s">
        <v>4557</v>
      </c>
      <c r="P643" t="s">
        <v>3808</v>
      </c>
      <c r="Q643" t="s">
        <v>4558</v>
      </c>
      <c r="R643" t="s">
        <v>4559</v>
      </c>
      <c r="S643" t="s">
        <v>4560</v>
      </c>
      <c r="T643" t="s">
        <v>9367</v>
      </c>
      <c r="U643">
        <v>2023</v>
      </c>
      <c r="V643">
        <v>11</v>
      </c>
      <c r="W643" t="s">
        <v>3808</v>
      </c>
      <c r="X643" t="s">
        <v>9368</v>
      </c>
      <c r="Y643" t="str">
        <f>HYPERLINK("http://dx.doi.org/10.3389/feart.2023.1082832","http://dx.doi.org/10.3389/feart.2023.1082832")</f>
        <v>http://dx.doi.org/10.3389/feart.2023.1082832</v>
      </c>
      <c r="Z643" t="s">
        <v>4116</v>
      </c>
      <c r="AA643" t="s">
        <v>3826</v>
      </c>
      <c r="AB643" s="3">
        <v>45672</v>
      </c>
      <c r="AC643" t="s">
        <v>9369</v>
      </c>
      <c r="AD643" t="str">
        <f>HYPERLINK("https%3A%2F%2Fwww.webofscience.com%2Fwos%2Fwoscc%2Ffull-record%2FWOS:000943996100001","View Full Record in Web of Science")</f>
        <v>View Full Record in Web of Science</v>
      </c>
    </row>
    <row r="644" spans="1:30" x14ac:dyDescent="0.35">
      <c r="A644">
        <v>643</v>
      </c>
      <c r="B644" t="s">
        <v>3673</v>
      </c>
      <c r="C644" t="s">
        <v>9370</v>
      </c>
      <c r="D644" t="s">
        <v>3673</v>
      </c>
      <c r="E644" t="s">
        <v>2969</v>
      </c>
      <c r="F644" t="s">
        <v>3810</v>
      </c>
      <c r="G644" t="s">
        <v>9371</v>
      </c>
      <c r="H644" t="s">
        <v>9372</v>
      </c>
      <c r="I644" t="s">
        <v>9373</v>
      </c>
      <c r="K644" t="s">
        <v>3808</v>
      </c>
      <c r="L644">
        <v>11</v>
      </c>
      <c r="M644" t="s">
        <v>4061</v>
      </c>
      <c r="N644" t="s">
        <v>4062</v>
      </c>
      <c r="O644" t="s">
        <v>4063</v>
      </c>
      <c r="P644" t="s">
        <v>6830</v>
      </c>
      <c r="Q644" t="s">
        <v>6831</v>
      </c>
      <c r="R644" t="s">
        <v>6832</v>
      </c>
      <c r="S644" t="s">
        <v>6833</v>
      </c>
      <c r="T644" t="s">
        <v>5045</v>
      </c>
      <c r="U644">
        <v>2020</v>
      </c>
      <c r="V644">
        <v>34</v>
      </c>
      <c r="W644">
        <v>2</v>
      </c>
      <c r="X644" t="s">
        <v>9374</v>
      </c>
      <c r="Y644" t="str">
        <f>HYPERLINK("http://dx.doi.org/10.1007/s13351-020-9181-z","http://dx.doi.org/10.1007/s13351-020-9181-z")</f>
        <v>http://dx.doi.org/10.1007/s13351-020-9181-z</v>
      </c>
      <c r="Z644" t="s">
        <v>3825</v>
      </c>
      <c r="AA644" t="s">
        <v>3826</v>
      </c>
      <c r="AB644" s="3">
        <v>45672</v>
      </c>
      <c r="AC644" t="s">
        <v>9375</v>
      </c>
      <c r="AD644" t="str">
        <f>HYPERLINK("https%3A%2F%2Fwww.webofscience.com%2Fwos%2Fwoscc%2Ffull-record%2FWOS:000531813900007","View Full Record in Web of Science")</f>
        <v>View Full Record in Web of Science</v>
      </c>
    </row>
    <row r="645" spans="1:30" x14ac:dyDescent="0.35">
      <c r="A645">
        <v>644</v>
      </c>
      <c r="B645" t="s">
        <v>3674</v>
      </c>
      <c r="C645" t="s">
        <v>5235</v>
      </c>
      <c r="D645" t="s">
        <v>3674</v>
      </c>
      <c r="E645" t="s">
        <v>2866</v>
      </c>
      <c r="F645" t="s">
        <v>3810</v>
      </c>
      <c r="G645" t="s">
        <v>9376</v>
      </c>
      <c r="H645" t="s">
        <v>9377</v>
      </c>
      <c r="I645" t="s">
        <v>5238</v>
      </c>
      <c r="J645" t="s">
        <v>9378</v>
      </c>
      <c r="K645" t="s">
        <v>9379</v>
      </c>
      <c r="L645">
        <v>9</v>
      </c>
      <c r="M645" t="s">
        <v>3850</v>
      </c>
      <c r="N645" t="s">
        <v>3851</v>
      </c>
      <c r="O645" t="s">
        <v>3852</v>
      </c>
      <c r="P645" t="s">
        <v>3853</v>
      </c>
      <c r="Q645" t="s">
        <v>3854</v>
      </c>
      <c r="R645" t="s">
        <v>3855</v>
      </c>
      <c r="S645" t="s">
        <v>3856</v>
      </c>
      <c r="T645" t="s">
        <v>3857</v>
      </c>
      <c r="U645">
        <v>2018</v>
      </c>
      <c r="V645">
        <v>38</v>
      </c>
      <c r="W645">
        <v>3</v>
      </c>
      <c r="X645" t="s">
        <v>9380</v>
      </c>
      <c r="Y645" t="str">
        <f>HYPERLINK("http://dx.doi.org/10.1002/joc.5242","http://dx.doi.org/10.1002/joc.5242")</f>
        <v>http://dx.doi.org/10.1002/joc.5242</v>
      </c>
      <c r="Z645" t="s">
        <v>3825</v>
      </c>
      <c r="AA645" t="s">
        <v>3826</v>
      </c>
      <c r="AB645" s="3">
        <v>45672</v>
      </c>
      <c r="AC645" t="s">
        <v>9381</v>
      </c>
      <c r="AD645" t="str">
        <f>HYPERLINK("https%3A%2F%2Fwww.webofscience.com%2Fwos%2Fwoscc%2Ffull-record%2FWOS:000426729300012","View Full Record in Web of Science")</f>
        <v>View Full Record in Web of Science</v>
      </c>
    </row>
    <row r="646" spans="1:30" x14ac:dyDescent="0.35">
      <c r="A646">
        <v>645</v>
      </c>
      <c r="B646" t="s">
        <v>3675</v>
      </c>
      <c r="C646" t="s">
        <v>9382</v>
      </c>
      <c r="D646" t="s">
        <v>3675</v>
      </c>
      <c r="E646" t="s">
        <v>2866</v>
      </c>
      <c r="F646" t="s">
        <v>3810</v>
      </c>
      <c r="G646" t="s">
        <v>9383</v>
      </c>
      <c r="H646" t="s">
        <v>9384</v>
      </c>
      <c r="I646" t="s">
        <v>9385</v>
      </c>
      <c r="J646" t="s">
        <v>9386</v>
      </c>
      <c r="K646" t="s">
        <v>9387</v>
      </c>
      <c r="L646">
        <v>10</v>
      </c>
      <c r="M646" t="s">
        <v>3850</v>
      </c>
      <c r="N646" t="s">
        <v>3851</v>
      </c>
      <c r="O646" t="s">
        <v>3852</v>
      </c>
      <c r="P646" t="s">
        <v>3853</v>
      </c>
      <c r="Q646" t="s">
        <v>3854</v>
      </c>
      <c r="R646" t="s">
        <v>3855</v>
      </c>
      <c r="S646" t="s">
        <v>3856</v>
      </c>
      <c r="T646" t="s">
        <v>3932</v>
      </c>
      <c r="U646">
        <v>2019</v>
      </c>
      <c r="V646">
        <v>39</v>
      </c>
      <c r="W646">
        <v>6</v>
      </c>
      <c r="X646" t="s">
        <v>9388</v>
      </c>
      <c r="Y646" t="str">
        <f>HYPERLINK("http://dx.doi.org/10.1002/joc.6004","http://dx.doi.org/10.1002/joc.6004")</f>
        <v>http://dx.doi.org/10.1002/joc.6004</v>
      </c>
      <c r="Z646" t="s">
        <v>3825</v>
      </c>
      <c r="AA646" t="s">
        <v>3826</v>
      </c>
      <c r="AB646" s="3">
        <v>45672</v>
      </c>
      <c r="AC646" t="s">
        <v>9389</v>
      </c>
      <c r="AD646" t="str">
        <f>HYPERLINK("https%3A%2F%2Fwww.webofscience.com%2Fwos%2Fwoscc%2Ffull-record%2FWOS:000465863900015","View Full Record in Web of Science")</f>
        <v>View Full Record in Web of Science</v>
      </c>
    </row>
    <row r="647" spans="1:30" x14ac:dyDescent="0.35">
      <c r="A647">
        <v>646</v>
      </c>
      <c r="B647" t="s">
        <v>3676</v>
      </c>
      <c r="C647" t="s">
        <v>9390</v>
      </c>
      <c r="D647" t="s">
        <v>3676</v>
      </c>
      <c r="E647" t="s">
        <v>3014</v>
      </c>
      <c r="F647" t="s">
        <v>3810</v>
      </c>
      <c r="G647" t="s">
        <v>9391</v>
      </c>
      <c r="H647" t="s">
        <v>9392</v>
      </c>
      <c r="I647" t="s">
        <v>9393</v>
      </c>
      <c r="K647" t="s">
        <v>3808</v>
      </c>
      <c r="L647">
        <v>1</v>
      </c>
      <c r="M647" t="s">
        <v>9174</v>
      </c>
      <c r="N647" t="s">
        <v>9005</v>
      </c>
      <c r="O647" t="s">
        <v>9175</v>
      </c>
      <c r="P647" t="s">
        <v>9176</v>
      </c>
      <c r="Q647" t="s">
        <v>9177</v>
      </c>
      <c r="R647" t="s">
        <v>9178</v>
      </c>
      <c r="S647" t="s">
        <v>9179</v>
      </c>
      <c r="T647" t="s">
        <v>4137</v>
      </c>
      <c r="U647">
        <v>2020</v>
      </c>
      <c r="V647">
        <v>90</v>
      </c>
      <c r="W647">
        <v>8</v>
      </c>
      <c r="X647" t="s">
        <v>9394</v>
      </c>
      <c r="Y647" t="str">
        <f>HYPERLINK("http://dx.doi.org/10.2110/jsr.2020.42","http://dx.doi.org/10.2110/jsr.2020.42")</f>
        <v>http://dx.doi.org/10.2110/jsr.2020.42</v>
      </c>
      <c r="Z647" t="s">
        <v>3973</v>
      </c>
      <c r="AA647" t="s">
        <v>3826</v>
      </c>
      <c r="AB647" s="3">
        <v>45672</v>
      </c>
      <c r="AC647" t="s">
        <v>9395</v>
      </c>
      <c r="AD647" t="str">
        <f>HYPERLINK("https%3A%2F%2Fwww.webofscience.com%2Fwos%2Fwoscc%2Ffull-record%2FWOS:000580554300002","View Full Record in Web of Science")</f>
        <v>View Full Record in Web of Science</v>
      </c>
    </row>
    <row r="648" spans="1:30" x14ac:dyDescent="0.35">
      <c r="A648">
        <v>647</v>
      </c>
      <c r="B648" t="s">
        <v>3677</v>
      </c>
      <c r="C648" t="s">
        <v>9396</v>
      </c>
      <c r="D648" t="s">
        <v>3677</v>
      </c>
      <c r="E648" t="s">
        <v>2905</v>
      </c>
      <c r="F648" t="s">
        <v>3810</v>
      </c>
      <c r="G648" t="s">
        <v>9397</v>
      </c>
      <c r="H648" t="s">
        <v>9398</v>
      </c>
      <c r="I648" t="s">
        <v>9399</v>
      </c>
      <c r="J648" t="s">
        <v>9400</v>
      </c>
      <c r="K648" t="s">
        <v>9401</v>
      </c>
      <c r="L648">
        <v>2</v>
      </c>
      <c r="M648" t="s">
        <v>4339</v>
      </c>
      <c r="N648" t="s">
        <v>4340</v>
      </c>
      <c r="O648" t="s">
        <v>4341</v>
      </c>
      <c r="P648" t="s">
        <v>4449</v>
      </c>
      <c r="Q648" t="s">
        <v>4450</v>
      </c>
      <c r="R648" t="s">
        <v>4451</v>
      </c>
      <c r="S648" t="s">
        <v>4452</v>
      </c>
      <c r="T648" t="s">
        <v>9402</v>
      </c>
      <c r="U648">
        <v>2021</v>
      </c>
      <c r="V648">
        <v>17</v>
      </c>
      <c r="W648">
        <v>6</v>
      </c>
      <c r="X648" t="s">
        <v>9403</v>
      </c>
      <c r="Y648" t="str">
        <f>HYPERLINK("http://dx.doi.org/10.5194/cp-17-2607-2021","http://dx.doi.org/10.5194/cp-17-2607-2021")</f>
        <v>http://dx.doi.org/10.5194/cp-17-2607-2021</v>
      </c>
      <c r="Z648" t="s">
        <v>4455</v>
      </c>
      <c r="AA648" t="s">
        <v>3826</v>
      </c>
      <c r="AB648" s="3">
        <v>45672</v>
      </c>
      <c r="AC648" t="s">
        <v>9404</v>
      </c>
      <c r="AD648" t="str">
        <f>HYPERLINK("https%3A%2F%2Fwww.webofscience.com%2Fwos%2Fwoscc%2Ffull-record%2FWOS:000731785200001","View Full Record in Web of Science")</f>
        <v>View Full Record in Web of Science</v>
      </c>
    </row>
    <row r="649" spans="1:30" x14ac:dyDescent="0.35">
      <c r="A649">
        <v>648</v>
      </c>
      <c r="B649" t="s">
        <v>3678</v>
      </c>
      <c r="C649" t="s">
        <v>9405</v>
      </c>
      <c r="D649" t="s">
        <v>3678</v>
      </c>
      <c r="E649" t="s">
        <v>2969</v>
      </c>
      <c r="F649" t="s">
        <v>3810</v>
      </c>
      <c r="G649" t="s">
        <v>9406</v>
      </c>
      <c r="H649" t="s">
        <v>9407</v>
      </c>
      <c r="I649" t="s">
        <v>9408</v>
      </c>
      <c r="J649" t="s">
        <v>6615</v>
      </c>
      <c r="K649" t="s">
        <v>9409</v>
      </c>
      <c r="L649">
        <v>11</v>
      </c>
      <c r="M649" t="s">
        <v>4061</v>
      </c>
      <c r="N649" t="s">
        <v>4062</v>
      </c>
      <c r="O649" t="s">
        <v>4063</v>
      </c>
      <c r="P649" t="s">
        <v>6830</v>
      </c>
      <c r="Q649" t="s">
        <v>6831</v>
      </c>
      <c r="R649" t="s">
        <v>6832</v>
      </c>
      <c r="S649" t="s">
        <v>6833</v>
      </c>
      <c r="T649" t="s">
        <v>4016</v>
      </c>
      <c r="U649">
        <v>2019</v>
      </c>
      <c r="V649">
        <v>33</v>
      </c>
      <c r="W649">
        <v>5</v>
      </c>
      <c r="X649" t="s">
        <v>9410</v>
      </c>
      <c r="Y649" t="str">
        <f>HYPERLINK("http://dx.doi.org/10.1007/s13351-019-8187-x","http://dx.doi.org/10.1007/s13351-019-8187-x")</f>
        <v>http://dx.doi.org/10.1007/s13351-019-8187-x</v>
      </c>
      <c r="Z649" t="s">
        <v>3825</v>
      </c>
      <c r="AA649" t="s">
        <v>3826</v>
      </c>
      <c r="AB649" s="3">
        <v>45672</v>
      </c>
      <c r="AC649" t="s">
        <v>9411</v>
      </c>
      <c r="AD649" t="str">
        <f>HYPERLINK("https%3A%2F%2Fwww.webofscience.com%2Fwos%2Fwoscc%2Ffull-record%2FWOS:000494484300004","View Full Record in Web of Science")</f>
        <v>View Full Record in Web of Science</v>
      </c>
    </row>
    <row r="650" spans="1:30" x14ac:dyDescent="0.35">
      <c r="A650">
        <v>649</v>
      </c>
      <c r="B650" t="s">
        <v>3679</v>
      </c>
      <c r="C650" t="s">
        <v>9412</v>
      </c>
      <c r="D650" t="s">
        <v>3679</v>
      </c>
      <c r="E650" t="s">
        <v>2867</v>
      </c>
      <c r="F650" t="s">
        <v>3810</v>
      </c>
      <c r="G650" t="s">
        <v>9413</v>
      </c>
      <c r="H650" t="s">
        <v>9414</v>
      </c>
      <c r="I650" t="s">
        <v>9415</v>
      </c>
      <c r="J650" t="s">
        <v>9416</v>
      </c>
      <c r="K650" t="s">
        <v>9417</v>
      </c>
      <c r="L650">
        <v>19</v>
      </c>
      <c r="M650" t="s">
        <v>3866</v>
      </c>
      <c r="N650" t="s">
        <v>3817</v>
      </c>
      <c r="O650" t="s">
        <v>3867</v>
      </c>
      <c r="P650" t="s">
        <v>3868</v>
      </c>
      <c r="Q650" t="s">
        <v>3869</v>
      </c>
      <c r="R650" t="s">
        <v>3870</v>
      </c>
      <c r="S650" t="s">
        <v>3871</v>
      </c>
      <c r="T650" t="s">
        <v>5045</v>
      </c>
      <c r="U650">
        <v>2014</v>
      </c>
      <c r="V650">
        <v>42</v>
      </c>
      <c r="W650" t="s">
        <v>6145</v>
      </c>
      <c r="X650" t="s">
        <v>9418</v>
      </c>
      <c r="Y650" t="str">
        <f>HYPERLINK("http://dx.doi.org/10.1007/s00382-013-1781-1","http://dx.doi.org/10.1007/s00382-013-1781-1")</f>
        <v>http://dx.doi.org/10.1007/s00382-013-1781-1</v>
      </c>
      <c r="Z650" t="s">
        <v>3825</v>
      </c>
      <c r="AA650" t="s">
        <v>3826</v>
      </c>
      <c r="AB650" s="3">
        <v>45672</v>
      </c>
      <c r="AC650" t="s">
        <v>9419</v>
      </c>
      <c r="AD650" t="str">
        <f>HYPERLINK("https%3A%2F%2Fwww.webofscience.com%2Fwos%2Fwoscc%2Ffull-record%2FWOS:000334068100013","View Full Record in Web of Science")</f>
        <v>View Full Record in Web of Science</v>
      </c>
    </row>
    <row r="651" spans="1:30" x14ac:dyDescent="0.35">
      <c r="A651">
        <v>650</v>
      </c>
      <c r="B651" t="s">
        <v>3680</v>
      </c>
      <c r="C651" t="s">
        <v>9420</v>
      </c>
      <c r="D651" t="s">
        <v>3680</v>
      </c>
      <c r="E651" t="s">
        <v>2867</v>
      </c>
      <c r="F651" t="s">
        <v>3810</v>
      </c>
      <c r="G651" t="s">
        <v>9421</v>
      </c>
      <c r="H651" t="s">
        <v>9422</v>
      </c>
      <c r="I651" t="s">
        <v>9423</v>
      </c>
      <c r="J651" t="s">
        <v>9424</v>
      </c>
      <c r="K651" t="s">
        <v>9425</v>
      </c>
      <c r="L651">
        <v>27</v>
      </c>
      <c r="M651" t="s">
        <v>3866</v>
      </c>
      <c r="N651" t="s">
        <v>3817</v>
      </c>
      <c r="O651" t="s">
        <v>3867</v>
      </c>
      <c r="P651" t="s">
        <v>3868</v>
      </c>
      <c r="Q651" t="s">
        <v>3869</v>
      </c>
      <c r="R651" t="s">
        <v>3870</v>
      </c>
      <c r="S651" t="s">
        <v>3871</v>
      </c>
      <c r="T651" t="s">
        <v>4016</v>
      </c>
      <c r="U651">
        <v>2016</v>
      </c>
      <c r="V651">
        <v>47</v>
      </c>
      <c r="W651" t="s">
        <v>6145</v>
      </c>
      <c r="X651" t="s">
        <v>9426</v>
      </c>
      <c r="Y651" t="str">
        <f>HYPERLINK("http://dx.doi.org/10.1007/s00382-015-2970-x","http://dx.doi.org/10.1007/s00382-015-2970-x")</f>
        <v>http://dx.doi.org/10.1007/s00382-015-2970-x</v>
      </c>
      <c r="Z651" t="s">
        <v>3825</v>
      </c>
      <c r="AA651" t="s">
        <v>3826</v>
      </c>
      <c r="AB651" s="3">
        <v>45672</v>
      </c>
      <c r="AC651" t="s">
        <v>9427</v>
      </c>
      <c r="AD651" t="str">
        <f>HYPERLINK("https%3A%2F%2Fwww.webofscience.com%2Fwos%2Fwoscc%2Ffull-record%2FWOS:000384549500023","View Full Record in Web of Science")</f>
        <v>View Full Record in Web of Science</v>
      </c>
    </row>
    <row r="652" spans="1:30" x14ac:dyDescent="0.35">
      <c r="A652">
        <v>651</v>
      </c>
      <c r="B652" t="s">
        <v>3681</v>
      </c>
      <c r="C652" t="s">
        <v>9428</v>
      </c>
      <c r="D652" t="s">
        <v>3681</v>
      </c>
      <c r="E652" t="s">
        <v>2862</v>
      </c>
      <c r="F652" t="s">
        <v>3810</v>
      </c>
      <c r="G652" t="s">
        <v>9429</v>
      </c>
      <c r="H652" t="s">
        <v>9430</v>
      </c>
      <c r="I652" t="s">
        <v>9431</v>
      </c>
      <c r="J652" t="s">
        <v>7262</v>
      </c>
      <c r="K652" t="s">
        <v>9432</v>
      </c>
      <c r="L652">
        <v>0</v>
      </c>
      <c r="M652" t="s">
        <v>3816</v>
      </c>
      <c r="N652" t="s">
        <v>3817</v>
      </c>
      <c r="O652" t="s">
        <v>3818</v>
      </c>
      <c r="P652" t="s">
        <v>3819</v>
      </c>
      <c r="Q652" t="s">
        <v>3820</v>
      </c>
      <c r="R652" t="s">
        <v>3821</v>
      </c>
      <c r="S652" t="s">
        <v>3822</v>
      </c>
      <c r="T652" t="s">
        <v>4016</v>
      </c>
      <c r="U652">
        <v>2023</v>
      </c>
      <c r="V652">
        <v>294</v>
      </c>
      <c r="W652" t="s">
        <v>3808</v>
      </c>
      <c r="X652" t="s">
        <v>9433</v>
      </c>
      <c r="Y652" t="str">
        <f>HYPERLINK("http://dx.doi.org/10.1016/j.atmosres.2023.106968","http://dx.doi.org/10.1016/j.atmosres.2023.106968")</f>
        <v>http://dx.doi.org/10.1016/j.atmosres.2023.106968</v>
      </c>
      <c r="Z652" t="s">
        <v>3825</v>
      </c>
      <c r="AA652" t="s">
        <v>3826</v>
      </c>
      <c r="AB652" s="3">
        <v>45672</v>
      </c>
      <c r="AC652" t="s">
        <v>9434</v>
      </c>
      <c r="AD652" t="str">
        <f>HYPERLINK("https%3A%2F%2Fwww.webofscience.com%2Fwos%2Fwoscc%2Ffull-record%2FWOS:001064055700001","View Full Record in Web of Science")</f>
        <v>View Full Record in Web of Science</v>
      </c>
    </row>
    <row r="653" spans="1:30" x14ac:dyDescent="0.35">
      <c r="A653">
        <v>652</v>
      </c>
      <c r="B653" t="s">
        <v>3682</v>
      </c>
      <c r="C653" t="s">
        <v>9435</v>
      </c>
      <c r="D653" t="s">
        <v>3682</v>
      </c>
      <c r="E653" t="s">
        <v>2877</v>
      </c>
      <c r="F653" t="s">
        <v>3810</v>
      </c>
      <c r="G653" t="s">
        <v>9436</v>
      </c>
      <c r="H653" t="s">
        <v>9437</v>
      </c>
      <c r="I653" t="s">
        <v>9438</v>
      </c>
      <c r="J653" t="s">
        <v>9439</v>
      </c>
      <c r="K653" t="s">
        <v>9440</v>
      </c>
      <c r="L653">
        <v>28</v>
      </c>
      <c r="M653" t="s">
        <v>4033</v>
      </c>
      <c r="N653" t="s">
        <v>4034</v>
      </c>
      <c r="O653" t="s">
        <v>4035</v>
      </c>
      <c r="P653" t="s">
        <v>4036</v>
      </c>
      <c r="Q653" t="s">
        <v>4037</v>
      </c>
      <c r="R653" t="s">
        <v>4038</v>
      </c>
      <c r="S653" t="s">
        <v>4039</v>
      </c>
      <c r="T653" t="s">
        <v>4016</v>
      </c>
      <c r="U653">
        <v>2017</v>
      </c>
      <c r="V653">
        <v>30</v>
      </c>
      <c r="W653">
        <v>20</v>
      </c>
      <c r="X653" t="s">
        <v>9441</v>
      </c>
      <c r="Y653" t="str">
        <f>HYPERLINK("http://dx.doi.org/10.1175/JCLI-D-17-0054.1","http://dx.doi.org/10.1175/JCLI-D-17-0054.1")</f>
        <v>http://dx.doi.org/10.1175/JCLI-D-17-0054.1</v>
      </c>
      <c r="Z653" t="s">
        <v>3825</v>
      </c>
      <c r="AA653" t="s">
        <v>3826</v>
      </c>
      <c r="AB653" s="3">
        <v>45672</v>
      </c>
      <c r="AC653" t="s">
        <v>9442</v>
      </c>
      <c r="AD653" t="str">
        <f>HYPERLINK("https%3A%2F%2Fwww.webofscience.com%2Fwos%2Fwoscc%2Ffull-record%2FWOS:000411438000017","View Full Record in Web of Science")</f>
        <v>View Full Record in Web of Science</v>
      </c>
    </row>
    <row r="654" spans="1:30" x14ac:dyDescent="0.35">
      <c r="A654">
        <v>653</v>
      </c>
      <c r="B654" t="s">
        <v>3683</v>
      </c>
      <c r="C654" t="s">
        <v>9443</v>
      </c>
      <c r="D654" t="s">
        <v>3683</v>
      </c>
      <c r="E654" t="s">
        <v>3015</v>
      </c>
      <c r="F654" t="s">
        <v>3810</v>
      </c>
      <c r="G654" t="s">
        <v>9444</v>
      </c>
      <c r="H654" t="s">
        <v>9445</v>
      </c>
      <c r="I654" t="s">
        <v>9446</v>
      </c>
      <c r="J654" t="s">
        <v>9447</v>
      </c>
      <c r="K654" t="s">
        <v>9448</v>
      </c>
      <c r="L654">
        <v>21</v>
      </c>
      <c r="M654" t="s">
        <v>4211</v>
      </c>
      <c r="N654" t="s">
        <v>3952</v>
      </c>
      <c r="O654" t="s">
        <v>4212</v>
      </c>
      <c r="P654" t="s">
        <v>9449</v>
      </c>
      <c r="Q654" t="s">
        <v>9450</v>
      </c>
      <c r="R654" t="s">
        <v>3015</v>
      </c>
      <c r="S654" t="s">
        <v>9451</v>
      </c>
      <c r="T654" t="s">
        <v>9452</v>
      </c>
      <c r="U654">
        <v>2017</v>
      </c>
      <c r="V654">
        <v>696</v>
      </c>
      <c r="W654" t="s">
        <v>3808</v>
      </c>
      <c r="X654" t="s">
        <v>9453</v>
      </c>
      <c r="Y654" t="str">
        <f>HYPERLINK("http://dx.doi.org/10.1016/j.tecto.2016.12.020","http://dx.doi.org/10.1016/j.tecto.2016.12.020")</f>
        <v>http://dx.doi.org/10.1016/j.tecto.2016.12.020</v>
      </c>
      <c r="Z654" t="s">
        <v>3920</v>
      </c>
      <c r="AA654" t="s">
        <v>3826</v>
      </c>
      <c r="AB654" s="3">
        <v>45672</v>
      </c>
      <c r="AC654" t="s">
        <v>9454</v>
      </c>
      <c r="AD654" t="str">
        <f>HYPERLINK("https%3A%2F%2Fwww.webofscience.com%2Fwos%2Fwoscc%2Ffull-record%2FWOS:000394070900002","View Full Record in Web of Science")</f>
        <v>View Full Record in Web of Science</v>
      </c>
    </row>
    <row r="655" spans="1:30" x14ac:dyDescent="0.35">
      <c r="A655">
        <v>654</v>
      </c>
      <c r="B655" t="s">
        <v>3684</v>
      </c>
      <c r="C655" t="s">
        <v>9455</v>
      </c>
      <c r="D655" t="s">
        <v>3684</v>
      </c>
      <c r="E655" t="s">
        <v>2877</v>
      </c>
      <c r="F655" t="s">
        <v>3810</v>
      </c>
      <c r="G655" t="s">
        <v>9456</v>
      </c>
      <c r="H655" t="s">
        <v>9457</v>
      </c>
      <c r="I655" t="s">
        <v>9458</v>
      </c>
      <c r="J655" t="s">
        <v>9459</v>
      </c>
      <c r="K655" t="s">
        <v>9460</v>
      </c>
      <c r="L655">
        <v>90</v>
      </c>
      <c r="M655" t="s">
        <v>4033</v>
      </c>
      <c r="N655" t="s">
        <v>4034</v>
      </c>
      <c r="O655" t="s">
        <v>5063</v>
      </c>
      <c r="P655" t="s">
        <v>4036</v>
      </c>
      <c r="Q655" t="s">
        <v>4037</v>
      </c>
      <c r="R655" t="s">
        <v>4038</v>
      </c>
      <c r="S655" t="s">
        <v>4039</v>
      </c>
      <c r="T655" t="s">
        <v>5045</v>
      </c>
      <c r="U655">
        <v>2015</v>
      </c>
      <c r="V655">
        <v>28</v>
      </c>
      <c r="W655">
        <v>8</v>
      </c>
      <c r="X655" t="s">
        <v>9461</v>
      </c>
      <c r="Y655" t="str">
        <f>HYPERLINK("http://dx.doi.org/10.1175/JCLI-D-14-00740.1","http://dx.doi.org/10.1175/JCLI-D-14-00740.1")</f>
        <v>http://dx.doi.org/10.1175/JCLI-D-14-00740.1</v>
      </c>
      <c r="Z655" t="s">
        <v>3825</v>
      </c>
      <c r="AA655" t="s">
        <v>3826</v>
      </c>
      <c r="AB655" s="3">
        <v>45672</v>
      </c>
      <c r="AC655" t="s">
        <v>9462</v>
      </c>
      <c r="AD655" t="str">
        <f>HYPERLINK("https%3A%2F%2Fwww.webofscience.com%2Fwos%2Fwoscc%2Ffull-record%2FWOS:000352487300008","View Full Record in Web of Science")</f>
        <v>View Full Record in Web of Science</v>
      </c>
    </row>
    <row r="656" spans="1:30" x14ac:dyDescent="0.35">
      <c r="A656">
        <v>655</v>
      </c>
      <c r="B656" t="s">
        <v>3685</v>
      </c>
      <c r="C656" t="s">
        <v>9463</v>
      </c>
      <c r="D656" t="s">
        <v>3685</v>
      </c>
      <c r="E656" t="s">
        <v>2931</v>
      </c>
      <c r="F656" t="s">
        <v>3810</v>
      </c>
      <c r="G656" t="s">
        <v>9464</v>
      </c>
      <c r="H656" t="s">
        <v>9465</v>
      </c>
      <c r="I656" t="s">
        <v>9466</v>
      </c>
      <c r="J656" t="s">
        <v>9467</v>
      </c>
      <c r="K656" t="s">
        <v>9468</v>
      </c>
      <c r="L656">
        <v>61</v>
      </c>
      <c r="M656" t="s">
        <v>4277</v>
      </c>
      <c r="N656" t="s">
        <v>4278</v>
      </c>
      <c r="O656" t="s">
        <v>4279</v>
      </c>
      <c r="P656" t="s">
        <v>3808</v>
      </c>
      <c r="Q656" t="s">
        <v>5212</v>
      </c>
      <c r="R656" t="s">
        <v>5213</v>
      </c>
      <c r="S656" t="s">
        <v>5214</v>
      </c>
      <c r="T656" t="s">
        <v>3932</v>
      </c>
      <c r="U656">
        <v>2019</v>
      </c>
      <c r="V656">
        <v>8</v>
      </c>
      <c r="W656">
        <v>5</v>
      </c>
      <c r="X656" t="s">
        <v>9469</v>
      </c>
      <c r="Y656" t="str">
        <f>HYPERLINK("http://dx.doi.org/10.3390/ijgi8050211","http://dx.doi.org/10.3390/ijgi8050211")</f>
        <v>http://dx.doi.org/10.3390/ijgi8050211</v>
      </c>
      <c r="Z656" t="s">
        <v>5216</v>
      </c>
      <c r="AA656" t="s">
        <v>3826</v>
      </c>
      <c r="AB656" s="3">
        <v>45672</v>
      </c>
      <c r="AC656" t="s">
        <v>9470</v>
      </c>
      <c r="AD656" t="str">
        <f>HYPERLINK("https%3A%2F%2Fwww.webofscience.com%2Fwos%2Fwoscc%2Ffull-record%2FWOS:000470965400012","View Full Record in Web of Science")</f>
        <v>View Full Record in Web of Science</v>
      </c>
    </row>
    <row r="657" spans="1:30" x14ac:dyDescent="0.35">
      <c r="A657">
        <v>656</v>
      </c>
      <c r="B657" t="s">
        <v>3686</v>
      </c>
      <c r="C657" t="s">
        <v>9471</v>
      </c>
      <c r="D657" t="s">
        <v>3686</v>
      </c>
      <c r="E657" t="s">
        <v>2924</v>
      </c>
      <c r="F657" t="s">
        <v>3810</v>
      </c>
      <c r="G657" t="s">
        <v>9472</v>
      </c>
      <c r="H657" t="s">
        <v>9473</v>
      </c>
      <c r="I657" t="s">
        <v>9474</v>
      </c>
      <c r="J657" t="s">
        <v>9475</v>
      </c>
      <c r="K657" t="s">
        <v>9476</v>
      </c>
      <c r="L657">
        <v>10</v>
      </c>
      <c r="M657" t="s">
        <v>3911</v>
      </c>
      <c r="N657" t="s">
        <v>3912</v>
      </c>
      <c r="O657" t="s">
        <v>3913</v>
      </c>
      <c r="P657" t="s">
        <v>4965</v>
      </c>
      <c r="Q657" t="s">
        <v>4966</v>
      </c>
      <c r="R657" t="s">
        <v>4967</v>
      </c>
      <c r="S657" t="s">
        <v>4968</v>
      </c>
      <c r="T657" t="s">
        <v>5133</v>
      </c>
      <c r="U657">
        <v>2019</v>
      </c>
      <c r="V657">
        <v>46</v>
      </c>
      <c r="W657">
        <v>9</v>
      </c>
      <c r="X657" t="s">
        <v>9477</v>
      </c>
      <c r="Y657" t="str">
        <f>HYPERLINK("http://dx.doi.org/10.1029/2019GL081939","http://dx.doi.org/10.1029/2019GL081939")</f>
        <v>http://dx.doi.org/10.1029/2019GL081939</v>
      </c>
      <c r="Z657" t="s">
        <v>4116</v>
      </c>
      <c r="AA657" t="s">
        <v>3826</v>
      </c>
      <c r="AB657" s="3">
        <v>45672</v>
      </c>
      <c r="AC657" t="s">
        <v>9478</v>
      </c>
      <c r="AD657" t="str">
        <f>HYPERLINK("https%3A%2F%2Fwww.webofscience.com%2Fwos%2Fwoscc%2Ffull-record%2FWOS:000468869500027","View Full Record in Web of Science")</f>
        <v>View Full Record in Web of Science</v>
      </c>
    </row>
    <row r="658" spans="1:30" x14ac:dyDescent="0.35">
      <c r="A658">
        <v>657</v>
      </c>
      <c r="B658" t="s">
        <v>3687</v>
      </c>
      <c r="C658" t="s">
        <v>9479</v>
      </c>
      <c r="D658" t="s">
        <v>3687</v>
      </c>
      <c r="E658" t="s">
        <v>2866</v>
      </c>
      <c r="F658" t="s">
        <v>3810</v>
      </c>
      <c r="G658" t="s">
        <v>9480</v>
      </c>
      <c r="H658" t="s">
        <v>9481</v>
      </c>
      <c r="I658" t="s">
        <v>9482</v>
      </c>
      <c r="J658" t="s">
        <v>9483</v>
      </c>
      <c r="K658" t="s">
        <v>9484</v>
      </c>
      <c r="L658">
        <v>30</v>
      </c>
      <c r="M658" t="s">
        <v>3850</v>
      </c>
      <c r="N658" t="s">
        <v>3851</v>
      </c>
      <c r="O658" t="s">
        <v>3852</v>
      </c>
      <c r="P658" t="s">
        <v>3853</v>
      </c>
      <c r="Q658" t="s">
        <v>3854</v>
      </c>
      <c r="R658" t="s">
        <v>3855</v>
      </c>
      <c r="S658" t="s">
        <v>3856</v>
      </c>
      <c r="T658" t="s">
        <v>4154</v>
      </c>
      <c r="U658">
        <v>2017</v>
      </c>
      <c r="V658">
        <v>37</v>
      </c>
      <c r="W658">
        <v>4</v>
      </c>
      <c r="X658" t="s">
        <v>9485</v>
      </c>
      <c r="Y658" t="str">
        <f>HYPERLINK("http://dx.doi.org/10.1002/joc.4836","http://dx.doi.org/10.1002/joc.4836")</f>
        <v>http://dx.doi.org/10.1002/joc.4836</v>
      </c>
      <c r="Z658" t="s">
        <v>3825</v>
      </c>
      <c r="AA658" t="s">
        <v>3826</v>
      </c>
      <c r="AB658" s="3">
        <v>45672</v>
      </c>
      <c r="AC658" t="s">
        <v>9486</v>
      </c>
      <c r="AD658" t="str">
        <f>HYPERLINK("https%3A%2F%2Fwww.webofscience.com%2Fwos%2Fwoscc%2Ffull-record%2FWOS:000397497700030","View Full Record in Web of Science")</f>
        <v>View Full Record in Web of Science</v>
      </c>
    </row>
    <row r="659" spans="1:30" x14ac:dyDescent="0.35">
      <c r="A659">
        <v>658</v>
      </c>
      <c r="B659" t="s">
        <v>3688</v>
      </c>
      <c r="C659" t="s">
        <v>9487</v>
      </c>
      <c r="D659" t="s">
        <v>3688</v>
      </c>
      <c r="E659" t="s">
        <v>2962</v>
      </c>
      <c r="F659" t="s">
        <v>3810</v>
      </c>
      <c r="G659" t="s">
        <v>9488</v>
      </c>
      <c r="H659" t="s">
        <v>9489</v>
      </c>
      <c r="I659" t="s">
        <v>9490</v>
      </c>
      <c r="J659" t="s">
        <v>9491</v>
      </c>
      <c r="K659" t="s">
        <v>9492</v>
      </c>
      <c r="L659">
        <v>20</v>
      </c>
      <c r="M659" t="s">
        <v>3850</v>
      </c>
      <c r="N659" t="s">
        <v>3851</v>
      </c>
      <c r="O659" t="s">
        <v>3852</v>
      </c>
      <c r="P659" t="s">
        <v>6497</v>
      </c>
      <c r="Q659" t="s">
        <v>6498</v>
      </c>
      <c r="R659" t="s">
        <v>6499</v>
      </c>
      <c r="S659" t="s">
        <v>6500</v>
      </c>
      <c r="T659" t="s">
        <v>3918</v>
      </c>
      <c r="U659">
        <v>2017</v>
      </c>
      <c r="V659">
        <v>42</v>
      </c>
      <c r="W659">
        <v>9</v>
      </c>
      <c r="X659" t="s">
        <v>9493</v>
      </c>
      <c r="Y659" t="str">
        <f>HYPERLINK("http://dx.doi.org/10.1002/esp.4107","http://dx.doi.org/10.1002/esp.4107")</f>
        <v>http://dx.doi.org/10.1002/esp.4107</v>
      </c>
      <c r="Z659" t="s">
        <v>4203</v>
      </c>
      <c r="AA659" t="s">
        <v>3826</v>
      </c>
      <c r="AB659" s="3">
        <v>45672</v>
      </c>
      <c r="AC659" t="s">
        <v>9494</v>
      </c>
      <c r="AD659" t="str">
        <f>HYPERLINK("https%3A%2F%2Fwww.webofscience.com%2Fwos%2Fwoscc%2Ffull-record%2FWOS:000405116600004","View Full Record in Web of Science")</f>
        <v>View Full Record in Web of Science</v>
      </c>
    </row>
    <row r="660" spans="1:30" x14ac:dyDescent="0.35">
      <c r="A660">
        <v>659</v>
      </c>
      <c r="B660" t="s">
        <v>3689</v>
      </c>
      <c r="C660" t="s">
        <v>9495</v>
      </c>
      <c r="D660" t="s">
        <v>3689</v>
      </c>
      <c r="E660" t="s">
        <v>2900</v>
      </c>
      <c r="F660" t="s">
        <v>3810</v>
      </c>
      <c r="G660" t="s">
        <v>9496</v>
      </c>
      <c r="H660" t="s">
        <v>9497</v>
      </c>
      <c r="I660" t="s">
        <v>9498</v>
      </c>
      <c r="J660" t="s">
        <v>9499</v>
      </c>
      <c r="K660" t="s">
        <v>9500</v>
      </c>
      <c r="L660">
        <v>21</v>
      </c>
      <c r="M660" t="s">
        <v>4339</v>
      </c>
      <c r="N660" t="s">
        <v>4340</v>
      </c>
      <c r="O660" t="s">
        <v>4341</v>
      </c>
      <c r="P660" t="s">
        <v>4342</v>
      </c>
      <c r="Q660" t="s">
        <v>3808</v>
      </c>
      <c r="R660" t="s">
        <v>4344</v>
      </c>
      <c r="S660" t="s">
        <v>4345</v>
      </c>
      <c r="T660" t="s">
        <v>9501</v>
      </c>
      <c r="U660">
        <v>2017</v>
      </c>
      <c r="V660">
        <v>17</v>
      </c>
      <c r="W660">
        <v>5</v>
      </c>
      <c r="X660" t="s">
        <v>9502</v>
      </c>
      <c r="Y660" t="str">
        <f>HYPERLINK("http://dx.doi.org/10.5194/nhess-17-765-2017","http://dx.doi.org/10.5194/nhess-17-765-2017")</f>
        <v>http://dx.doi.org/10.5194/nhess-17-765-2017</v>
      </c>
      <c r="Z660" t="s">
        <v>3934</v>
      </c>
      <c r="AA660" t="s">
        <v>3826</v>
      </c>
      <c r="AB660" s="3">
        <v>45672</v>
      </c>
      <c r="AC660" t="s">
        <v>9503</v>
      </c>
      <c r="AD660" t="str">
        <f>HYPERLINK("https%3A%2F%2Fwww.webofscience.com%2Fwos%2Fwoscc%2Ffull-record%2FWOS:000402402300001","View Full Record in Web of Science")</f>
        <v>View Full Record in Web of Science</v>
      </c>
    </row>
    <row r="661" spans="1:30" x14ac:dyDescent="0.35">
      <c r="A661">
        <v>660</v>
      </c>
      <c r="B661" t="s">
        <v>3690</v>
      </c>
      <c r="C661" t="s">
        <v>9504</v>
      </c>
      <c r="D661" t="s">
        <v>3690</v>
      </c>
      <c r="E661" t="s">
        <v>2872</v>
      </c>
      <c r="F661" t="s">
        <v>3810</v>
      </c>
      <c r="G661" t="s">
        <v>9505</v>
      </c>
      <c r="H661" t="s">
        <v>9506</v>
      </c>
      <c r="I661" t="s">
        <v>9507</v>
      </c>
      <c r="J661" t="s">
        <v>9508</v>
      </c>
      <c r="K661" t="s">
        <v>9509</v>
      </c>
      <c r="L661">
        <v>7</v>
      </c>
      <c r="M661" t="s">
        <v>3951</v>
      </c>
      <c r="N661" t="s">
        <v>3952</v>
      </c>
      <c r="O661" t="s">
        <v>3953</v>
      </c>
      <c r="P661" t="s">
        <v>3954</v>
      </c>
      <c r="Q661" t="s">
        <v>3955</v>
      </c>
      <c r="R661" t="s">
        <v>3956</v>
      </c>
      <c r="S661" t="s">
        <v>3957</v>
      </c>
      <c r="T661" t="s">
        <v>3932</v>
      </c>
      <c r="U661">
        <v>2023</v>
      </c>
      <c r="V661">
        <v>620</v>
      </c>
      <c r="W661" t="s">
        <v>3808</v>
      </c>
      <c r="X661" t="s">
        <v>9510</v>
      </c>
      <c r="Y661" t="str">
        <f>HYPERLINK("http://dx.doi.org/10.1016/j.jhydrol.2023.129444","http://dx.doi.org/10.1016/j.jhydrol.2023.129444")</f>
        <v>http://dx.doi.org/10.1016/j.jhydrol.2023.129444</v>
      </c>
      <c r="Z661" t="s">
        <v>3960</v>
      </c>
      <c r="AA661" t="s">
        <v>3826</v>
      </c>
      <c r="AB661" s="3">
        <v>45672</v>
      </c>
      <c r="AC661" t="s">
        <v>9511</v>
      </c>
      <c r="AD661" t="str">
        <f>HYPERLINK("https%3A%2F%2Fwww.webofscience.com%2Fwos%2Fwoscc%2Ffull-record%2FWOS:000977101700001","View Full Record in Web of Science")</f>
        <v>View Full Record in Web of Science</v>
      </c>
    </row>
    <row r="662" spans="1:30" x14ac:dyDescent="0.35">
      <c r="A662">
        <v>661</v>
      </c>
      <c r="B662" t="s">
        <v>3691</v>
      </c>
      <c r="C662" t="s">
        <v>9512</v>
      </c>
      <c r="D662" t="s">
        <v>3691</v>
      </c>
      <c r="E662" t="s">
        <v>3016</v>
      </c>
      <c r="F662" t="s">
        <v>3810</v>
      </c>
      <c r="G662" t="s">
        <v>9513</v>
      </c>
      <c r="H662" t="s">
        <v>9514</v>
      </c>
      <c r="I662" t="s">
        <v>9515</v>
      </c>
      <c r="J662" t="s">
        <v>9516</v>
      </c>
      <c r="K662" t="s">
        <v>9517</v>
      </c>
      <c r="L662">
        <v>1</v>
      </c>
      <c r="M662" t="s">
        <v>9518</v>
      </c>
      <c r="N662" t="s">
        <v>9519</v>
      </c>
      <c r="O662" t="s">
        <v>9520</v>
      </c>
      <c r="P662" t="s">
        <v>9521</v>
      </c>
      <c r="Q662" t="s">
        <v>3808</v>
      </c>
      <c r="R662" t="s">
        <v>9522</v>
      </c>
      <c r="S662" t="s">
        <v>9523</v>
      </c>
      <c r="T662" t="s">
        <v>3872</v>
      </c>
      <c r="U662">
        <v>2022</v>
      </c>
      <c r="V662">
        <v>49</v>
      </c>
      <c r="W662">
        <v>3</v>
      </c>
      <c r="X662" t="s">
        <v>9524</v>
      </c>
      <c r="Y662" t="str">
        <f>HYPERLINK("http://dx.doi.org/10.5027/andgeoV49n3-3399","http://dx.doi.org/10.5027/andgeoV49n3-3399")</f>
        <v>http://dx.doi.org/10.5027/andgeoV49n3-3399</v>
      </c>
      <c r="Z662" t="s">
        <v>3973</v>
      </c>
      <c r="AA662" t="s">
        <v>3826</v>
      </c>
      <c r="AB662" s="3">
        <v>45672</v>
      </c>
      <c r="AC662" t="s">
        <v>9525</v>
      </c>
      <c r="AD662" t="str">
        <f>HYPERLINK("https%3A%2F%2Fwww.webofscience.com%2Fwos%2Fwoscc%2Ffull-record%2FWOS:001129382000004","View Full Record in Web of Science")</f>
        <v>View Full Record in Web of Science</v>
      </c>
    </row>
    <row r="663" spans="1:30" x14ac:dyDescent="0.35">
      <c r="A663">
        <v>662</v>
      </c>
      <c r="B663" t="s">
        <v>3692</v>
      </c>
      <c r="C663" t="s">
        <v>9526</v>
      </c>
      <c r="D663" t="s">
        <v>3692</v>
      </c>
      <c r="E663" t="s">
        <v>3018</v>
      </c>
      <c r="F663" t="s">
        <v>3810</v>
      </c>
      <c r="G663" t="s">
        <v>9527</v>
      </c>
      <c r="H663" t="s">
        <v>9528</v>
      </c>
      <c r="I663" t="s">
        <v>9529</v>
      </c>
      <c r="J663" t="s">
        <v>7262</v>
      </c>
      <c r="K663" t="s">
        <v>9530</v>
      </c>
      <c r="L663">
        <v>5</v>
      </c>
      <c r="M663" t="s">
        <v>3911</v>
      </c>
      <c r="N663" t="s">
        <v>3912</v>
      </c>
      <c r="O663" t="s">
        <v>3913</v>
      </c>
      <c r="P663" t="s">
        <v>9531</v>
      </c>
      <c r="Q663" t="s">
        <v>9532</v>
      </c>
      <c r="R663" t="s">
        <v>9533</v>
      </c>
      <c r="S663" t="s">
        <v>9534</v>
      </c>
      <c r="T663" t="s">
        <v>4114</v>
      </c>
      <c r="U663">
        <v>2023</v>
      </c>
      <c r="V663">
        <v>128</v>
      </c>
      <c r="W663">
        <v>3</v>
      </c>
      <c r="X663" t="s">
        <v>9535</v>
      </c>
      <c r="Y663" t="str">
        <f>HYPERLINK("http://dx.doi.org/10.1029/2022JF007025","http://dx.doi.org/10.1029/2022JF007025")</f>
        <v>http://dx.doi.org/10.1029/2022JF007025</v>
      </c>
      <c r="Z663" t="s">
        <v>4116</v>
      </c>
      <c r="AA663" t="s">
        <v>3826</v>
      </c>
      <c r="AB663" s="3">
        <v>45672</v>
      </c>
      <c r="AC663" t="s">
        <v>9536</v>
      </c>
      <c r="AD663" t="str">
        <f>HYPERLINK("https%3A%2F%2Fwww.webofscience.com%2Fwos%2Fwoscc%2Ffull-record%2FWOS:000943135000001","View Full Record in Web of Science")</f>
        <v>View Full Record in Web of Science</v>
      </c>
    </row>
    <row r="664" spans="1:30" x14ac:dyDescent="0.35">
      <c r="A664">
        <v>663</v>
      </c>
      <c r="B664" t="s">
        <v>3693</v>
      </c>
      <c r="C664" t="s">
        <v>9537</v>
      </c>
      <c r="D664" t="s">
        <v>3693</v>
      </c>
      <c r="E664" t="s">
        <v>2872</v>
      </c>
      <c r="F664" t="s">
        <v>3810</v>
      </c>
      <c r="G664" t="s">
        <v>9538</v>
      </c>
      <c r="H664" t="s">
        <v>9539</v>
      </c>
      <c r="I664" t="s">
        <v>9540</v>
      </c>
      <c r="J664" t="s">
        <v>9541</v>
      </c>
      <c r="K664" t="s">
        <v>9542</v>
      </c>
      <c r="L664">
        <v>3</v>
      </c>
      <c r="M664" t="s">
        <v>3951</v>
      </c>
      <c r="N664" t="s">
        <v>3952</v>
      </c>
      <c r="O664" t="s">
        <v>3953</v>
      </c>
      <c r="P664" t="s">
        <v>3954</v>
      </c>
      <c r="Q664" t="s">
        <v>3955</v>
      </c>
      <c r="R664" t="s">
        <v>3956</v>
      </c>
      <c r="S664" t="s">
        <v>3957</v>
      </c>
      <c r="T664" t="s">
        <v>4001</v>
      </c>
      <c r="U664">
        <v>2023</v>
      </c>
      <c r="V664">
        <v>616</v>
      </c>
      <c r="W664" t="s">
        <v>3808</v>
      </c>
      <c r="X664" t="s">
        <v>9543</v>
      </c>
      <c r="Y664" t="str">
        <f>HYPERLINK("http://dx.doi.org/10.1016/j.jhydrol.2022.128809","http://dx.doi.org/10.1016/j.jhydrol.2022.128809")</f>
        <v>http://dx.doi.org/10.1016/j.jhydrol.2022.128809</v>
      </c>
      <c r="Z664" t="s">
        <v>3960</v>
      </c>
      <c r="AA664" t="s">
        <v>3826</v>
      </c>
      <c r="AB664" s="3">
        <v>45672</v>
      </c>
      <c r="AC664" t="s">
        <v>9544</v>
      </c>
      <c r="AD664" t="str">
        <f>HYPERLINK("https%3A%2F%2Fwww.webofscience.com%2Fwos%2Fwoscc%2Ffull-record%2FWOS:000896643700002","View Full Record in Web of Science")</f>
        <v>View Full Record in Web of Science</v>
      </c>
    </row>
    <row r="665" spans="1:30" x14ac:dyDescent="0.35">
      <c r="A665">
        <v>664</v>
      </c>
      <c r="B665" t="s">
        <v>3694</v>
      </c>
      <c r="C665" t="s">
        <v>9545</v>
      </c>
      <c r="D665" t="s">
        <v>3694</v>
      </c>
      <c r="E665" t="s">
        <v>2872</v>
      </c>
      <c r="F665" t="s">
        <v>3810</v>
      </c>
      <c r="G665" t="s">
        <v>9546</v>
      </c>
      <c r="H665" t="s">
        <v>9547</v>
      </c>
      <c r="I665" t="s">
        <v>9548</v>
      </c>
      <c r="J665" t="s">
        <v>9549</v>
      </c>
      <c r="K665" t="s">
        <v>9550</v>
      </c>
      <c r="L665">
        <v>13</v>
      </c>
      <c r="M665" t="s">
        <v>3951</v>
      </c>
      <c r="N665" t="s">
        <v>3952</v>
      </c>
      <c r="O665" t="s">
        <v>3953</v>
      </c>
      <c r="P665" t="s">
        <v>3954</v>
      </c>
      <c r="Q665" t="s">
        <v>3955</v>
      </c>
      <c r="R665" t="s">
        <v>3956</v>
      </c>
      <c r="S665" t="s">
        <v>3957</v>
      </c>
      <c r="T665" t="s">
        <v>4001</v>
      </c>
      <c r="U665">
        <v>2022</v>
      </c>
      <c r="V665">
        <v>604</v>
      </c>
      <c r="W665" t="s">
        <v>3808</v>
      </c>
      <c r="X665" t="s">
        <v>9551</v>
      </c>
      <c r="Y665" t="str">
        <f>HYPERLINK("http://dx.doi.org/10.1016/j.jhydrol.2021.127256","http://dx.doi.org/10.1016/j.jhydrol.2021.127256")</f>
        <v>http://dx.doi.org/10.1016/j.jhydrol.2021.127256</v>
      </c>
      <c r="Z665" t="s">
        <v>3960</v>
      </c>
      <c r="AA665" t="s">
        <v>3826</v>
      </c>
      <c r="AB665" s="3">
        <v>45672</v>
      </c>
      <c r="AC665" t="s">
        <v>9552</v>
      </c>
      <c r="AD665" t="str">
        <f>HYPERLINK("https%3A%2F%2Fwww.webofscience.com%2Fwos%2Fwoscc%2Ffull-record%2FWOS:000751941900004","View Full Record in Web of Science")</f>
        <v>View Full Record in Web of Science</v>
      </c>
    </row>
    <row r="666" spans="1:30" x14ac:dyDescent="0.35">
      <c r="A666">
        <v>665</v>
      </c>
      <c r="B666" t="s">
        <v>3695</v>
      </c>
      <c r="C666" t="s">
        <v>9553</v>
      </c>
      <c r="D666" t="s">
        <v>3695</v>
      </c>
      <c r="E666" t="s">
        <v>2928</v>
      </c>
      <c r="F666" t="s">
        <v>3810</v>
      </c>
      <c r="G666" t="s">
        <v>9554</v>
      </c>
      <c r="H666" t="s">
        <v>9555</v>
      </c>
      <c r="I666" t="s">
        <v>9556</v>
      </c>
      <c r="J666" t="s">
        <v>9557</v>
      </c>
      <c r="K666" t="s">
        <v>9558</v>
      </c>
      <c r="L666">
        <v>0</v>
      </c>
      <c r="M666" t="s">
        <v>3911</v>
      </c>
      <c r="N666" t="s">
        <v>3912</v>
      </c>
      <c r="O666" t="s">
        <v>3913</v>
      </c>
      <c r="P666" t="s">
        <v>5129</v>
      </c>
      <c r="Q666" t="s">
        <v>5130</v>
      </c>
      <c r="R666" t="s">
        <v>5131</v>
      </c>
      <c r="S666" t="s">
        <v>5132</v>
      </c>
      <c r="T666" t="s">
        <v>5054</v>
      </c>
      <c r="U666">
        <v>2022</v>
      </c>
      <c r="V666">
        <v>127</v>
      </c>
      <c r="W666">
        <v>18</v>
      </c>
      <c r="X666" t="s">
        <v>9559</v>
      </c>
      <c r="Y666" t="str">
        <f>HYPERLINK("http://dx.doi.org/10.1029/2022JD036754","http://dx.doi.org/10.1029/2022JD036754")</f>
        <v>http://dx.doi.org/10.1029/2022JD036754</v>
      </c>
      <c r="Z666" t="s">
        <v>3825</v>
      </c>
      <c r="AA666" t="s">
        <v>3826</v>
      </c>
      <c r="AB666" s="3">
        <v>45672</v>
      </c>
      <c r="AC666" t="s">
        <v>9560</v>
      </c>
      <c r="AD666" t="str">
        <f>HYPERLINK("https%3A%2F%2Fwww.webofscience.com%2Fwos%2Fwoscc%2Ffull-record%2FWOS:000859017000001","View Full Record in Web of Science")</f>
        <v>View Full Record in Web of Science</v>
      </c>
    </row>
    <row r="667" spans="1:30" x14ac:dyDescent="0.35">
      <c r="A667">
        <v>666</v>
      </c>
      <c r="B667" t="s">
        <v>3696</v>
      </c>
      <c r="C667" t="s">
        <v>9561</v>
      </c>
      <c r="D667" t="s">
        <v>3696</v>
      </c>
      <c r="E667" t="s">
        <v>2951</v>
      </c>
      <c r="F667" t="s">
        <v>3810</v>
      </c>
      <c r="G667" t="s">
        <v>9562</v>
      </c>
      <c r="H667" t="s">
        <v>9563</v>
      </c>
      <c r="I667" t="s">
        <v>3808</v>
      </c>
      <c r="K667" t="s">
        <v>3808</v>
      </c>
      <c r="L667">
        <v>0</v>
      </c>
      <c r="M667" t="s">
        <v>6159</v>
      </c>
      <c r="N667" t="s">
        <v>3952</v>
      </c>
      <c r="O667" t="s">
        <v>6160</v>
      </c>
      <c r="P667" t="s">
        <v>6161</v>
      </c>
      <c r="Q667" t="s">
        <v>6162</v>
      </c>
      <c r="R667" t="s">
        <v>6163</v>
      </c>
      <c r="S667" t="s">
        <v>6164</v>
      </c>
      <c r="T667" t="s">
        <v>3808</v>
      </c>
      <c r="U667">
        <v>2023</v>
      </c>
      <c r="V667">
        <v>9</v>
      </c>
      <c r="W667">
        <v>3</v>
      </c>
      <c r="X667" t="s">
        <v>9564</v>
      </c>
      <c r="Y667" t="str">
        <f>HYPERLINK("http://dx.doi.org/10.3233/JCC230024","http://dx.doi.org/10.3233/JCC230024")</f>
        <v>http://dx.doi.org/10.3233/JCC230024</v>
      </c>
      <c r="Z667" t="s">
        <v>3825</v>
      </c>
      <c r="AA667" t="s">
        <v>4117</v>
      </c>
      <c r="AB667" s="3">
        <v>45672</v>
      </c>
      <c r="AC667" t="s">
        <v>9565</v>
      </c>
      <c r="AD667" t="str">
        <f>HYPERLINK("https%3A%2F%2Fwww.webofscience.com%2Fwos%2Fwoscc%2Ffull-record%2FWOS:001064161100008","View Full Record in Web of Science")</f>
        <v>View Full Record in Web of Science</v>
      </c>
    </row>
    <row r="668" spans="1:30" x14ac:dyDescent="0.35">
      <c r="A668">
        <v>667</v>
      </c>
      <c r="B668" t="s">
        <v>3697</v>
      </c>
      <c r="C668" t="s">
        <v>9566</v>
      </c>
      <c r="D668" t="s">
        <v>3697</v>
      </c>
      <c r="E668" t="s">
        <v>2949</v>
      </c>
      <c r="F668" t="s">
        <v>3810</v>
      </c>
      <c r="G668" t="s">
        <v>9567</v>
      </c>
      <c r="H668" t="s">
        <v>9568</v>
      </c>
      <c r="I668" t="s">
        <v>9399</v>
      </c>
      <c r="J668" t="s">
        <v>9569</v>
      </c>
      <c r="K668" t="s">
        <v>9570</v>
      </c>
      <c r="L668">
        <v>26</v>
      </c>
      <c r="M668" t="s">
        <v>4406</v>
      </c>
      <c r="N668" t="s">
        <v>3835</v>
      </c>
      <c r="O668" t="s">
        <v>4407</v>
      </c>
      <c r="P668" t="s">
        <v>6000</v>
      </c>
      <c r="Q668" t="s">
        <v>3808</v>
      </c>
      <c r="R668" t="s">
        <v>6001</v>
      </c>
      <c r="S668" t="s">
        <v>6002</v>
      </c>
      <c r="T668" t="s">
        <v>9571</v>
      </c>
      <c r="U668">
        <v>2019</v>
      </c>
      <c r="V668">
        <v>6</v>
      </c>
      <c r="W668" t="s">
        <v>3808</v>
      </c>
      <c r="X668" t="s">
        <v>9572</v>
      </c>
      <c r="Y668" t="str">
        <f>HYPERLINK("http://dx.doi.org/10.1186/s40562-019-0134-2","http://dx.doi.org/10.1186/s40562-019-0134-2")</f>
        <v>http://dx.doi.org/10.1186/s40562-019-0134-2</v>
      </c>
      <c r="Z668" t="s">
        <v>4455</v>
      </c>
      <c r="AA668" t="s">
        <v>3826</v>
      </c>
      <c r="AB668" s="3">
        <v>45672</v>
      </c>
      <c r="AC668" t="s">
        <v>9573</v>
      </c>
      <c r="AD668" t="str">
        <f>HYPERLINK("https%3A%2F%2Fwww.webofscience.com%2Fwos%2Fwoscc%2Ffull-record%2FWOS:000465590500001","View Full Record in Web of Science")</f>
        <v>View Full Record in Web of Science</v>
      </c>
    </row>
    <row r="669" spans="1:30" x14ac:dyDescent="0.35">
      <c r="A669">
        <v>668</v>
      </c>
      <c r="B669" t="s">
        <v>3698</v>
      </c>
      <c r="C669" t="s">
        <v>9574</v>
      </c>
      <c r="D669" t="s">
        <v>3698</v>
      </c>
      <c r="E669" t="s">
        <v>2866</v>
      </c>
      <c r="F669" t="s">
        <v>3810</v>
      </c>
      <c r="G669" t="s">
        <v>9575</v>
      </c>
      <c r="H669" t="s">
        <v>9576</v>
      </c>
      <c r="I669" t="s">
        <v>9577</v>
      </c>
      <c r="K669" t="s">
        <v>3808</v>
      </c>
      <c r="L669">
        <v>12</v>
      </c>
      <c r="M669" t="s">
        <v>3850</v>
      </c>
      <c r="N669" t="s">
        <v>3851</v>
      </c>
      <c r="O669" t="s">
        <v>3852</v>
      </c>
      <c r="P669" t="s">
        <v>3853</v>
      </c>
      <c r="Q669" t="s">
        <v>3854</v>
      </c>
      <c r="R669" t="s">
        <v>3855</v>
      </c>
      <c r="S669" t="s">
        <v>3856</v>
      </c>
      <c r="T669" t="s">
        <v>4723</v>
      </c>
      <c r="U669">
        <v>2015</v>
      </c>
      <c r="V669">
        <v>35</v>
      </c>
      <c r="W669">
        <v>7</v>
      </c>
      <c r="X669" t="s">
        <v>9578</v>
      </c>
      <c r="Y669" t="str">
        <f>HYPERLINK("http://dx.doi.org/10.1002/joc.4071","http://dx.doi.org/10.1002/joc.4071")</f>
        <v>http://dx.doi.org/10.1002/joc.4071</v>
      </c>
      <c r="Z669" t="s">
        <v>3825</v>
      </c>
      <c r="AA669" t="s">
        <v>3826</v>
      </c>
      <c r="AB669" s="3">
        <v>45672</v>
      </c>
      <c r="AC669" t="s">
        <v>9579</v>
      </c>
      <c r="AD669" t="str">
        <f>HYPERLINK("https%3A%2F%2Fwww.webofscience.com%2Fwos%2Fwoscc%2Ffull-record%2FWOS:000355953600023","View Full Record in Web of Science")</f>
        <v>View Full Record in Web of Science</v>
      </c>
    </row>
    <row r="670" spans="1:30" x14ac:dyDescent="0.35">
      <c r="A670">
        <v>669</v>
      </c>
      <c r="B670" t="s">
        <v>3699</v>
      </c>
      <c r="C670" t="s">
        <v>9580</v>
      </c>
      <c r="D670" t="s">
        <v>3699</v>
      </c>
      <c r="E670" t="s">
        <v>2954</v>
      </c>
      <c r="F670" t="s">
        <v>3810</v>
      </c>
      <c r="G670" t="s">
        <v>9581</v>
      </c>
      <c r="H670" t="s">
        <v>9582</v>
      </c>
      <c r="I670" t="s">
        <v>9583</v>
      </c>
      <c r="J670" t="s">
        <v>9584</v>
      </c>
      <c r="K670" t="s">
        <v>9585</v>
      </c>
      <c r="L670">
        <v>9</v>
      </c>
      <c r="M670" t="s">
        <v>4046</v>
      </c>
      <c r="N670" t="s">
        <v>4047</v>
      </c>
      <c r="O670" t="s">
        <v>4048</v>
      </c>
      <c r="P670" t="s">
        <v>6219</v>
      </c>
      <c r="Q670" t="s">
        <v>6220</v>
      </c>
      <c r="R670" t="s">
        <v>6221</v>
      </c>
      <c r="S670" t="s">
        <v>6222</v>
      </c>
      <c r="T670" t="s">
        <v>5045</v>
      </c>
      <c r="U670">
        <v>2018</v>
      </c>
      <c r="V670">
        <v>169</v>
      </c>
      <c r="W670" t="s">
        <v>3808</v>
      </c>
      <c r="X670" t="s">
        <v>9586</v>
      </c>
      <c r="Y670" t="str">
        <f>HYPERLINK("http://dx.doi.org/10.1016/j.jastp.2018.01.016","http://dx.doi.org/10.1016/j.jastp.2018.01.016")</f>
        <v>http://dx.doi.org/10.1016/j.jastp.2018.01.016</v>
      </c>
      <c r="Z670" t="s">
        <v>5256</v>
      </c>
      <c r="AA670" t="s">
        <v>3826</v>
      </c>
      <c r="AB670" s="3">
        <v>45672</v>
      </c>
      <c r="AC670" t="s">
        <v>9587</v>
      </c>
      <c r="AD670" t="str">
        <f>HYPERLINK("https%3A%2F%2Fwww.webofscience.com%2Fwos%2Fwoscc%2Ffull-record%2FWOS:000427336100007","View Full Record in Web of Science")</f>
        <v>View Full Record in Web of Science</v>
      </c>
    </row>
    <row r="671" spans="1:30" x14ac:dyDescent="0.35">
      <c r="A671">
        <v>670</v>
      </c>
      <c r="B671" t="s">
        <v>3700</v>
      </c>
      <c r="C671" t="s">
        <v>9588</v>
      </c>
      <c r="D671" t="s">
        <v>3700</v>
      </c>
      <c r="E671" t="s">
        <v>2886</v>
      </c>
      <c r="F671" t="s">
        <v>3810</v>
      </c>
      <c r="G671" t="s">
        <v>9589</v>
      </c>
      <c r="H671" t="s">
        <v>9590</v>
      </c>
      <c r="I671" t="s">
        <v>9591</v>
      </c>
      <c r="K671" t="s">
        <v>3808</v>
      </c>
      <c r="L671">
        <v>13</v>
      </c>
      <c r="M671" t="s">
        <v>4061</v>
      </c>
      <c r="N671" t="s">
        <v>4062</v>
      </c>
      <c r="O671" t="s">
        <v>4063</v>
      </c>
      <c r="P671" t="s">
        <v>4125</v>
      </c>
      <c r="Q671" t="s">
        <v>4126</v>
      </c>
      <c r="R671" t="s">
        <v>4127</v>
      </c>
      <c r="S671" t="s">
        <v>4128</v>
      </c>
      <c r="T671" t="s">
        <v>3958</v>
      </c>
      <c r="U671">
        <v>2016</v>
      </c>
      <c r="V671">
        <v>9</v>
      </c>
      <c r="W671">
        <v>17</v>
      </c>
      <c r="X671" t="s">
        <v>9592</v>
      </c>
      <c r="Y671" t="str">
        <f>HYPERLINK("http://dx.doi.org/10.1007/s12517-016-2716-z","http://dx.doi.org/10.1007/s12517-016-2716-z")</f>
        <v>http://dx.doi.org/10.1007/s12517-016-2716-z</v>
      </c>
      <c r="Z671" t="s">
        <v>4116</v>
      </c>
      <c r="AA671" t="s">
        <v>3826</v>
      </c>
      <c r="AB671" s="3">
        <v>45672</v>
      </c>
      <c r="AC671" t="s">
        <v>9593</v>
      </c>
      <c r="AD671" t="str">
        <f>HYPERLINK("https%3A%2F%2Fwww.webofscience.com%2Fwos%2Fwoscc%2Ffull-record%2FWOS:000387152300005","View Full Record in Web of Science")</f>
        <v>View Full Record in Web of Science</v>
      </c>
    </row>
    <row r="672" spans="1:30" x14ac:dyDescent="0.35">
      <c r="A672">
        <v>671</v>
      </c>
      <c r="B672" t="s">
        <v>3701</v>
      </c>
      <c r="C672" t="s">
        <v>9594</v>
      </c>
      <c r="D672" t="s">
        <v>3701</v>
      </c>
      <c r="E672" t="s">
        <v>2894</v>
      </c>
      <c r="F672" t="s">
        <v>3810</v>
      </c>
      <c r="G672" t="s">
        <v>9595</v>
      </c>
      <c r="H672" t="s">
        <v>9596</v>
      </c>
      <c r="I672" t="s">
        <v>9597</v>
      </c>
      <c r="J672" t="s">
        <v>9598</v>
      </c>
      <c r="K672" t="s">
        <v>9599</v>
      </c>
      <c r="L672">
        <v>23</v>
      </c>
      <c r="M672" t="s">
        <v>4252</v>
      </c>
      <c r="N672" t="s">
        <v>4355</v>
      </c>
      <c r="O672" t="s">
        <v>4356</v>
      </c>
      <c r="P672" t="s">
        <v>4255</v>
      </c>
      <c r="Q672" t="s">
        <v>4256</v>
      </c>
      <c r="R672" t="s">
        <v>4257</v>
      </c>
      <c r="S672" t="s">
        <v>4258</v>
      </c>
      <c r="T672" t="s">
        <v>3918</v>
      </c>
      <c r="U672">
        <v>2015</v>
      </c>
      <c r="V672">
        <v>121</v>
      </c>
      <c r="W672" t="s">
        <v>4259</v>
      </c>
      <c r="X672" t="s">
        <v>9600</v>
      </c>
      <c r="Y672" t="str">
        <f>HYPERLINK("http://dx.doi.org/10.1007/s00704-014-1225-9","http://dx.doi.org/10.1007/s00704-014-1225-9")</f>
        <v>http://dx.doi.org/10.1007/s00704-014-1225-9</v>
      </c>
      <c r="Z672" t="s">
        <v>3825</v>
      </c>
      <c r="AA672" t="s">
        <v>3826</v>
      </c>
      <c r="AB672" s="3">
        <v>45672</v>
      </c>
      <c r="AC672" t="s">
        <v>9601</v>
      </c>
      <c r="AD672" t="str">
        <f>HYPERLINK("https%3A%2F%2Fwww.webofscience.com%2Fwos%2Fwoscc%2Ffull-record%2FWOS:000356539300007","View Full Record in Web of Science")</f>
        <v>View Full Record in Web of Science</v>
      </c>
    </row>
    <row r="673" spans="1:30" x14ac:dyDescent="0.35">
      <c r="A673">
        <v>672</v>
      </c>
      <c r="B673" t="s">
        <v>3702</v>
      </c>
      <c r="C673" t="s">
        <v>9602</v>
      </c>
      <c r="D673" t="s">
        <v>3702</v>
      </c>
      <c r="E673" t="s">
        <v>2867</v>
      </c>
      <c r="F673" t="s">
        <v>3810</v>
      </c>
      <c r="G673" t="s">
        <v>9603</v>
      </c>
      <c r="H673" t="s">
        <v>9604</v>
      </c>
      <c r="I673" t="s">
        <v>9605</v>
      </c>
      <c r="J673" t="s">
        <v>9606</v>
      </c>
      <c r="K673" t="s">
        <v>9607</v>
      </c>
      <c r="L673">
        <v>8</v>
      </c>
      <c r="M673" t="s">
        <v>3866</v>
      </c>
      <c r="N673" t="s">
        <v>3817</v>
      </c>
      <c r="O673" t="s">
        <v>3867</v>
      </c>
      <c r="P673" t="s">
        <v>3868</v>
      </c>
      <c r="Q673" t="s">
        <v>3869</v>
      </c>
      <c r="R673" t="s">
        <v>3870</v>
      </c>
      <c r="S673" t="s">
        <v>3871</v>
      </c>
      <c r="T673" t="s">
        <v>4001</v>
      </c>
      <c r="U673">
        <v>2021</v>
      </c>
      <c r="V673">
        <v>56</v>
      </c>
      <c r="W673" t="s">
        <v>4259</v>
      </c>
      <c r="X673" t="s">
        <v>9608</v>
      </c>
      <c r="Y673" t="str">
        <f>HYPERLINK("http://dx.doi.org/10.1007/s00382-020-05486-x","http://dx.doi.org/10.1007/s00382-020-05486-x")</f>
        <v>http://dx.doi.org/10.1007/s00382-020-05486-x</v>
      </c>
      <c r="Z673" t="s">
        <v>3825</v>
      </c>
      <c r="AA673" t="s">
        <v>3826</v>
      </c>
      <c r="AB673" s="3">
        <v>45672</v>
      </c>
      <c r="AC673" t="s">
        <v>9609</v>
      </c>
      <c r="AD673" t="str">
        <f>HYPERLINK("https%3A%2F%2Fwww.webofscience.com%2Fwos%2Fwoscc%2Ffull-record%2FWOS:000578105800001","View Full Record in Web of Science")</f>
        <v>View Full Record in Web of Science</v>
      </c>
    </row>
    <row r="674" spans="1:30" x14ac:dyDescent="0.35">
      <c r="A674">
        <v>673</v>
      </c>
      <c r="B674" t="s">
        <v>3703</v>
      </c>
      <c r="C674" t="s">
        <v>9610</v>
      </c>
      <c r="D674" t="s">
        <v>3703</v>
      </c>
      <c r="E674" t="s">
        <v>3019</v>
      </c>
      <c r="F674" t="s">
        <v>3810</v>
      </c>
      <c r="G674" t="s">
        <v>9611</v>
      </c>
      <c r="H674" t="s">
        <v>9612</v>
      </c>
      <c r="I674" t="s">
        <v>9613</v>
      </c>
      <c r="J674" t="s">
        <v>9614</v>
      </c>
      <c r="K674" t="s">
        <v>9615</v>
      </c>
      <c r="L674">
        <v>1</v>
      </c>
      <c r="M674" t="s">
        <v>4339</v>
      </c>
      <c r="N674" t="s">
        <v>4340</v>
      </c>
      <c r="O674" t="s">
        <v>4341</v>
      </c>
      <c r="P674" t="s">
        <v>9616</v>
      </c>
      <c r="Q674" t="s">
        <v>9617</v>
      </c>
      <c r="R674" t="s">
        <v>9618</v>
      </c>
      <c r="S674" t="s">
        <v>9619</v>
      </c>
      <c r="T674" t="s">
        <v>3808</v>
      </c>
      <c r="U674">
        <v>2015</v>
      </c>
      <c r="V674">
        <v>33</v>
      </c>
      <c r="W674">
        <v>7</v>
      </c>
      <c r="X674" t="s">
        <v>9620</v>
      </c>
      <c r="Y674" t="str">
        <f>HYPERLINK("http://dx.doi.org/10.5194/angeo-33-789-2015","http://dx.doi.org/10.5194/angeo-33-789-2015")</f>
        <v>http://dx.doi.org/10.5194/angeo-33-789-2015</v>
      </c>
      <c r="Z674" t="s">
        <v>9621</v>
      </c>
      <c r="AA674" t="s">
        <v>3826</v>
      </c>
      <c r="AB674" s="3">
        <v>45672</v>
      </c>
      <c r="AC674" t="s">
        <v>9622</v>
      </c>
      <c r="AD674" t="str">
        <f>HYPERLINK("https%3A%2F%2Fwww.webofscience.com%2Fwos%2Fwoscc%2Ffull-record%2FWOS:000358800400001","View Full Record in Web of Science")</f>
        <v>View Full Record in Web of Science</v>
      </c>
    </row>
    <row r="675" spans="1:30" x14ac:dyDescent="0.35">
      <c r="A675">
        <v>674</v>
      </c>
      <c r="B675" t="s">
        <v>3704</v>
      </c>
      <c r="C675" t="s">
        <v>9623</v>
      </c>
      <c r="D675" t="s">
        <v>3704</v>
      </c>
      <c r="E675" t="s">
        <v>3020</v>
      </c>
      <c r="F675" t="s">
        <v>3810</v>
      </c>
      <c r="G675" t="s">
        <v>9624</v>
      </c>
      <c r="H675" t="s">
        <v>9625</v>
      </c>
      <c r="I675" t="s">
        <v>9626</v>
      </c>
      <c r="J675" t="s">
        <v>9627</v>
      </c>
      <c r="K675" t="s">
        <v>9628</v>
      </c>
      <c r="L675">
        <v>6</v>
      </c>
      <c r="M675" t="s">
        <v>3951</v>
      </c>
      <c r="N675" t="s">
        <v>3952</v>
      </c>
      <c r="O675" t="s">
        <v>3953</v>
      </c>
      <c r="P675" t="s">
        <v>9629</v>
      </c>
      <c r="Q675" t="s">
        <v>9630</v>
      </c>
      <c r="R675" t="s">
        <v>9631</v>
      </c>
      <c r="S675" t="s">
        <v>9632</v>
      </c>
      <c r="T675" t="s">
        <v>4001</v>
      </c>
      <c r="U675">
        <v>2022</v>
      </c>
      <c r="V675">
        <v>421</v>
      </c>
      <c r="W675" t="s">
        <v>3808</v>
      </c>
      <c r="X675" t="s">
        <v>9633</v>
      </c>
      <c r="Y675" t="str">
        <f>HYPERLINK("http://dx.doi.org/10.1016/j.jvolgeores.2021.107445","http://dx.doi.org/10.1016/j.jvolgeores.2021.107445")</f>
        <v>http://dx.doi.org/10.1016/j.jvolgeores.2021.107445</v>
      </c>
      <c r="Z675" t="s">
        <v>4116</v>
      </c>
      <c r="AA675" t="s">
        <v>3826</v>
      </c>
      <c r="AB675" s="3">
        <v>45672</v>
      </c>
      <c r="AC675" t="s">
        <v>9634</v>
      </c>
      <c r="AD675" t="str">
        <f>HYPERLINK("https%3A%2F%2Fwww.webofscience.com%2Fwos%2Fwoscc%2Ffull-record%2FWOS:000754655300003","View Full Record in Web of Science")</f>
        <v>View Full Record in Web of Science</v>
      </c>
    </row>
    <row r="676" spans="1:30" x14ac:dyDescent="0.35">
      <c r="A676">
        <v>675</v>
      </c>
      <c r="B676" t="s">
        <v>3705</v>
      </c>
      <c r="C676" t="s">
        <v>9210</v>
      </c>
      <c r="D676" t="s">
        <v>3705</v>
      </c>
      <c r="E676" t="s">
        <v>2867</v>
      </c>
      <c r="F676" t="s">
        <v>3810</v>
      </c>
      <c r="G676" t="s">
        <v>9635</v>
      </c>
      <c r="H676" t="s">
        <v>9636</v>
      </c>
      <c r="I676" t="s">
        <v>9213</v>
      </c>
      <c r="J676" t="s">
        <v>9637</v>
      </c>
      <c r="K676" t="s">
        <v>9638</v>
      </c>
      <c r="L676">
        <v>43</v>
      </c>
      <c r="M676" t="s">
        <v>3866</v>
      </c>
      <c r="N676" t="s">
        <v>3817</v>
      </c>
      <c r="O676" t="s">
        <v>4290</v>
      </c>
      <c r="P676" t="s">
        <v>3868</v>
      </c>
      <c r="Q676" t="s">
        <v>3869</v>
      </c>
      <c r="R676" t="s">
        <v>3870</v>
      </c>
      <c r="S676" t="s">
        <v>3871</v>
      </c>
      <c r="T676" t="s">
        <v>4016</v>
      </c>
      <c r="U676">
        <v>2014</v>
      </c>
      <c r="V676">
        <v>43</v>
      </c>
      <c r="W676" t="s">
        <v>6145</v>
      </c>
      <c r="X676" t="s">
        <v>9639</v>
      </c>
      <c r="Y676" t="str">
        <f>HYPERLINK("http://dx.doi.org/10.1007/s00382-013-2010-7","http://dx.doi.org/10.1007/s00382-013-2010-7")</f>
        <v>http://dx.doi.org/10.1007/s00382-013-2010-7</v>
      </c>
      <c r="Z676" t="s">
        <v>3825</v>
      </c>
      <c r="AA676" t="s">
        <v>3826</v>
      </c>
      <c r="AB676" s="3">
        <v>45672</v>
      </c>
      <c r="AC676" t="s">
        <v>9640</v>
      </c>
      <c r="AD676" t="str">
        <f>HYPERLINK("https%3A%2F%2Fwww.webofscience.com%2Fwos%2Fwoscc%2Ffull-record%2FWOS:000342493600006","View Full Record in Web of Science")</f>
        <v>View Full Record in Web of Science</v>
      </c>
    </row>
    <row r="677" spans="1:30" x14ac:dyDescent="0.35">
      <c r="A677">
        <v>676</v>
      </c>
      <c r="B677" t="s">
        <v>3706</v>
      </c>
      <c r="C677" t="s">
        <v>9641</v>
      </c>
      <c r="D677" t="s">
        <v>3706</v>
      </c>
      <c r="E677" t="s">
        <v>2862</v>
      </c>
      <c r="F677" t="s">
        <v>3810</v>
      </c>
      <c r="G677" t="s">
        <v>9642</v>
      </c>
      <c r="H677" t="s">
        <v>9643</v>
      </c>
      <c r="I677" t="s">
        <v>9644</v>
      </c>
      <c r="J677" t="s">
        <v>9645</v>
      </c>
      <c r="K677" t="s">
        <v>9646</v>
      </c>
      <c r="L677">
        <v>9</v>
      </c>
      <c r="M677" t="s">
        <v>3816</v>
      </c>
      <c r="N677" t="s">
        <v>3817</v>
      </c>
      <c r="O677" t="s">
        <v>3818</v>
      </c>
      <c r="P677" t="s">
        <v>3819</v>
      </c>
      <c r="Q677" t="s">
        <v>3820</v>
      </c>
      <c r="R677" t="s">
        <v>3821</v>
      </c>
      <c r="S677" t="s">
        <v>3822</v>
      </c>
      <c r="T677" t="s">
        <v>9647</v>
      </c>
      <c r="U677">
        <v>2020</v>
      </c>
      <c r="V677">
        <v>236</v>
      </c>
      <c r="W677" t="s">
        <v>3808</v>
      </c>
      <c r="X677" t="s">
        <v>9648</v>
      </c>
      <c r="Y677" t="str">
        <f>HYPERLINK("http://dx.doi.org/10.1016/j.atmosres.2019.104793","http://dx.doi.org/10.1016/j.atmosres.2019.104793")</f>
        <v>http://dx.doi.org/10.1016/j.atmosres.2019.104793</v>
      </c>
      <c r="Z677" t="s">
        <v>3825</v>
      </c>
      <c r="AA677" t="s">
        <v>3826</v>
      </c>
      <c r="AB677" s="3">
        <v>45672</v>
      </c>
      <c r="AC677" t="s">
        <v>9649</v>
      </c>
      <c r="AD677" t="str">
        <f>HYPERLINK("https%3A%2F%2Fwww.webofscience.com%2Fwos%2Fwoscc%2Ffull-record%2FWOS:000525322900006","View Full Record in Web of Science")</f>
        <v>View Full Record in Web of Science</v>
      </c>
    </row>
    <row r="678" spans="1:30" x14ac:dyDescent="0.35">
      <c r="A678">
        <v>677</v>
      </c>
      <c r="B678" t="s">
        <v>3707</v>
      </c>
      <c r="C678" t="s">
        <v>7292</v>
      </c>
      <c r="D678" t="s">
        <v>3707</v>
      </c>
      <c r="E678" t="s">
        <v>2919</v>
      </c>
      <c r="F678" t="s">
        <v>3810</v>
      </c>
      <c r="G678" t="s">
        <v>9650</v>
      </c>
      <c r="H678" t="s">
        <v>9651</v>
      </c>
      <c r="I678" t="s">
        <v>9652</v>
      </c>
      <c r="J678" t="s">
        <v>9653</v>
      </c>
      <c r="K678" t="s">
        <v>9654</v>
      </c>
      <c r="L678">
        <v>4</v>
      </c>
      <c r="M678" t="s">
        <v>4033</v>
      </c>
      <c r="N678" t="s">
        <v>4034</v>
      </c>
      <c r="O678" t="s">
        <v>4035</v>
      </c>
      <c r="P678" t="s">
        <v>4823</v>
      </c>
      <c r="Q678" t="s">
        <v>4824</v>
      </c>
      <c r="R678" t="s">
        <v>4825</v>
      </c>
      <c r="S678" t="s">
        <v>4826</v>
      </c>
      <c r="T678" t="s">
        <v>4137</v>
      </c>
      <c r="U678">
        <v>2021</v>
      </c>
      <c r="V678">
        <v>36</v>
      </c>
      <c r="W678">
        <v>4</v>
      </c>
      <c r="X678" t="s">
        <v>9655</v>
      </c>
      <c r="Y678" t="str">
        <f>HYPERLINK("http://dx.doi.org/10.1175/WAF-D-20-0124.1","http://dx.doi.org/10.1175/WAF-D-20-0124.1")</f>
        <v>http://dx.doi.org/10.1175/WAF-D-20-0124.1</v>
      </c>
      <c r="Z678" t="s">
        <v>3825</v>
      </c>
      <c r="AA678" t="s">
        <v>3826</v>
      </c>
      <c r="AB678" s="3">
        <v>45672</v>
      </c>
      <c r="AC678" t="s">
        <v>9656</v>
      </c>
      <c r="AD678" t="str">
        <f>HYPERLINK("https%3A%2F%2Fwww.webofscience.com%2Fwos%2Fwoscc%2Ffull-record%2FWOS:000683897700013","View Full Record in Web of Science")</f>
        <v>View Full Record in Web of Science</v>
      </c>
    </row>
    <row r="679" spans="1:30" x14ac:dyDescent="0.35">
      <c r="A679">
        <v>678</v>
      </c>
      <c r="B679" t="s">
        <v>3708</v>
      </c>
      <c r="C679" t="s">
        <v>9657</v>
      </c>
      <c r="D679" t="s">
        <v>3708</v>
      </c>
      <c r="E679" t="s">
        <v>2989</v>
      </c>
      <c r="F679" t="s">
        <v>3810</v>
      </c>
      <c r="G679" t="s">
        <v>9658</v>
      </c>
      <c r="H679" t="s">
        <v>9659</v>
      </c>
      <c r="I679" t="s">
        <v>9660</v>
      </c>
      <c r="J679" t="s">
        <v>9661</v>
      </c>
      <c r="K679" t="s">
        <v>9662</v>
      </c>
      <c r="L679">
        <v>26</v>
      </c>
      <c r="M679" t="s">
        <v>3911</v>
      </c>
      <c r="N679" t="s">
        <v>3912</v>
      </c>
      <c r="O679" t="s">
        <v>3913</v>
      </c>
      <c r="P679" t="s">
        <v>7498</v>
      </c>
      <c r="Q679" t="s">
        <v>3808</v>
      </c>
      <c r="R679" t="s">
        <v>7499</v>
      </c>
      <c r="S679" t="s">
        <v>7500</v>
      </c>
      <c r="T679" t="s">
        <v>4001</v>
      </c>
      <c r="U679">
        <v>2019</v>
      </c>
      <c r="V679">
        <v>11</v>
      </c>
      <c r="W679">
        <v>1</v>
      </c>
      <c r="X679" t="s">
        <v>9663</v>
      </c>
      <c r="Y679" t="str">
        <f>HYPERLINK("http://dx.doi.org/10.1029/2018MS001477","http://dx.doi.org/10.1029/2018MS001477")</f>
        <v>http://dx.doi.org/10.1029/2018MS001477</v>
      </c>
      <c r="Z679" t="s">
        <v>3825</v>
      </c>
      <c r="AA679" t="s">
        <v>3826</v>
      </c>
      <c r="AB679" s="3">
        <v>45672</v>
      </c>
      <c r="AC679" t="s">
        <v>9664</v>
      </c>
      <c r="AD679" t="str">
        <f>HYPERLINK("https%3A%2F%2Fwww.webofscience.com%2Fwos%2Fwoscc%2Ffull-record%2FWOS:000458607800007","View Full Record in Web of Science")</f>
        <v>View Full Record in Web of Science</v>
      </c>
    </row>
    <row r="680" spans="1:30" x14ac:dyDescent="0.35">
      <c r="A680">
        <v>679</v>
      </c>
      <c r="B680" t="s">
        <v>3709</v>
      </c>
      <c r="C680" t="s">
        <v>6079</v>
      </c>
      <c r="D680" t="s">
        <v>3709</v>
      </c>
      <c r="E680" t="s">
        <v>2894</v>
      </c>
      <c r="F680" t="s">
        <v>3810</v>
      </c>
      <c r="G680" t="s">
        <v>9665</v>
      </c>
      <c r="H680" t="s">
        <v>9666</v>
      </c>
      <c r="I680" t="s">
        <v>4328</v>
      </c>
      <c r="K680" t="s">
        <v>3808</v>
      </c>
      <c r="L680">
        <v>0</v>
      </c>
      <c r="M680" t="s">
        <v>4252</v>
      </c>
      <c r="N680" t="s">
        <v>4253</v>
      </c>
      <c r="O680" t="s">
        <v>4254</v>
      </c>
      <c r="P680" t="s">
        <v>4255</v>
      </c>
      <c r="Q680" t="s">
        <v>4256</v>
      </c>
      <c r="R680" t="s">
        <v>4257</v>
      </c>
      <c r="S680" t="s">
        <v>4258</v>
      </c>
      <c r="T680" t="s">
        <v>3932</v>
      </c>
      <c r="U680">
        <v>2015</v>
      </c>
      <c r="V680">
        <v>120</v>
      </c>
      <c r="W680" t="s">
        <v>4268</v>
      </c>
      <c r="X680" t="s">
        <v>9667</v>
      </c>
      <c r="Y680" t="str">
        <f>HYPERLINK("http://dx.doi.org/10.1007/s00704-014-1193-0","http://dx.doi.org/10.1007/s00704-014-1193-0")</f>
        <v>http://dx.doi.org/10.1007/s00704-014-1193-0</v>
      </c>
      <c r="Z680" t="s">
        <v>3825</v>
      </c>
      <c r="AA680" t="s">
        <v>3826</v>
      </c>
      <c r="AB680" s="3">
        <v>45672</v>
      </c>
      <c r="AC680" t="s">
        <v>9668</v>
      </c>
      <c r="AD680" t="str">
        <f>HYPERLINK("https%3A%2F%2Fwww.webofscience.com%2Fwos%2Fwoscc%2Ffull-record%2FWOS:000353220700025","View Full Record in Web of Science")</f>
        <v>View Full Record in Web of Science</v>
      </c>
    </row>
    <row r="681" spans="1:30" x14ac:dyDescent="0.35">
      <c r="A681">
        <v>680</v>
      </c>
      <c r="B681" t="s">
        <v>3710</v>
      </c>
      <c r="C681" t="s">
        <v>9669</v>
      </c>
      <c r="D681" t="s">
        <v>3710</v>
      </c>
      <c r="E681" t="s">
        <v>2867</v>
      </c>
      <c r="F681" t="s">
        <v>3810</v>
      </c>
      <c r="G681" t="s">
        <v>9670</v>
      </c>
      <c r="H681" t="s">
        <v>9671</v>
      </c>
      <c r="I681" t="s">
        <v>4812</v>
      </c>
      <c r="J681" t="s">
        <v>9672</v>
      </c>
      <c r="K681" t="s">
        <v>9673</v>
      </c>
      <c r="L681">
        <v>37</v>
      </c>
      <c r="M681" t="s">
        <v>3866</v>
      </c>
      <c r="N681" t="s">
        <v>3817</v>
      </c>
      <c r="O681" t="s">
        <v>4290</v>
      </c>
      <c r="P681" t="s">
        <v>3868</v>
      </c>
      <c r="Q681" t="s">
        <v>3869</v>
      </c>
      <c r="R681" t="s">
        <v>3870</v>
      </c>
      <c r="S681" t="s">
        <v>3871</v>
      </c>
      <c r="T681" t="s">
        <v>3974</v>
      </c>
      <c r="U681">
        <v>2014</v>
      </c>
      <c r="V681">
        <v>42</v>
      </c>
      <c r="W681" t="s">
        <v>4483</v>
      </c>
      <c r="X681" t="s">
        <v>9674</v>
      </c>
      <c r="Y681" t="str">
        <f>HYPERLINK("http://dx.doi.org/10.1007/s00382-013-1974-7","http://dx.doi.org/10.1007/s00382-013-1974-7")</f>
        <v>http://dx.doi.org/10.1007/s00382-013-1974-7</v>
      </c>
      <c r="Z681" t="s">
        <v>3825</v>
      </c>
      <c r="AA681" t="s">
        <v>3826</v>
      </c>
      <c r="AB681" s="3">
        <v>45672</v>
      </c>
      <c r="AC681" t="s">
        <v>9675</v>
      </c>
      <c r="AD681" t="str">
        <f>HYPERLINK("https%3A%2F%2Fwww.webofscience.com%2Fwos%2Fwoscc%2Ffull-record%2FWOS:000336984000025","View Full Record in Web of Science")</f>
        <v>View Full Record in Web of Science</v>
      </c>
    </row>
    <row r="682" spans="1:30" x14ac:dyDescent="0.35">
      <c r="A682">
        <v>681</v>
      </c>
      <c r="B682" t="s">
        <v>3711</v>
      </c>
      <c r="C682" t="s">
        <v>9676</v>
      </c>
      <c r="D682" t="s">
        <v>3711</v>
      </c>
      <c r="E682" t="s">
        <v>2867</v>
      </c>
      <c r="F682" t="s">
        <v>3810</v>
      </c>
      <c r="G682" t="s">
        <v>9677</v>
      </c>
      <c r="H682" t="s">
        <v>9678</v>
      </c>
      <c r="I682" t="s">
        <v>9679</v>
      </c>
      <c r="J682" t="s">
        <v>9680</v>
      </c>
      <c r="K682" t="s">
        <v>9681</v>
      </c>
      <c r="L682">
        <v>27</v>
      </c>
      <c r="M682" t="s">
        <v>3866</v>
      </c>
      <c r="N682" t="s">
        <v>3817</v>
      </c>
      <c r="O682" t="s">
        <v>4290</v>
      </c>
      <c r="P682" t="s">
        <v>3868</v>
      </c>
      <c r="Q682" t="s">
        <v>3869</v>
      </c>
      <c r="R682" t="s">
        <v>3870</v>
      </c>
      <c r="S682" t="s">
        <v>3871</v>
      </c>
      <c r="T682" t="s">
        <v>3958</v>
      </c>
      <c r="U682">
        <v>2016</v>
      </c>
      <c r="V682">
        <v>47</v>
      </c>
      <c r="W682" t="s">
        <v>5232</v>
      </c>
      <c r="X682" t="s">
        <v>9682</v>
      </c>
      <c r="Y682" t="str">
        <f>HYPERLINK("http://dx.doi.org/10.1007/s00382-016-3008-8","http://dx.doi.org/10.1007/s00382-016-3008-8")</f>
        <v>http://dx.doi.org/10.1007/s00382-016-3008-8</v>
      </c>
      <c r="Z682" t="s">
        <v>3825</v>
      </c>
      <c r="AA682" t="s">
        <v>3826</v>
      </c>
      <c r="AB682" s="3">
        <v>45672</v>
      </c>
      <c r="AC682" t="s">
        <v>9683</v>
      </c>
      <c r="AD682" t="str">
        <f>HYPERLINK("https%3A%2F%2Fwww.webofscience.com%2Fwos%2Fwoscc%2Ffull-record%2FWOS:000386062000016","View Full Record in Web of Science")</f>
        <v>View Full Record in Web of Science</v>
      </c>
    </row>
    <row r="683" spans="1:30" x14ac:dyDescent="0.35">
      <c r="A683">
        <v>682</v>
      </c>
      <c r="B683" t="s">
        <v>3712</v>
      </c>
      <c r="C683" t="s">
        <v>9684</v>
      </c>
      <c r="D683" t="s">
        <v>3712</v>
      </c>
      <c r="E683" t="s">
        <v>2867</v>
      </c>
      <c r="F683" t="s">
        <v>3810</v>
      </c>
      <c r="G683" t="s">
        <v>9685</v>
      </c>
      <c r="H683" t="s">
        <v>9686</v>
      </c>
      <c r="I683" t="s">
        <v>9687</v>
      </c>
      <c r="J683" t="s">
        <v>9688</v>
      </c>
      <c r="K683" t="s">
        <v>9689</v>
      </c>
      <c r="L683">
        <v>8</v>
      </c>
      <c r="M683" t="s">
        <v>3866</v>
      </c>
      <c r="N683" t="s">
        <v>3817</v>
      </c>
      <c r="O683" t="s">
        <v>4290</v>
      </c>
      <c r="P683" t="s">
        <v>3868</v>
      </c>
      <c r="Q683" t="s">
        <v>3869</v>
      </c>
      <c r="R683" t="s">
        <v>3870</v>
      </c>
      <c r="S683" t="s">
        <v>3871</v>
      </c>
      <c r="T683" t="s">
        <v>4137</v>
      </c>
      <c r="U683">
        <v>2015</v>
      </c>
      <c r="V683">
        <v>45</v>
      </c>
      <c r="W683" t="s">
        <v>4268</v>
      </c>
      <c r="X683" t="s">
        <v>9690</v>
      </c>
      <c r="Y683" t="str">
        <f>HYPERLINK("http://dx.doi.org/10.1007/s00382-014-2338-7","http://dx.doi.org/10.1007/s00382-014-2338-7")</f>
        <v>http://dx.doi.org/10.1007/s00382-014-2338-7</v>
      </c>
      <c r="Z683" t="s">
        <v>3825</v>
      </c>
      <c r="AA683" t="s">
        <v>3826</v>
      </c>
      <c r="AB683" s="3">
        <v>45672</v>
      </c>
      <c r="AC683" t="s">
        <v>9691</v>
      </c>
      <c r="AD683" t="str">
        <f>HYPERLINK("https%3A%2F%2Fwww.webofscience.com%2Fwos%2Fwoscc%2Ffull-record%2FWOS:000356807800029","View Full Record in Web of Science")</f>
        <v>View Full Record in Web of Science</v>
      </c>
    </row>
    <row r="684" spans="1:30" x14ac:dyDescent="0.35">
      <c r="A684">
        <v>683</v>
      </c>
      <c r="B684" t="s">
        <v>3713</v>
      </c>
      <c r="C684" t="s">
        <v>9692</v>
      </c>
      <c r="D684" t="s">
        <v>3713</v>
      </c>
      <c r="E684" t="s">
        <v>2901</v>
      </c>
      <c r="F684" t="s">
        <v>3810</v>
      </c>
      <c r="G684" t="s">
        <v>9693</v>
      </c>
      <c r="H684" t="s">
        <v>9694</v>
      </c>
      <c r="I684" t="s">
        <v>9695</v>
      </c>
      <c r="J684" t="s">
        <v>9696</v>
      </c>
      <c r="K684" t="s">
        <v>9697</v>
      </c>
      <c r="L684">
        <v>1</v>
      </c>
      <c r="M684" t="s">
        <v>4377</v>
      </c>
      <c r="N684" t="s">
        <v>4378</v>
      </c>
      <c r="O684" t="s">
        <v>4379</v>
      </c>
      <c r="P684" t="s">
        <v>4380</v>
      </c>
      <c r="Q684" t="s">
        <v>4381</v>
      </c>
      <c r="R684" t="s">
        <v>4382</v>
      </c>
      <c r="S684" t="s">
        <v>4383</v>
      </c>
      <c r="T684" t="s">
        <v>3974</v>
      </c>
      <c r="U684">
        <v>2022</v>
      </c>
      <c r="V684">
        <v>100</v>
      </c>
      <c r="W684">
        <v>3</v>
      </c>
      <c r="X684" t="s">
        <v>9698</v>
      </c>
      <c r="Y684" t="str">
        <f>HYPERLINK("http://dx.doi.org/10.2151/jmsj.2022-023475","http://dx.doi.org/10.2151/jmsj.2022-023475")</f>
        <v>http://dx.doi.org/10.2151/jmsj.2022-023475</v>
      </c>
      <c r="Z684" t="s">
        <v>3825</v>
      </c>
      <c r="AA684" t="s">
        <v>3826</v>
      </c>
      <c r="AB684" s="3">
        <v>45672</v>
      </c>
      <c r="AC684" t="s">
        <v>9699</v>
      </c>
      <c r="AD684" t="str">
        <f>HYPERLINK("https%3A%2F%2Fwww.webofscience.com%2Fwos%2Fwoscc%2Ffull-record%2FWOS:000803590000001","View Full Record in Web of Science")</f>
        <v>View Full Record in Web of Science</v>
      </c>
    </row>
    <row r="685" spans="1:30" x14ac:dyDescent="0.35">
      <c r="A685">
        <v>684</v>
      </c>
      <c r="B685" t="s">
        <v>3714</v>
      </c>
      <c r="C685" t="s">
        <v>9700</v>
      </c>
      <c r="D685" t="s">
        <v>3714</v>
      </c>
      <c r="E685" t="s">
        <v>2922</v>
      </c>
      <c r="F685" t="s">
        <v>3810</v>
      </c>
      <c r="G685" t="s">
        <v>9701</v>
      </c>
      <c r="H685" t="s">
        <v>9702</v>
      </c>
      <c r="I685" t="s">
        <v>9703</v>
      </c>
      <c r="J685" t="s">
        <v>9704</v>
      </c>
      <c r="K685" t="s">
        <v>9705</v>
      </c>
      <c r="L685">
        <v>59</v>
      </c>
      <c r="M685" t="s">
        <v>3951</v>
      </c>
      <c r="N685" t="s">
        <v>3952</v>
      </c>
      <c r="O685" t="s">
        <v>3953</v>
      </c>
      <c r="P685" t="s">
        <v>4910</v>
      </c>
      <c r="Q685" t="s">
        <v>4911</v>
      </c>
      <c r="R685" t="s">
        <v>4912</v>
      </c>
      <c r="S685" t="s">
        <v>4913</v>
      </c>
      <c r="T685" t="s">
        <v>3932</v>
      </c>
      <c r="U685">
        <v>2016</v>
      </c>
      <c r="V685">
        <v>47</v>
      </c>
      <c r="W685" t="s">
        <v>3808</v>
      </c>
      <c r="X685" t="s">
        <v>9706</v>
      </c>
      <c r="Y685" t="str">
        <f>HYPERLINK("http://dx.doi.org/10.1016/j.jag.2015.12.006","http://dx.doi.org/10.1016/j.jag.2015.12.006")</f>
        <v>http://dx.doi.org/10.1016/j.jag.2015.12.006</v>
      </c>
      <c r="Z685" t="s">
        <v>4475</v>
      </c>
      <c r="AA685" t="s">
        <v>3826</v>
      </c>
      <c r="AB685" s="3">
        <v>45672</v>
      </c>
      <c r="AC685" t="s">
        <v>9707</v>
      </c>
      <c r="AD685" t="str">
        <f>HYPERLINK("https%3A%2F%2Fwww.webofscience.com%2Fwos%2Fwoscc%2Ffull-record%2FWOS:000371099000003","View Full Record in Web of Science")</f>
        <v>View Full Record in Web of Science</v>
      </c>
    </row>
    <row r="686" spans="1:30" x14ac:dyDescent="0.35">
      <c r="A686">
        <v>685</v>
      </c>
      <c r="B686" t="s">
        <v>3715</v>
      </c>
      <c r="C686" t="s">
        <v>9708</v>
      </c>
      <c r="D686" t="s">
        <v>3715</v>
      </c>
      <c r="E686" t="s">
        <v>2877</v>
      </c>
      <c r="F686" t="s">
        <v>3810</v>
      </c>
      <c r="G686" t="s">
        <v>9709</v>
      </c>
      <c r="H686" t="s">
        <v>9710</v>
      </c>
      <c r="I686" t="s">
        <v>9711</v>
      </c>
      <c r="J686" t="s">
        <v>9712</v>
      </c>
      <c r="K686" t="s">
        <v>9713</v>
      </c>
      <c r="L686">
        <v>2</v>
      </c>
      <c r="M686" t="s">
        <v>4033</v>
      </c>
      <c r="N686" t="s">
        <v>4034</v>
      </c>
      <c r="O686" t="s">
        <v>4035</v>
      </c>
      <c r="P686" t="s">
        <v>4036</v>
      </c>
      <c r="Q686" t="s">
        <v>4037</v>
      </c>
      <c r="R686" t="s">
        <v>4038</v>
      </c>
      <c r="S686" t="s">
        <v>4039</v>
      </c>
      <c r="T686" t="s">
        <v>4016</v>
      </c>
      <c r="U686">
        <v>2021</v>
      </c>
      <c r="V686">
        <v>34</v>
      </c>
      <c r="W686">
        <v>20</v>
      </c>
      <c r="X686" t="s">
        <v>9714</v>
      </c>
      <c r="Y686" t="str">
        <f>HYPERLINK("http://dx.doi.org/10.1175/JCLI-D-20-0982.1","http://dx.doi.org/10.1175/JCLI-D-20-0982.1")</f>
        <v>http://dx.doi.org/10.1175/JCLI-D-20-0982.1</v>
      </c>
      <c r="Z686" t="s">
        <v>3825</v>
      </c>
      <c r="AA686" t="s">
        <v>3826</v>
      </c>
      <c r="AB686" s="3">
        <v>45672</v>
      </c>
      <c r="AC686" t="s">
        <v>9715</v>
      </c>
      <c r="AD686" t="str">
        <f>HYPERLINK("https%3A%2F%2Fwww.webofscience.com%2Fwos%2Fwoscc%2Ffull-record%2FWOS:000752637600018","View Full Record in Web of Science")</f>
        <v>View Full Record in Web of Science</v>
      </c>
    </row>
    <row r="687" spans="1:30" x14ac:dyDescent="0.35">
      <c r="A687">
        <v>686</v>
      </c>
      <c r="B687" t="s">
        <v>3716</v>
      </c>
      <c r="C687" t="s">
        <v>9716</v>
      </c>
      <c r="D687" t="s">
        <v>3716</v>
      </c>
      <c r="E687" t="s">
        <v>2866</v>
      </c>
      <c r="F687" t="s">
        <v>3810</v>
      </c>
      <c r="G687" t="s">
        <v>9717</v>
      </c>
      <c r="H687" t="s">
        <v>9718</v>
      </c>
      <c r="I687" t="s">
        <v>9719</v>
      </c>
      <c r="J687" t="s">
        <v>9696</v>
      </c>
      <c r="K687" t="s">
        <v>9720</v>
      </c>
      <c r="L687">
        <v>52</v>
      </c>
      <c r="M687" t="s">
        <v>3850</v>
      </c>
      <c r="N687" t="s">
        <v>3851</v>
      </c>
      <c r="O687" t="s">
        <v>3852</v>
      </c>
      <c r="P687" t="s">
        <v>3853</v>
      </c>
      <c r="Q687" t="s">
        <v>3854</v>
      </c>
      <c r="R687" t="s">
        <v>3855</v>
      </c>
      <c r="S687" t="s">
        <v>3856</v>
      </c>
      <c r="T687" t="s">
        <v>3918</v>
      </c>
      <c r="U687">
        <v>2016</v>
      </c>
      <c r="V687">
        <v>36</v>
      </c>
      <c r="W687">
        <v>9</v>
      </c>
      <c r="X687" t="s">
        <v>9721</v>
      </c>
      <c r="Y687" t="str">
        <f>HYPERLINK("http://dx.doi.org/10.1002/joc.4548","http://dx.doi.org/10.1002/joc.4548")</f>
        <v>http://dx.doi.org/10.1002/joc.4548</v>
      </c>
      <c r="Z687" t="s">
        <v>3825</v>
      </c>
      <c r="AA687" t="s">
        <v>3826</v>
      </c>
      <c r="AB687" s="3">
        <v>45672</v>
      </c>
      <c r="AC687" t="s">
        <v>9722</v>
      </c>
      <c r="AD687" t="str">
        <f>HYPERLINK("https%3A%2F%2Fwww.webofscience.com%2Fwos%2Fwoscc%2Ffull-record%2FWOS:000383608000004","View Full Record in Web of Science")</f>
        <v>View Full Record in Web of Science</v>
      </c>
    </row>
    <row r="688" spans="1:30" x14ac:dyDescent="0.35">
      <c r="A688">
        <v>687</v>
      </c>
      <c r="B688" t="s">
        <v>3717</v>
      </c>
      <c r="C688" t="s">
        <v>9723</v>
      </c>
      <c r="D688" t="s">
        <v>3717</v>
      </c>
      <c r="E688" t="s">
        <v>2867</v>
      </c>
      <c r="F688" t="s">
        <v>3810</v>
      </c>
      <c r="G688" t="s">
        <v>9724</v>
      </c>
      <c r="H688" t="s">
        <v>9725</v>
      </c>
      <c r="I688" t="s">
        <v>9726</v>
      </c>
      <c r="J688" t="s">
        <v>9727</v>
      </c>
      <c r="K688" t="s">
        <v>9728</v>
      </c>
      <c r="L688">
        <v>8</v>
      </c>
      <c r="M688" t="s">
        <v>3866</v>
      </c>
      <c r="N688" t="s">
        <v>3817</v>
      </c>
      <c r="O688" t="s">
        <v>3867</v>
      </c>
      <c r="P688" t="s">
        <v>3868</v>
      </c>
      <c r="Q688" t="s">
        <v>3869</v>
      </c>
      <c r="R688" t="s">
        <v>3870</v>
      </c>
      <c r="S688" t="s">
        <v>3871</v>
      </c>
      <c r="T688" t="s">
        <v>3958</v>
      </c>
      <c r="U688">
        <v>2022</v>
      </c>
      <c r="V688">
        <v>59</v>
      </c>
      <c r="W688" t="s">
        <v>5232</v>
      </c>
      <c r="X688" t="s">
        <v>9729</v>
      </c>
      <c r="Y688" t="str">
        <f>HYPERLINK("http://dx.doi.org/10.1007/s00382-022-06241-0","http://dx.doi.org/10.1007/s00382-022-06241-0")</f>
        <v>http://dx.doi.org/10.1007/s00382-022-06241-0</v>
      </c>
      <c r="Z688" t="s">
        <v>3825</v>
      </c>
      <c r="AA688" t="s">
        <v>3826</v>
      </c>
      <c r="AB688" s="3">
        <v>45672</v>
      </c>
      <c r="AC688" t="s">
        <v>9730</v>
      </c>
      <c r="AD688" t="str">
        <f>HYPERLINK("https%3A%2F%2Fwww.webofscience.com%2Fwos%2Fwoscc%2Ffull-record%2FWOS:000770743500001","View Full Record in Web of Science")</f>
        <v>View Full Record in Web of Science</v>
      </c>
    </row>
    <row r="689" spans="1:30" x14ac:dyDescent="0.35">
      <c r="A689">
        <v>688</v>
      </c>
      <c r="B689" t="s">
        <v>3718</v>
      </c>
      <c r="C689" t="s">
        <v>9731</v>
      </c>
      <c r="D689" t="s">
        <v>3718</v>
      </c>
      <c r="E689" t="s">
        <v>2877</v>
      </c>
      <c r="F689" t="s">
        <v>3810</v>
      </c>
      <c r="G689" t="s">
        <v>9732</v>
      </c>
      <c r="H689" t="s">
        <v>9733</v>
      </c>
      <c r="I689" t="s">
        <v>9734</v>
      </c>
      <c r="J689" t="s">
        <v>9735</v>
      </c>
      <c r="K689" t="s">
        <v>9736</v>
      </c>
      <c r="L689">
        <v>2</v>
      </c>
      <c r="M689" t="s">
        <v>4033</v>
      </c>
      <c r="N689" t="s">
        <v>4034</v>
      </c>
      <c r="O689" t="s">
        <v>5063</v>
      </c>
      <c r="P689" t="s">
        <v>4036</v>
      </c>
      <c r="Q689" t="s">
        <v>4037</v>
      </c>
      <c r="R689" t="s">
        <v>4038</v>
      </c>
      <c r="S689" t="s">
        <v>4039</v>
      </c>
      <c r="T689" t="s">
        <v>4137</v>
      </c>
      <c r="U689">
        <v>2023</v>
      </c>
      <c r="V689">
        <v>36</v>
      </c>
      <c r="W689">
        <v>16</v>
      </c>
      <c r="X689" t="s">
        <v>9737</v>
      </c>
      <c r="Y689" t="str">
        <f>HYPERLINK("http://dx.doi.org/10.1175/JCLI-D-22-0801.1","http://dx.doi.org/10.1175/JCLI-D-22-0801.1")</f>
        <v>http://dx.doi.org/10.1175/JCLI-D-22-0801.1</v>
      </c>
      <c r="Z689" t="s">
        <v>3825</v>
      </c>
      <c r="AA689" t="s">
        <v>3826</v>
      </c>
      <c r="AB689" s="3">
        <v>45672</v>
      </c>
      <c r="AC689" t="s">
        <v>9738</v>
      </c>
      <c r="AD689" t="str">
        <f>HYPERLINK("https%3A%2F%2Fwww.webofscience.com%2Fwos%2Fwoscc%2Ffull-record%2FWOS:001032341500001","View Full Record in Web of Science")</f>
        <v>View Full Record in Web of Science</v>
      </c>
    </row>
    <row r="690" spans="1:30" x14ac:dyDescent="0.35">
      <c r="A690">
        <v>689</v>
      </c>
      <c r="B690" t="s">
        <v>3719</v>
      </c>
      <c r="C690" t="s">
        <v>9739</v>
      </c>
      <c r="D690" t="s">
        <v>3719</v>
      </c>
      <c r="E690" t="s">
        <v>3021</v>
      </c>
      <c r="F690" t="s">
        <v>3810</v>
      </c>
      <c r="G690" t="s">
        <v>9740</v>
      </c>
      <c r="H690" t="s">
        <v>9741</v>
      </c>
      <c r="I690" t="s">
        <v>9742</v>
      </c>
      <c r="K690" t="s">
        <v>3808</v>
      </c>
      <c r="L690">
        <v>5</v>
      </c>
      <c r="M690" t="s">
        <v>9743</v>
      </c>
      <c r="N690" t="s">
        <v>9744</v>
      </c>
      <c r="O690" t="s">
        <v>9745</v>
      </c>
      <c r="P690" t="s">
        <v>9746</v>
      </c>
      <c r="Q690" t="s">
        <v>9747</v>
      </c>
      <c r="R690" t="s">
        <v>9748</v>
      </c>
      <c r="S690" t="s">
        <v>9749</v>
      </c>
      <c r="T690" t="s">
        <v>4137</v>
      </c>
      <c r="U690">
        <v>2016</v>
      </c>
      <c r="V690">
        <v>33</v>
      </c>
      <c r="W690">
        <v>2</v>
      </c>
      <c r="X690" t="s">
        <v>3808</v>
      </c>
      <c r="Y690" t="s">
        <v>3808</v>
      </c>
      <c r="Z690" t="s">
        <v>4116</v>
      </c>
      <c r="AA690" t="s">
        <v>3826</v>
      </c>
      <c r="AB690" s="3">
        <v>45672</v>
      </c>
      <c r="AC690" t="s">
        <v>9750</v>
      </c>
      <c r="AD690" t="str">
        <f>HYPERLINK("https%3A%2F%2Fwww.webofscience.com%2Fwos%2Fwoscc%2Ffull-record%2FWOS:000386597300004","View Full Record in Web of Science")</f>
        <v>View Full Record in Web of Science</v>
      </c>
    </row>
    <row r="691" spans="1:30" x14ac:dyDescent="0.35">
      <c r="A691">
        <v>690</v>
      </c>
      <c r="B691" t="s">
        <v>3720</v>
      </c>
      <c r="C691" t="s">
        <v>9751</v>
      </c>
      <c r="D691" t="s">
        <v>3720</v>
      </c>
      <c r="E691" t="s">
        <v>2969</v>
      </c>
      <c r="F691" t="s">
        <v>3810</v>
      </c>
      <c r="G691" t="s">
        <v>9752</v>
      </c>
      <c r="H691" t="s">
        <v>9753</v>
      </c>
      <c r="I691" t="s">
        <v>9754</v>
      </c>
      <c r="J691" t="s">
        <v>9755</v>
      </c>
      <c r="K691" t="s">
        <v>9756</v>
      </c>
      <c r="L691">
        <v>9</v>
      </c>
      <c r="M691" t="s">
        <v>4061</v>
      </c>
      <c r="N691" t="s">
        <v>4062</v>
      </c>
      <c r="O691" t="s">
        <v>4063</v>
      </c>
      <c r="P691" t="s">
        <v>6830</v>
      </c>
      <c r="Q691" t="s">
        <v>6831</v>
      </c>
      <c r="R691" t="s">
        <v>6832</v>
      </c>
      <c r="S691" t="s">
        <v>6833</v>
      </c>
      <c r="T691" t="s">
        <v>4137</v>
      </c>
      <c r="U691">
        <v>2018</v>
      </c>
      <c r="V691">
        <v>32</v>
      </c>
      <c r="W691">
        <v>4</v>
      </c>
      <c r="X691" t="s">
        <v>9757</v>
      </c>
      <c r="Y691" t="str">
        <f>HYPERLINK("http://dx.doi.org/10.1007/s13351-018-7172-0","http://dx.doi.org/10.1007/s13351-018-7172-0")</f>
        <v>http://dx.doi.org/10.1007/s13351-018-7172-0</v>
      </c>
      <c r="Z691" t="s">
        <v>3825</v>
      </c>
      <c r="AA691" t="s">
        <v>3826</v>
      </c>
      <c r="AB691" s="3">
        <v>45672</v>
      </c>
      <c r="AC691" t="s">
        <v>9758</v>
      </c>
      <c r="AD691" t="str">
        <f>HYPERLINK("https%3A%2F%2Fwww.webofscience.com%2Fwos%2Fwoscc%2Ffull-record%2FWOS:000444126400003","View Full Record in Web of Science")</f>
        <v>View Full Record in Web of Science</v>
      </c>
    </row>
    <row r="692" spans="1:30" x14ac:dyDescent="0.35">
      <c r="A692">
        <v>691</v>
      </c>
      <c r="B692" t="s">
        <v>3721</v>
      </c>
      <c r="C692" t="s">
        <v>9759</v>
      </c>
      <c r="D692" t="s">
        <v>3721</v>
      </c>
      <c r="E692" t="s">
        <v>2990</v>
      </c>
      <c r="F692" t="s">
        <v>3810</v>
      </c>
      <c r="G692" t="s">
        <v>9760</v>
      </c>
      <c r="H692" t="s">
        <v>9761</v>
      </c>
      <c r="I692" t="s">
        <v>9762</v>
      </c>
      <c r="J692" t="s">
        <v>9763</v>
      </c>
      <c r="K692" t="s">
        <v>9764</v>
      </c>
      <c r="L692">
        <v>83</v>
      </c>
      <c r="M692" t="s">
        <v>3951</v>
      </c>
      <c r="N692" t="s">
        <v>3952</v>
      </c>
      <c r="O692" t="s">
        <v>3953</v>
      </c>
      <c r="P692" t="s">
        <v>7547</v>
      </c>
      <c r="Q692" t="s">
        <v>7548</v>
      </c>
      <c r="R692" t="s">
        <v>7549</v>
      </c>
      <c r="S692" t="s">
        <v>7550</v>
      </c>
      <c r="T692" t="s">
        <v>6136</v>
      </c>
      <c r="U692">
        <v>2016</v>
      </c>
      <c r="V692">
        <v>449</v>
      </c>
      <c r="W692" t="s">
        <v>3808</v>
      </c>
      <c r="X692" t="s">
        <v>9765</v>
      </c>
      <c r="Y692" t="str">
        <f>HYPERLINK("http://dx.doi.org/10.1016/j.epsl.2016.05.036","http://dx.doi.org/10.1016/j.epsl.2016.05.036")</f>
        <v>http://dx.doi.org/10.1016/j.epsl.2016.05.036</v>
      </c>
      <c r="Z692" t="s">
        <v>3920</v>
      </c>
      <c r="AA692" t="s">
        <v>3826</v>
      </c>
      <c r="AB692" s="3">
        <v>45672</v>
      </c>
      <c r="AC692" t="s">
        <v>9766</v>
      </c>
      <c r="AD692" t="str">
        <f>HYPERLINK("https%3A%2F%2Fwww.webofscience.com%2Fwos%2Fwoscc%2Ffull-record%2FWOS:000380419700007","View Full Record in Web of Science")</f>
        <v>View Full Record in Web of Science</v>
      </c>
    </row>
    <row r="693" spans="1:30" x14ac:dyDescent="0.35">
      <c r="A693">
        <v>692</v>
      </c>
      <c r="B693" t="s">
        <v>3722</v>
      </c>
      <c r="C693" t="s">
        <v>9767</v>
      </c>
      <c r="D693" t="s">
        <v>3722</v>
      </c>
      <c r="E693" t="s">
        <v>2872</v>
      </c>
      <c r="F693" t="s">
        <v>3810</v>
      </c>
      <c r="G693" t="s">
        <v>9768</v>
      </c>
      <c r="H693" t="s">
        <v>9769</v>
      </c>
      <c r="I693" t="s">
        <v>9770</v>
      </c>
      <c r="J693" t="s">
        <v>9771</v>
      </c>
      <c r="K693" t="s">
        <v>9772</v>
      </c>
      <c r="L693">
        <v>11</v>
      </c>
      <c r="M693" t="s">
        <v>3951</v>
      </c>
      <c r="N693" t="s">
        <v>3952</v>
      </c>
      <c r="O693" t="s">
        <v>3953</v>
      </c>
      <c r="P693" t="s">
        <v>3954</v>
      </c>
      <c r="Q693" t="s">
        <v>3955</v>
      </c>
      <c r="R693" t="s">
        <v>3956</v>
      </c>
      <c r="S693" t="s">
        <v>3957</v>
      </c>
      <c r="T693" t="s">
        <v>4137</v>
      </c>
      <c r="U693">
        <v>2020</v>
      </c>
      <c r="V693">
        <v>587</v>
      </c>
      <c r="W693" t="s">
        <v>3808</v>
      </c>
      <c r="X693" t="s">
        <v>9773</v>
      </c>
      <c r="Y693" t="str">
        <f>HYPERLINK("http://dx.doi.org/10.1016/j.jhydrol.2020.124979","http://dx.doi.org/10.1016/j.jhydrol.2020.124979")</f>
        <v>http://dx.doi.org/10.1016/j.jhydrol.2020.124979</v>
      </c>
      <c r="Z693" t="s">
        <v>3960</v>
      </c>
      <c r="AA693" t="s">
        <v>3826</v>
      </c>
      <c r="AB693" s="3">
        <v>45672</v>
      </c>
      <c r="AC693" t="s">
        <v>9774</v>
      </c>
      <c r="AD693" t="str">
        <f>HYPERLINK("https%3A%2F%2Fwww.webofscience.com%2Fwos%2Fwoscc%2Ffull-record%2FWOS:000568819100024","View Full Record in Web of Science")</f>
        <v>View Full Record in Web of Science</v>
      </c>
    </row>
    <row r="694" spans="1:30" x14ac:dyDescent="0.35">
      <c r="A694">
        <v>693</v>
      </c>
      <c r="B694" t="s">
        <v>3723</v>
      </c>
      <c r="C694" t="s">
        <v>9775</v>
      </c>
      <c r="D694" t="s">
        <v>3723</v>
      </c>
      <c r="E694" t="s">
        <v>2922</v>
      </c>
      <c r="F694" t="s">
        <v>3810</v>
      </c>
      <c r="G694" t="s">
        <v>9776</v>
      </c>
      <c r="H694" t="s">
        <v>9777</v>
      </c>
      <c r="I694" t="s">
        <v>9778</v>
      </c>
      <c r="J694" t="s">
        <v>9779</v>
      </c>
      <c r="K694" t="s">
        <v>9780</v>
      </c>
      <c r="L694">
        <v>6</v>
      </c>
      <c r="M694" t="s">
        <v>3951</v>
      </c>
      <c r="N694" t="s">
        <v>3952</v>
      </c>
      <c r="O694" t="s">
        <v>3953</v>
      </c>
      <c r="P694" t="s">
        <v>4910</v>
      </c>
      <c r="Q694" t="s">
        <v>4911</v>
      </c>
      <c r="R694" t="s">
        <v>4912</v>
      </c>
      <c r="S694" t="s">
        <v>4913</v>
      </c>
      <c r="T694" t="s">
        <v>4163</v>
      </c>
      <c r="U694">
        <v>2018</v>
      </c>
      <c r="V694">
        <v>73</v>
      </c>
      <c r="W694" t="s">
        <v>3808</v>
      </c>
      <c r="X694" t="s">
        <v>9781</v>
      </c>
      <c r="Y694" t="str">
        <f>HYPERLINK("http://dx.doi.org/10.1016/j.jag.2018.06.020","http://dx.doi.org/10.1016/j.jag.2018.06.020")</f>
        <v>http://dx.doi.org/10.1016/j.jag.2018.06.020</v>
      </c>
      <c r="Z694" t="s">
        <v>4475</v>
      </c>
      <c r="AA694" t="s">
        <v>3826</v>
      </c>
      <c r="AB694" s="3">
        <v>45672</v>
      </c>
      <c r="AC694" t="s">
        <v>9782</v>
      </c>
      <c r="AD694" t="str">
        <f>HYPERLINK("https%3A%2F%2Fwww.webofscience.com%2Fwos%2Fwoscc%2Ffull-record%2FWOS:000446291100023","View Full Record in Web of Science")</f>
        <v>View Full Record in Web of Science</v>
      </c>
    </row>
    <row r="695" spans="1:30" x14ac:dyDescent="0.35">
      <c r="A695">
        <v>694</v>
      </c>
      <c r="B695" t="s">
        <v>3724</v>
      </c>
      <c r="C695" t="s">
        <v>9783</v>
      </c>
      <c r="D695" t="s">
        <v>3724</v>
      </c>
      <c r="E695" t="s">
        <v>2928</v>
      </c>
      <c r="F695" t="s">
        <v>3810</v>
      </c>
      <c r="G695" t="s">
        <v>9784</v>
      </c>
      <c r="H695" t="s">
        <v>9785</v>
      </c>
      <c r="I695" t="s">
        <v>9786</v>
      </c>
      <c r="K695" t="s">
        <v>3808</v>
      </c>
      <c r="L695">
        <v>54</v>
      </c>
      <c r="M695" t="s">
        <v>3911</v>
      </c>
      <c r="N695" t="s">
        <v>3912</v>
      </c>
      <c r="O695" t="s">
        <v>3913</v>
      </c>
      <c r="P695" t="s">
        <v>5129</v>
      </c>
      <c r="Q695" t="s">
        <v>5130</v>
      </c>
      <c r="R695" t="s">
        <v>5131</v>
      </c>
      <c r="S695" t="s">
        <v>5132</v>
      </c>
      <c r="T695" t="s">
        <v>5054</v>
      </c>
      <c r="U695">
        <v>2016</v>
      </c>
      <c r="V695">
        <v>121</v>
      </c>
      <c r="W695">
        <v>18</v>
      </c>
      <c r="X695" t="s">
        <v>9787</v>
      </c>
      <c r="Y695" t="str">
        <f>HYPERLINK("http://dx.doi.org/10.1002/2016JD025344","http://dx.doi.org/10.1002/2016JD025344")</f>
        <v>http://dx.doi.org/10.1002/2016JD025344</v>
      </c>
      <c r="Z695" t="s">
        <v>3825</v>
      </c>
      <c r="AA695" t="s">
        <v>3826</v>
      </c>
      <c r="AB695" s="3">
        <v>45672</v>
      </c>
      <c r="AC695" t="s">
        <v>9788</v>
      </c>
      <c r="AD695" t="str">
        <f>HYPERLINK("https%3A%2F%2Fwww.webofscience.com%2Fwos%2Fwoscc%2Ffull-record%2FWOS:000385836000033","View Full Record in Web of Science")</f>
        <v>View Full Record in Web of Science</v>
      </c>
    </row>
    <row r="696" spans="1:30" x14ac:dyDescent="0.35">
      <c r="A696">
        <v>695</v>
      </c>
      <c r="B696" t="s">
        <v>3725</v>
      </c>
      <c r="C696" t="s">
        <v>9789</v>
      </c>
      <c r="D696" t="s">
        <v>3725</v>
      </c>
      <c r="E696" t="s">
        <v>2882</v>
      </c>
      <c r="F696" t="s">
        <v>3810</v>
      </c>
      <c r="G696" t="s">
        <v>9790</v>
      </c>
      <c r="H696" t="s">
        <v>9791</v>
      </c>
      <c r="I696" t="s">
        <v>8772</v>
      </c>
      <c r="J696" t="s">
        <v>9792</v>
      </c>
      <c r="K696" t="s">
        <v>9793</v>
      </c>
      <c r="L696">
        <v>11</v>
      </c>
      <c r="M696" t="s">
        <v>3850</v>
      </c>
      <c r="N696" t="s">
        <v>3851</v>
      </c>
      <c r="O696" t="s">
        <v>3852</v>
      </c>
      <c r="P696" t="s">
        <v>4088</v>
      </c>
      <c r="Q696" t="s">
        <v>4089</v>
      </c>
      <c r="R696" t="s">
        <v>4090</v>
      </c>
      <c r="S696" t="s">
        <v>4091</v>
      </c>
      <c r="T696" t="s">
        <v>5045</v>
      </c>
      <c r="U696">
        <v>2021</v>
      </c>
      <c r="V696">
        <v>147</v>
      </c>
      <c r="W696">
        <v>736</v>
      </c>
      <c r="X696" t="s">
        <v>9794</v>
      </c>
      <c r="Y696" t="str">
        <f>HYPERLINK("http://dx.doi.org/10.1002/qj.3993","http://dx.doi.org/10.1002/qj.3993")</f>
        <v>http://dx.doi.org/10.1002/qj.3993</v>
      </c>
      <c r="Z696" t="s">
        <v>3825</v>
      </c>
      <c r="AA696" t="s">
        <v>3826</v>
      </c>
      <c r="AB696" s="3">
        <v>45672</v>
      </c>
      <c r="AC696" t="s">
        <v>9795</v>
      </c>
      <c r="AD696" t="str">
        <f>HYPERLINK("https%3A%2F%2Fwww.webofscience.com%2Fwos%2Fwoscc%2Ffull-record%2FWOS:000620222200001","View Full Record in Web of Science")</f>
        <v>View Full Record in Web of Science</v>
      </c>
    </row>
    <row r="697" spans="1:30" x14ac:dyDescent="0.35">
      <c r="A697">
        <v>696</v>
      </c>
      <c r="B697" t="s">
        <v>3726</v>
      </c>
      <c r="C697" t="s">
        <v>9796</v>
      </c>
      <c r="D697" t="s">
        <v>3726</v>
      </c>
      <c r="E697" t="s">
        <v>2872</v>
      </c>
      <c r="F697" t="s">
        <v>3810</v>
      </c>
      <c r="G697" t="s">
        <v>9797</v>
      </c>
      <c r="H697" t="s">
        <v>9798</v>
      </c>
      <c r="I697" t="s">
        <v>9799</v>
      </c>
      <c r="J697" t="s">
        <v>7262</v>
      </c>
      <c r="K697" t="s">
        <v>9800</v>
      </c>
      <c r="L697">
        <v>16</v>
      </c>
      <c r="M697" t="s">
        <v>3951</v>
      </c>
      <c r="N697" t="s">
        <v>3952</v>
      </c>
      <c r="O697" t="s">
        <v>3953</v>
      </c>
      <c r="P697" t="s">
        <v>3954</v>
      </c>
      <c r="Q697" t="s">
        <v>3955</v>
      </c>
      <c r="R697" t="s">
        <v>3956</v>
      </c>
      <c r="S697" t="s">
        <v>3957</v>
      </c>
      <c r="T697" t="s">
        <v>4114</v>
      </c>
      <c r="U697">
        <v>2022</v>
      </c>
      <c r="V697">
        <v>606</v>
      </c>
      <c r="W697" t="s">
        <v>3808</v>
      </c>
      <c r="X697" t="s">
        <v>9801</v>
      </c>
      <c r="Y697" t="str">
        <f>HYPERLINK("http://dx.doi.org/10.1016/j.jhydrol.2022.127432","http://dx.doi.org/10.1016/j.jhydrol.2022.127432")</f>
        <v>http://dx.doi.org/10.1016/j.jhydrol.2022.127432</v>
      </c>
      <c r="Z697" t="s">
        <v>3960</v>
      </c>
      <c r="AA697" t="s">
        <v>3826</v>
      </c>
      <c r="AB697" s="3">
        <v>45672</v>
      </c>
      <c r="AC697" t="s">
        <v>9802</v>
      </c>
      <c r="AD697" t="str">
        <f>HYPERLINK("https%3A%2F%2Fwww.webofscience.com%2Fwos%2Fwoscc%2Ffull-record%2FWOS:000752514400005","View Full Record in Web of Science")</f>
        <v>View Full Record in Web of Science</v>
      </c>
    </row>
    <row r="698" spans="1:30" x14ac:dyDescent="0.35">
      <c r="A698">
        <v>697</v>
      </c>
      <c r="B698" t="s">
        <v>3727</v>
      </c>
      <c r="C698" t="s">
        <v>9803</v>
      </c>
      <c r="D698" t="s">
        <v>3727</v>
      </c>
      <c r="E698" t="s">
        <v>2872</v>
      </c>
      <c r="F698" t="s">
        <v>3810</v>
      </c>
      <c r="G698" t="s">
        <v>9804</v>
      </c>
      <c r="H698" t="s">
        <v>9805</v>
      </c>
      <c r="I698" t="s">
        <v>9799</v>
      </c>
      <c r="J698" t="s">
        <v>9806</v>
      </c>
      <c r="K698" t="s">
        <v>9807</v>
      </c>
      <c r="L698">
        <v>12</v>
      </c>
      <c r="M698" t="s">
        <v>3951</v>
      </c>
      <c r="N698" t="s">
        <v>3952</v>
      </c>
      <c r="O698" t="s">
        <v>3953</v>
      </c>
      <c r="P698" t="s">
        <v>3954</v>
      </c>
      <c r="Q698" t="s">
        <v>3955</v>
      </c>
      <c r="R698" t="s">
        <v>3956</v>
      </c>
      <c r="S698" t="s">
        <v>3957</v>
      </c>
      <c r="T698" t="s">
        <v>3932</v>
      </c>
      <c r="U698">
        <v>2023</v>
      </c>
      <c r="V698">
        <v>620</v>
      </c>
      <c r="W698" t="s">
        <v>3808</v>
      </c>
      <c r="X698" t="s">
        <v>9808</v>
      </c>
      <c r="Y698" t="str">
        <f>HYPERLINK("http://dx.doi.org/10.1016/j.jhydrol.2023.129454","http://dx.doi.org/10.1016/j.jhydrol.2023.129454")</f>
        <v>http://dx.doi.org/10.1016/j.jhydrol.2023.129454</v>
      </c>
      <c r="Z698" t="s">
        <v>3960</v>
      </c>
      <c r="AA698" t="s">
        <v>3826</v>
      </c>
      <c r="AB698" s="3">
        <v>45672</v>
      </c>
      <c r="AC698" t="s">
        <v>9809</v>
      </c>
      <c r="AD698" t="str">
        <f>HYPERLINK("https%3A%2F%2Fwww.webofscience.com%2Fwos%2Fwoscc%2Ffull-record%2FWOS:001029736800001","View Full Record in Web of Science")</f>
        <v>View Full Record in Web of Science</v>
      </c>
    </row>
    <row r="699" spans="1:30" x14ac:dyDescent="0.35">
      <c r="A699">
        <v>698</v>
      </c>
      <c r="B699" t="s">
        <v>3728</v>
      </c>
      <c r="C699" t="s">
        <v>9810</v>
      </c>
      <c r="D699" t="s">
        <v>3728</v>
      </c>
      <c r="E699" t="s">
        <v>2938</v>
      </c>
      <c r="F699" t="s">
        <v>3810</v>
      </c>
      <c r="G699" t="s">
        <v>9811</v>
      </c>
      <c r="H699" t="s">
        <v>9812</v>
      </c>
      <c r="I699" t="s">
        <v>9813</v>
      </c>
      <c r="J699" t="s">
        <v>9814</v>
      </c>
      <c r="K699" t="s">
        <v>9815</v>
      </c>
      <c r="L699">
        <v>10</v>
      </c>
      <c r="M699" t="s">
        <v>5340</v>
      </c>
      <c r="N699" t="s">
        <v>5341</v>
      </c>
      <c r="O699" t="s">
        <v>5342</v>
      </c>
      <c r="P699" t="s">
        <v>5343</v>
      </c>
      <c r="Q699" t="s">
        <v>3808</v>
      </c>
      <c r="R699" t="s">
        <v>5344</v>
      </c>
      <c r="S699" t="s">
        <v>5345</v>
      </c>
      <c r="T699" t="s">
        <v>4001</v>
      </c>
      <c r="U699">
        <v>2016</v>
      </c>
      <c r="V699">
        <v>8</v>
      </c>
      <c r="W699">
        <v>1</v>
      </c>
      <c r="X699" t="s">
        <v>9816</v>
      </c>
      <c r="Y699" t="str">
        <f>HYPERLINK("http://dx.doi.org/10.1515/geo-2016-0034","http://dx.doi.org/10.1515/geo-2016-0034")</f>
        <v>http://dx.doi.org/10.1515/geo-2016-0034</v>
      </c>
      <c r="Z699" t="s">
        <v>4116</v>
      </c>
      <c r="AA699" t="s">
        <v>3826</v>
      </c>
      <c r="AB699" s="3">
        <v>45672</v>
      </c>
      <c r="AC699" t="s">
        <v>9817</v>
      </c>
      <c r="AD699" t="str">
        <f>HYPERLINK("https%3A%2F%2Fwww.webofscience.com%2Fwos%2Fwoscc%2Ffull-record%2FWOS:000385797300025","View Full Record in Web of Science")</f>
        <v>View Full Record in Web of Science</v>
      </c>
    </row>
    <row r="700" spans="1:30" x14ac:dyDescent="0.35">
      <c r="A700">
        <v>699</v>
      </c>
      <c r="B700" t="s">
        <v>3729</v>
      </c>
      <c r="C700" t="s">
        <v>9818</v>
      </c>
      <c r="D700" t="s">
        <v>3729</v>
      </c>
      <c r="E700" t="s">
        <v>2888</v>
      </c>
      <c r="F700" t="s">
        <v>3810</v>
      </c>
      <c r="G700" t="s">
        <v>9819</v>
      </c>
      <c r="H700" t="s">
        <v>9820</v>
      </c>
      <c r="I700" t="s">
        <v>9821</v>
      </c>
      <c r="J700" t="s">
        <v>9822</v>
      </c>
      <c r="K700" t="s">
        <v>9823</v>
      </c>
      <c r="L700">
        <v>26</v>
      </c>
      <c r="M700" t="s">
        <v>3951</v>
      </c>
      <c r="N700" t="s">
        <v>3952</v>
      </c>
      <c r="O700" t="s">
        <v>3953</v>
      </c>
      <c r="P700" t="s">
        <v>4198</v>
      </c>
      <c r="Q700" t="s">
        <v>4199</v>
      </c>
      <c r="R700" t="s">
        <v>4200</v>
      </c>
      <c r="S700" t="s">
        <v>4201</v>
      </c>
      <c r="T700" t="s">
        <v>4137</v>
      </c>
      <c r="U700">
        <v>2021</v>
      </c>
      <c r="V700">
        <v>203</v>
      </c>
      <c r="W700" t="s">
        <v>3808</v>
      </c>
      <c r="X700" t="s">
        <v>9824</v>
      </c>
      <c r="Y700" t="str">
        <f>HYPERLINK("http://dx.doi.org/10.1016/j.gloplacha.2021.103538","http://dx.doi.org/10.1016/j.gloplacha.2021.103538")</f>
        <v>http://dx.doi.org/10.1016/j.gloplacha.2021.103538</v>
      </c>
      <c r="Z700" t="s">
        <v>4203</v>
      </c>
      <c r="AA700" t="s">
        <v>3826</v>
      </c>
      <c r="AB700" s="3">
        <v>45672</v>
      </c>
      <c r="AC700" t="s">
        <v>9825</v>
      </c>
      <c r="AD700" t="str">
        <f>HYPERLINK("https%3A%2F%2Fwww.webofscience.com%2Fwos%2Fwoscc%2Ffull-record%2FWOS:000670281800003","View Full Record in Web of Science")</f>
        <v>View Full Record in Web of Science</v>
      </c>
    </row>
    <row r="701" spans="1:30" x14ac:dyDescent="0.35">
      <c r="A701">
        <v>700</v>
      </c>
      <c r="B701" t="s">
        <v>3730</v>
      </c>
      <c r="C701" t="s">
        <v>9826</v>
      </c>
      <c r="D701" t="s">
        <v>3730</v>
      </c>
      <c r="E701" t="s">
        <v>3024</v>
      </c>
      <c r="F701" t="s">
        <v>3810</v>
      </c>
      <c r="G701" t="s">
        <v>9827</v>
      </c>
      <c r="H701" t="s">
        <v>9828</v>
      </c>
      <c r="I701" t="s">
        <v>9829</v>
      </c>
      <c r="K701" t="s">
        <v>3808</v>
      </c>
      <c r="L701">
        <v>3</v>
      </c>
      <c r="M701" t="s">
        <v>3850</v>
      </c>
      <c r="N701" t="s">
        <v>3851</v>
      </c>
      <c r="O701" t="s">
        <v>3852</v>
      </c>
      <c r="P701" t="s">
        <v>9830</v>
      </c>
      <c r="Q701" t="s">
        <v>9831</v>
      </c>
      <c r="R701" t="s">
        <v>9832</v>
      </c>
      <c r="S701" t="s">
        <v>9833</v>
      </c>
      <c r="T701" t="s">
        <v>3958</v>
      </c>
      <c r="U701">
        <v>2019</v>
      </c>
      <c r="V701">
        <v>28</v>
      </c>
      <c r="W701">
        <v>6</v>
      </c>
      <c r="X701" t="s">
        <v>9834</v>
      </c>
      <c r="Y701" t="str">
        <f>HYPERLINK("http://dx.doi.org/10.1111/iar.12326","http://dx.doi.org/10.1111/iar.12326")</f>
        <v>http://dx.doi.org/10.1111/iar.12326</v>
      </c>
      <c r="Z701" t="s">
        <v>4116</v>
      </c>
      <c r="AA701" t="s">
        <v>3826</v>
      </c>
      <c r="AB701" s="3">
        <v>45672</v>
      </c>
      <c r="AC701" t="s">
        <v>9835</v>
      </c>
      <c r="AD701" t="str">
        <f>HYPERLINK("https%3A%2F%2Fwww.webofscience.com%2Fwos%2Fwoscc%2Ffull-record%2FWOS:000497680800003","View Full Record in Web of Science")</f>
        <v>View Full Record in Web of Science</v>
      </c>
    </row>
    <row r="702" spans="1:30" x14ac:dyDescent="0.35">
      <c r="A702">
        <v>701</v>
      </c>
      <c r="B702" t="s">
        <v>3731</v>
      </c>
      <c r="C702" t="s">
        <v>9836</v>
      </c>
      <c r="D702" t="s">
        <v>3731</v>
      </c>
      <c r="E702" t="s">
        <v>2867</v>
      </c>
      <c r="F702" t="s">
        <v>3810</v>
      </c>
      <c r="G702" t="s">
        <v>9837</v>
      </c>
      <c r="H702" t="s">
        <v>9838</v>
      </c>
      <c r="I702" t="s">
        <v>8401</v>
      </c>
      <c r="J702" t="s">
        <v>9839</v>
      </c>
      <c r="K702" t="s">
        <v>9840</v>
      </c>
      <c r="L702">
        <v>15</v>
      </c>
      <c r="M702" t="s">
        <v>3866</v>
      </c>
      <c r="N702" t="s">
        <v>3817</v>
      </c>
      <c r="O702" t="s">
        <v>3867</v>
      </c>
      <c r="P702" t="s">
        <v>3868</v>
      </c>
      <c r="Q702" t="s">
        <v>3869</v>
      </c>
      <c r="R702" t="s">
        <v>3870</v>
      </c>
      <c r="S702" t="s">
        <v>3871</v>
      </c>
      <c r="T702" t="s">
        <v>3872</v>
      </c>
      <c r="U702">
        <v>2018</v>
      </c>
      <c r="V702">
        <v>51</v>
      </c>
      <c r="W702" t="s">
        <v>3873</v>
      </c>
      <c r="X702" t="s">
        <v>9841</v>
      </c>
      <c r="Y702" t="str">
        <f>HYPERLINK("http://dx.doi.org/10.1007/s00382-017-3995-0","http://dx.doi.org/10.1007/s00382-017-3995-0")</f>
        <v>http://dx.doi.org/10.1007/s00382-017-3995-0</v>
      </c>
      <c r="Z702" t="s">
        <v>3825</v>
      </c>
      <c r="AA702" t="s">
        <v>3826</v>
      </c>
      <c r="AB702" s="3">
        <v>45672</v>
      </c>
      <c r="AC702" t="s">
        <v>9842</v>
      </c>
      <c r="AD702" t="str">
        <f>HYPERLINK("https%3A%2F%2Fwww.webofscience.com%2Fwos%2Fwoscc%2Ffull-record%2FWOS:000442433200023","View Full Record in Web of Science")</f>
        <v>View Full Record in Web of Science</v>
      </c>
    </row>
    <row r="703" spans="1:30" x14ac:dyDescent="0.35">
      <c r="A703">
        <v>702</v>
      </c>
      <c r="B703" t="s">
        <v>3732</v>
      </c>
      <c r="C703" t="s">
        <v>9843</v>
      </c>
      <c r="D703" t="s">
        <v>3732</v>
      </c>
      <c r="E703" t="s">
        <v>2866</v>
      </c>
      <c r="F703" t="s">
        <v>3810</v>
      </c>
      <c r="G703" t="s">
        <v>9844</v>
      </c>
      <c r="H703" t="s">
        <v>9845</v>
      </c>
      <c r="I703" t="s">
        <v>9846</v>
      </c>
      <c r="J703" t="s">
        <v>9847</v>
      </c>
      <c r="K703" t="s">
        <v>9848</v>
      </c>
      <c r="L703">
        <v>24</v>
      </c>
      <c r="M703" t="s">
        <v>3850</v>
      </c>
      <c r="N703" t="s">
        <v>3851</v>
      </c>
      <c r="O703" t="s">
        <v>3852</v>
      </c>
      <c r="P703" t="s">
        <v>3853</v>
      </c>
      <c r="Q703" t="s">
        <v>3854</v>
      </c>
      <c r="R703" t="s">
        <v>3855</v>
      </c>
      <c r="S703" t="s">
        <v>3856</v>
      </c>
      <c r="T703" t="s">
        <v>3918</v>
      </c>
      <c r="U703">
        <v>2017</v>
      </c>
      <c r="V703">
        <v>37</v>
      </c>
      <c r="W703">
        <v>9</v>
      </c>
      <c r="X703" t="s">
        <v>9849</v>
      </c>
      <c r="Y703" t="str">
        <f>HYPERLINK("http://dx.doi.org/10.1002/joc.4942","http://dx.doi.org/10.1002/joc.4942")</f>
        <v>http://dx.doi.org/10.1002/joc.4942</v>
      </c>
      <c r="Z703" t="s">
        <v>3825</v>
      </c>
      <c r="AA703" t="s">
        <v>3826</v>
      </c>
      <c r="AB703" s="3">
        <v>45672</v>
      </c>
      <c r="AC703" t="s">
        <v>9850</v>
      </c>
      <c r="AD703" t="str">
        <f>HYPERLINK("https%3A%2F%2Fwww.webofscience.com%2Fwos%2Fwoscc%2Ffull-record%2FWOS:000404854600008","View Full Record in Web of Science")</f>
        <v>View Full Record in Web of Science</v>
      </c>
    </row>
    <row r="704" spans="1:30" x14ac:dyDescent="0.35">
      <c r="A704">
        <v>703</v>
      </c>
      <c r="B704" t="s">
        <v>3733</v>
      </c>
      <c r="C704" t="s">
        <v>9851</v>
      </c>
      <c r="D704" t="s">
        <v>3733</v>
      </c>
      <c r="E704" t="s">
        <v>2946</v>
      </c>
      <c r="F704" t="s">
        <v>3810</v>
      </c>
      <c r="G704" t="s">
        <v>9852</v>
      </c>
      <c r="H704" t="s">
        <v>9853</v>
      </c>
      <c r="I704" t="s">
        <v>9854</v>
      </c>
      <c r="J704" t="s">
        <v>9855</v>
      </c>
      <c r="K704" t="s">
        <v>9856</v>
      </c>
      <c r="L704">
        <v>90</v>
      </c>
      <c r="M704" t="s">
        <v>3951</v>
      </c>
      <c r="N704" t="s">
        <v>3952</v>
      </c>
      <c r="O704" t="s">
        <v>3953</v>
      </c>
      <c r="P704" t="s">
        <v>5892</v>
      </c>
      <c r="Q704" t="s">
        <v>5893</v>
      </c>
      <c r="R704" t="s">
        <v>5894</v>
      </c>
      <c r="S704" t="s">
        <v>5895</v>
      </c>
      <c r="T704" t="s">
        <v>3872</v>
      </c>
      <c r="U704">
        <v>2017</v>
      </c>
      <c r="V704">
        <v>49</v>
      </c>
      <c r="W704" t="s">
        <v>3808</v>
      </c>
      <c r="X704" t="s">
        <v>9857</v>
      </c>
      <c r="Y704" t="str">
        <f>HYPERLINK("http://dx.doi.org/10.1016/j.gr.2017.06.006","http://dx.doi.org/10.1016/j.gr.2017.06.006")</f>
        <v>http://dx.doi.org/10.1016/j.gr.2017.06.006</v>
      </c>
      <c r="Z704" t="s">
        <v>4116</v>
      </c>
      <c r="AA704" t="s">
        <v>3826</v>
      </c>
      <c r="AB704" s="3">
        <v>45672</v>
      </c>
      <c r="AC704" t="s">
        <v>9858</v>
      </c>
      <c r="AD704" t="str">
        <f>HYPERLINK("https%3A%2F%2Fwww.webofscience.com%2Fwos%2Fwoscc%2Ffull-record%2FWOS:000414383200018","View Full Record in Web of Science")</f>
        <v>View Full Record in Web of Science</v>
      </c>
    </row>
    <row r="705" spans="1:30" x14ac:dyDescent="0.35">
      <c r="A705">
        <v>704</v>
      </c>
      <c r="B705" t="s">
        <v>3734</v>
      </c>
      <c r="C705" t="s">
        <v>9859</v>
      </c>
      <c r="D705" t="s">
        <v>3734</v>
      </c>
      <c r="E705" t="s">
        <v>2872</v>
      </c>
      <c r="F705" t="s">
        <v>3810</v>
      </c>
      <c r="G705" t="s">
        <v>9860</v>
      </c>
      <c r="H705" t="s">
        <v>9861</v>
      </c>
      <c r="I705" t="s">
        <v>9862</v>
      </c>
      <c r="J705" t="s">
        <v>9863</v>
      </c>
      <c r="K705" t="s">
        <v>9864</v>
      </c>
      <c r="L705">
        <v>6</v>
      </c>
      <c r="M705" t="s">
        <v>3951</v>
      </c>
      <c r="N705" t="s">
        <v>3952</v>
      </c>
      <c r="O705" t="s">
        <v>3953</v>
      </c>
      <c r="P705" t="s">
        <v>3954</v>
      </c>
      <c r="Q705" t="s">
        <v>3955</v>
      </c>
      <c r="R705" t="s">
        <v>3956</v>
      </c>
      <c r="S705" t="s">
        <v>3957</v>
      </c>
      <c r="T705" t="s">
        <v>3932</v>
      </c>
      <c r="U705">
        <v>2023</v>
      </c>
      <c r="V705">
        <v>620</v>
      </c>
      <c r="W705" t="s">
        <v>3808</v>
      </c>
      <c r="X705" t="s">
        <v>9865</v>
      </c>
      <c r="Y705" t="str">
        <f>HYPERLINK("http://dx.doi.org/10.1016/j.jhydrol.2023.129352","http://dx.doi.org/10.1016/j.jhydrol.2023.129352")</f>
        <v>http://dx.doi.org/10.1016/j.jhydrol.2023.129352</v>
      </c>
      <c r="Z705" t="s">
        <v>3960</v>
      </c>
      <c r="AA705" t="s">
        <v>3826</v>
      </c>
      <c r="AB705" s="3">
        <v>45672</v>
      </c>
      <c r="AC705" t="s">
        <v>9866</v>
      </c>
      <c r="AD705" t="str">
        <f>HYPERLINK("https%3A%2F%2Fwww.webofscience.com%2Fwos%2Fwoscc%2Ffull-record%2FWOS:000973014100001","View Full Record in Web of Science")</f>
        <v>View Full Record in Web of Science</v>
      </c>
    </row>
    <row r="706" spans="1:30" x14ac:dyDescent="0.35">
      <c r="A706">
        <v>705</v>
      </c>
      <c r="B706" t="s">
        <v>3735</v>
      </c>
      <c r="C706" t="s">
        <v>9867</v>
      </c>
      <c r="D706" t="s">
        <v>3735</v>
      </c>
      <c r="E706" t="s">
        <v>2926</v>
      </c>
      <c r="F706" t="s">
        <v>3810</v>
      </c>
      <c r="G706" t="s">
        <v>9868</v>
      </c>
      <c r="H706" t="s">
        <v>9869</v>
      </c>
      <c r="I706" t="s">
        <v>9870</v>
      </c>
      <c r="K706" t="s">
        <v>3808</v>
      </c>
      <c r="L706">
        <v>7</v>
      </c>
      <c r="M706" t="s">
        <v>3951</v>
      </c>
      <c r="N706" t="s">
        <v>3952</v>
      </c>
      <c r="O706" t="s">
        <v>3953</v>
      </c>
      <c r="P706" t="s">
        <v>5029</v>
      </c>
      <c r="Q706" t="s">
        <v>3808</v>
      </c>
      <c r="R706" t="s">
        <v>5030</v>
      </c>
      <c r="S706" t="s">
        <v>5031</v>
      </c>
      <c r="T706" t="s">
        <v>8844</v>
      </c>
      <c r="U706">
        <v>2022</v>
      </c>
      <c r="V706">
        <v>81</v>
      </c>
      <c r="W706" t="s">
        <v>3808</v>
      </c>
      <c r="X706" t="s">
        <v>9871</v>
      </c>
      <c r="Y706" t="str">
        <f>HYPERLINK("http://dx.doi.org/10.1016/j.ijdrr.2022.103275","http://dx.doi.org/10.1016/j.ijdrr.2022.103275")</f>
        <v>http://dx.doi.org/10.1016/j.ijdrr.2022.103275</v>
      </c>
      <c r="Z706" t="s">
        <v>3934</v>
      </c>
      <c r="AA706" t="s">
        <v>3826</v>
      </c>
      <c r="AB706" s="3">
        <v>45672</v>
      </c>
      <c r="AC706" t="s">
        <v>9872</v>
      </c>
      <c r="AD706" t="str">
        <f>HYPERLINK("https%3A%2F%2Fwww.webofscience.com%2Fwos%2Fwoscc%2Ffull-record%2FWOS:000868906300005","View Full Record in Web of Science")</f>
        <v>View Full Record in Web of Science</v>
      </c>
    </row>
    <row r="707" spans="1:30" x14ac:dyDescent="0.35">
      <c r="A707">
        <v>706</v>
      </c>
      <c r="B707" t="s">
        <v>3736</v>
      </c>
      <c r="C707" t="s">
        <v>9873</v>
      </c>
      <c r="D707" t="s">
        <v>3736</v>
      </c>
      <c r="E707" t="s">
        <v>2872</v>
      </c>
      <c r="F707" t="s">
        <v>3810</v>
      </c>
      <c r="G707" t="s">
        <v>9874</v>
      </c>
      <c r="H707" t="s">
        <v>9875</v>
      </c>
      <c r="I707" t="s">
        <v>9876</v>
      </c>
      <c r="J707" t="s">
        <v>9877</v>
      </c>
      <c r="K707" t="s">
        <v>9878</v>
      </c>
      <c r="L707">
        <v>41</v>
      </c>
      <c r="M707" t="s">
        <v>3951</v>
      </c>
      <c r="N707" t="s">
        <v>3952</v>
      </c>
      <c r="O707" t="s">
        <v>3953</v>
      </c>
      <c r="P707" t="s">
        <v>3954</v>
      </c>
      <c r="Q707" t="s">
        <v>3955</v>
      </c>
      <c r="R707" t="s">
        <v>3956</v>
      </c>
      <c r="S707" t="s">
        <v>3957</v>
      </c>
      <c r="T707" t="s">
        <v>4163</v>
      </c>
      <c r="U707">
        <v>2021</v>
      </c>
      <c r="V707">
        <v>603</v>
      </c>
      <c r="W707" t="s">
        <v>3808</v>
      </c>
      <c r="X707" t="s">
        <v>9879</v>
      </c>
      <c r="Y707" t="str">
        <f>HYPERLINK("http://dx.doi.org/10.1016/j.jhydrol.2021.126990","http://dx.doi.org/10.1016/j.jhydrol.2021.126990")</f>
        <v>http://dx.doi.org/10.1016/j.jhydrol.2021.126990</v>
      </c>
      <c r="Z707" t="s">
        <v>3960</v>
      </c>
      <c r="AA707" t="s">
        <v>3826</v>
      </c>
      <c r="AB707" s="3">
        <v>45672</v>
      </c>
      <c r="AC707" t="s">
        <v>9880</v>
      </c>
      <c r="AD707" t="str">
        <f>HYPERLINK("https%3A%2F%2Fwww.webofscience.com%2Fwos%2Fwoscc%2Ffull-record%2FWOS:000706318300065","View Full Record in Web of Science")</f>
        <v>View Full Record in Web of Science</v>
      </c>
    </row>
    <row r="708" spans="1:30" x14ac:dyDescent="0.35">
      <c r="A708">
        <v>707</v>
      </c>
      <c r="B708" t="s">
        <v>3737</v>
      </c>
      <c r="C708" t="s">
        <v>9881</v>
      </c>
      <c r="D708" t="s">
        <v>3737</v>
      </c>
      <c r="E708" t="s">
        <v>3025</v>
      </c>
      <c r="F708" t="s">
        <v>3810</v>
      </c>
      <c r="G708" t="s">
        <v>9882</v>
      </c>
      <c r="H708" t="s">
        <v>9883</v>
      </c>
      <c r="I708" t="s">
        <v>9884</v>
      </c>
      <c r="J708" t="s">
        <v>9885</v>
      </c>
      <c r="K708" t="s">
        <v>9886</v>
      </c>
      <c r="L708">
        <v>23</v>
      </c>
      <c r="M708" t="s">
        <v>5326</v>
      </c>
      <c r="N708" t="s">
        <v>4047</v>
      </c>
      <c r="O708" t="s">
        <v>5327</v>
      </c>
      <c r="P708" t="s">
        <v>9887</v>
      </c>
      <c r="Q708" t="s">
        <v>9888</v>
      </c>
      <c r="R708" t="s">
        <v>9889</v>
      </c>
      <c r="S708" t="s">
        <v>9890</v>
      </c>
      <c r="T708" t="s">
        <v>4114</v>
      </c>
      <c r="U708">
        <v>2015</v>
      </c>
      <c r="V708">
        <v>61</v>
      </c>
      <c r="W708" t="s">
        <v>3808</v>
      </c>
      <c r="X708" t="s">
        <v>9891</v>
      </c>
      <c r="Y708" t="str">
        <f>HYPERLINK("http://dx.doi.org/10.1016/j.marpetgeo.2014.12.004","http://dx.doi.org/10.1016/j.marpetgeo.2014.12.004")</f>
        <v>http://dx.doi.org/10.1016/j.marpetgeo.2014.12.004</v>
      </c>
      <c r="Z708" t="s">
        <v>4116</v>
      </c>
      <c r="AA708" t="s">
        <v>3826</v>
      </c>
      <c r="AB708" s="3">
        <v>45672</v>
      </c>
      <c r="AC708" t="s">
        <v>9892</v>
      </c>
      <c r="AD708" t="str">
        <f>HYPERLINK("https%3A%2F%2Fwww.webofscience.com%2Fwos%2Fwoscc%2Ffull-record%2FWOS:000350840300010","View Full Record in Web of Science")</f>
        <v>View Full Record in Web of Science</v>
      </c>
    </row>
    <row r="709" spans="1:30" x14ac:dyDescent="0.35">
      <c r="A709">
        <v>708</v>
      </c>
      <c r="B709" t="s">
        <v>3738</v>
      </c>
      <c r="C709" t="s">
        <v>9893</v>
      </c>
      <c r="D709" t="s">
        <v>3738</v>
      </c>
      <c r="E709" t="s">
        <v>2910</v>
      </c>
      <c r="F709" t="s">
        <v>3810</v>
      </c>
      <c r="G709" t="s">
        <v>9894</v>
      </c>
      <c r="H709" t="s">
        <v>9895</v>
      </c>
      <c r="I709" t="s">
        <v>9896</v>
      </c>
      <c r="J709" t="s">
        <v>9897</v>
      </c>
      <c r="K709" t="s">
        <v>9898</v>
      </c>
      <c r="L709">
        <v>2</v>
      </c>
      <c r="M709" t="s">
        <v>4555</v>
      </c>
      <c r="N709" t="s">
        <v>4556</v>
      </c>
      <c r="O709" t="s">
        <v>4557</v>
      </c>
      <c r="P709" t="s">
        <v>3808</v>
      </c>
      <c r="Q709" t="s">
        <v>4558</v>
      </c>
      <c r="R709" t="s">
        <v>4559</v>
      </c>
      <c r="S709" t="s">
        <v>4560</v>
      </c>
      <c r="T709" t="s">
        <v>4773</v>
      </c>
      <c r="U709">
        <v>2021</v>
      </c>
      <c r="V709">
        <v>9</v>
      </c>
      <c r="W709" t="s">
        <v>3808</v>
      </c>
      <c r="X709" t="s">
        <v>9899</v>
      </c>
      <c r="Y709" t="str">
        <f>HYPERLINK("http://dx.doi.org/10.3389/feart.2021.688250","http://dx.doi.org/10.3389/feart.2021.688250")</f>
        <v>http://dx.doi.org/10.3389/feart.2021.688250</v>
      </c>
      <c r="Z709" t="s">
        <v>4116</v>
      </c>
      <c r="AA709" t="s">
        <v>3826</v>
      </c>
      <c r="AB709" s="3">
        <v>45672</v>
      </c>
      <c r="AC709" t="s">
        <v>9900</v>
      </c>
      <c r="AD709" t="str">
        <f>HYPERLINK("https%3A%2F%2Fwww.webofscience.com%2Fwos%2Fwoscc%2Ffull-record%2FWOS:000730425900001","View Full Record in Web of Science")</f>
        <v>View Full Record in Web of Science</v>
      </c>
    </row>
    <row r="710" spans="1:30" x14ac:dyDescent="0.35">
      <c r="A710">
        <v>709</v>
      </c>
      <c r="B710" t="s">
        <v>3739</v>
      </c>
      <c r="C710" t="s">
        <v>9901</v>
      </c>
      <c r="D710" t="s">
        <v>3739</v>
      </c>
      <c r="E710" t="s">
        <v>2894</v>
      </c>
      <c r="F710" t="s">
        <v>3810</v>
      </c>
      <c r="G710" t="s">
        <v>9902</v>
      </c>
      <c r="H710" t="s">
        <v>9903</v>
      </c>
      <c r="I710" t="s">
        <v>9904</v>
      </c>
      <c r="J710" t="s">
        <v>9905</v>
      </c>
      <c r="K710" t="s">
        <v>9906</v>
      </c>
      <c r="L710">
        <v>4</v>
      </c>
      <c r="M710" t="s">
        <v>4252</v>
      </c>
      <c r="N710" t="s">
        <v>4253</v>
      </c>
      <c r="O710" t="s">
        <v>4254</v>
      </c>
      <c r="P710" t="s">
        <v>4255</v>
      </c>
      <c r="Q710" t="s">
        <v>4256</v>
      </c>
      <c r="R710" t="s">
        <v>4257</v>
      </c>
      <c r="S710" t="s">
        <v>4258</v>
      </c>
      <c r="T710" t="s">
        <v>4001</v>
      </c>
      <c r="U710">
        <v>2023</v>
      </c>
      <c r="V710">
        <v>151</v>
      </c>
      <c r="W710" t="s">
        <v>4259</v>
      </c>
      <c r="X710" t="s">
        <v>9907</v>
      </c>
      <c r="Y710" t="str">
        <f>HYPERLINK("http://dx.doi.org/10.1007/s00704-022-04268-1","http://dx.doi.org/10.1007/s00704-022-04268-1")</f>
        <v>http://dx.doi.org/10.1007/s00704-022-04268-1</v>
      </c>
      <c r="Z710" t="s">
        <v>3825</v>
      </c>
      <c r="AA710" t="s">
        <v>3826</v>
      </c>
      <c r="AB710" s="3">
        <v>45672</v>
      </c>
      <c r="AC710" t="s">
        <v>9908</v>
      </c>
      <c r="AD710" t="str">
        <f>HYPERLINK("https%3A%2F%2Fwww.webofscience.com%2Fwos%2Fwoscc%2Ffull-record%2FWOS:000884175500004","View Full Record in Web of Science")</f>
        <v>View Full Record in Web of Science</v>
      </c>
    </row>
    <row r="711" spans="1:30" x14ac:dyDescent="0.35">
      <c r="A711">
        <v>710</v>
      </c>
      <c r="B711" t="s">
        <v>3740</v>
      </c>
      <c r="C711" t="s">
        <v>9909</v>
      </c>
      <c r="D711" t="s">
        <v>3740</v>
      </c>
      <c r="E711" t="s">
        <v>2924</v>
      </c>
      <c r="F711" t="s">
        <v>3810</v>
      </c>
      <c r="G711" t="s">
        <v>9910</v>
      </c>
      <c r="H711" t="s">
        <v>9911</v>
      </c>
      <c r="I711" t="s">
        <v>9912</v>
      </c>
      <c r="J711" t="s">
        <v>9913</v>
      </c>
      <c r="K711" t="s">
        <v>9914</v>
      </c>
      <c r="L711">
        <v>3</v>
      </c>
      <c r="M711" t="s">
        <v>3911</v>
      </c>
      <c r="N711" t="s">
        <v>3912</v>
      </c>
      <c r="O711" t="s">
        <v>3913</v>
      </c>
      <c r="P711" t="s">
        <v>4965</v>
      </c>
      <c r="Q711" t="s">
        <v>4966</v>
      </c>
      <c r="R711" t="s">
        <v>4967</v>
      </c>
      <c r="S711" t="s">
        <v>4968</v>
      </c>
      <c r="T711" t="s">
        <v>7538</v>
      </c>
      <c r="U711">
        <v>2018</v>
      </c>
      <c r="V711">
        <v>45</v>
      </c>
      <c r="W711">
        <v>16</v>
      </c>
      <c r="X711" t="s">
        <v>9915</v>
      </c>
      <c r="Y711" t="str">
        <f>HYPERLINK("http://dx.doi.org/10.1029/2018GL078558","http://dx.doi.org/10.1029/2018GL078558")</f>
        <v>http://dx.doi.org/10.1029/2018GL078558</v>
      </c>
      <c r="Z711" t="s">
        <v>4116</v>
      </c>
      <c r="AA711" t="s">
        <v>3826</v>
      </c>
      <c r="AB711" s="3">
        <v>45672</v>
      </c>
      <c r="AC711" t="s">
        <v>9916</v>
      </c>
      <c r="AD711" t="str">
        <f>HYPERLINK("https%3A%2F%2Fwww.webofscience.com%2Fwos%2Fwoscc%2Ffull-record%2FWOS:000445612500071","View Full Record in Web of Science")</f>
        <v>View Full Record in Web of Science</v>
      </c>
    </row>
    <row r="712" spans="1:30" x14ac:dyDescent="0.35">
      <c r="A712">
        <v>711</v>
      </c>
      <c r="B712" t="s">
        <v>3741</v>
      </c>
      <c r="C712" t="s">
        <v>9917</v>
      </c>
      <c r="D712" t="s">
        <v>3741</v>
      </c>
      <c r="E712" t="s">
        <v>2900</v>
      </c>
      <c r="F712" t="s">
        <v>3810</v>
      </c>
      <c r="G712" t="s">
        <v>9918</v>
      </c>
      <c r="H712" t="s">
        <v>9919</v>
      </c>
      <c r="I712" t="s">
        <v>6151</v>
      </c>
      <c r="J712" t="s">
        <v>9920</v>
      </c>
      <c r="K712" t="s">
        <v>9921</v>
      </c>
      <c r="L712">
        <v>10</v>
      </c>
      <c r="M712" t="s">
        <v>4339</v>
      </c>
      <c r="N712" t="s">
        <v>4340</v>
      </c>
      <c r="O712" t="s">
        <v>4341</v>
      </c>
      <c r="P712" t="s">
        <v>4342</v>
      </c>
      <c r="Q712" t="s">
        <v>4343</v>
      </c>
      <c r="R712" t="s">
        <v>4344</v>
      </c>
      <c r="S712" t="s">
        <v>4345</v>
      </c>
      <c r="T712" t="s">
        <v>4627</v>
      </c>
      <c r="U712">
        <v>2021</v>
      </c>
      <c r="V712">
        <v>21</v>
      </c>
      <c r="W712">
        <v>1</v>
      </c>
      <c r="X712" t="s">
        <v>9922</v>
      </c>
      <c r="Y712" t="str">
        <f>HYPERLINK("http://dx.doi.org/10.5194/nhess-21-1-2021","http://dx.doi.org/10.5194/nhess-21-1-2021")</f>
        <v>http://dx.doi.org/10.5194/nhess-21-1-2021</v>
      </c>
      <c r="Z712" t="s">
        <v>3934</v>
      </c>
      <c r="AA712" t="s">
        <v>3826</v>
      </c>
      <c r="AB712" s="3">
        <v>45672</v>
      </c>
      <c r="AC712" t="s">
        <v>9923</v>
      </c>
      <c r="AD712" t="str">
        <f>HYPERLINK("https%3A%2F%2Fwww.webofscience.com%2Fwos%2Fwoscc%2Ffull-record%2FWOS:000606736500001","View Full Record in Web of Science")</f>
        <v>View Full Record in Web of Science</v>
      </c>
    </row>
    <row r="713" spans="1:30" x14ac:dyDescent="0.35">
      <c r="A713">
        <v>712</v>
      </c>
      <c r="B713" t="s">
        <v>3742</v>
      </c>
      <c r="C713" t="s">
        <v>9924</v>
      </c>
      <c r="D713" t="s">
        <v>3742</v>
      </c>
      <c r="E713" t="s">
        <v>2960</v>
      </c>
      <c r="F713" t="s">
        <v>3810</v>
      </c>
      <c r="G713" t="s">
        <v>9925</v>
      </c>
      <c r="H713" t="s">
        <v>9926</v>
      </c>
      <c r="I713" t="s">
        <v>9927</v>
      </c>
      <c r="J713" t="s">
        <v>9928</v>
      </c>
      <c r="K713" t="s">
        <v>9929</v>
      </c>
      <c r="L713">
        <v>1</v>
      </c>
      <c r="M713" t="s">
        <v>4277</v>
      </c>
      <c r="N713" t="s">
        <v>4278</v>
      </c>
      <c r="O713" t="s">
        <v>4279</v>
      </c>
      <c r="P713" t="s">
        <v>3808</v>
      </c>
      <c r="Q713" t="s">
        <v>6415</v>
      </c>
      <c r="R713" t="s">
        <v>6416</v>
      </c>
      <c r="S713" t="s">
        <v>6417</v>
      </c>
      <c r="T713" t="s">
        <v>3918</v>
      </c>
      <c r="U713">
        <v>2023</v>
      </c>
      <c r="V713">
        <v>13</v>
      </c>
      <c r="W713">
        <v>7</v>
      </c>
      <c r="X713" t="s">
        <v>9930</v>
      </c>
      <c r="Y713" t="str">
        <f>HYPERLINK("http://dx.doi.org/10.3390/min13070911","http://dx.doi.org/10.3390/min13070911")</f>
        <v>http://dx.doi.org/10.3390/min13070911</v>
      </c>
      <c r="Z713" t="s">
        <v>6419</v>
      </c>
      <c r="AA713" t="s">
        <v>3826</v>
      </c>
      <c r="AB713" s="3">
        <v>45672</v>
      </c>
      <c r="AC713" t="s">
        <v>9931</v>
      </c>
      <c r="AD713" t="str">
        <f>HYPERLINK("https%3A%2F%2Fwww.webofscience.com%2Fwos%2Fwoscc%2Ffull-record%2FWOS:001038836600001","View Full Record in Web of Science")</f>
        <v>View Full Record in Web of Science</v>
      </c>
    </row>
    <row r="714" spans="1:30" x14ac:dyDescent="0.35">
      <c r="A714">
        <v>713</v>
      </c>
      <c r="B714" t="s">
        <v>3743</v>
      </c>
      <c r="C714" t="s">
        <v>9932</v>
      </c>
      <c r="D714" t="s">
        <v>3743</v>
      </c>
      <c r="E714" t="s">
        <v>2957</v>
      </c>
      <c r="F714" t="s">
        <v>3810</v>
      </c>
      <c r="G714" t="s">
        <v>9933</v>
      </c>
      <c r="H714" t="s">
        <v>9934</v>
      </c>
      <c r="I714" t="s">
        <v>9935</v>
      </c>
      <c r="J714" t="s">
        <v>9936</v>
      </c>
      <c r="K714" t="s">
        <v>9937</v>
      </c>
      <c r="L714">
        <v>9</v>
      </c>
      <c r="M714" t="s">
        <v>3850</v>
      </c>
      <c r="N714" t="s">
        <v>3851</v>
      </c>
      <c r="O714" t="s">
        <v>3852</v>
      </c>
      <c r="P714" t="s">
        <v>6289</v>
      </c>
      <c r="Q714" t="s">
        <v>6290</v>
      </c>
      <c r="R714" t="s">
        <v>6291</v>
      </c>
      <c r="S714" t="s">
        <v>6292</v>
      </c>
      <c r="T714" t="s">
        <v>3932</v>
      </c>
      <c r="U714">
        <v>2021</v>
      </c>
      <c r="V714">
        <v>56</v>
      </c>
      <c r="W714">
        <v>5</v>
      </c>
      <c r="X714" t="s">
        <v>9938</v>
      </c>
      <c r="Y714" t="str">
        <f>HYPERLINK("http://dx.doi.org/10.1002/gj.4062","http://dx.doi.org/10.1002/gj.4062")</f>
        <v>http://dx.doi.org/10.1002/gj.4062</v>
      </c>
      <c r="Z714" t="s">
        <v>4116</v>
      </c>
      <c r="AA714" t="s">
        <v>3826</v>
      </c>
      <c r="AB714" s="3">
        <v>45672</v>
      </c>
      <c r="AC714" t="s">
        <v>9939</v>
      </c>
      <c r="AD714" t="str">
        <f>HYPERLINK("https%3A%2F%2Fwww.webofscience.com%2Fwos%2Fwoscc%2Ffull-record%2FWOS:000600356600001","View Full Record in Web of Science")</f>
        <v>View Full Record in Web of Science</v>
      </c>
    </row>
    <row r="715" spans="1:30" x14ac:dyDescent="0.35">
      <c r="A715">
        <v>714</v>
      </c>
      <c r="B715" t="s">
        <v>3744</v>
      </c>
      <c r="C715" t="s">
        <v>9940</v>
      </c>
      <c r="D715" t="s">
        <v>3744</v>
      </c>
      <c r="E715" t="s">
        <v>2894</v>
      </c>
      <c r="F715" t="s">
        <v>3810</v>
      </c>
      <c r="G715" t="s">
        <v>9941</v>
      </c>
      <c r="H715" t="s">
        <v>9942</v>
      </c>
      <c r="I715" t="s">
        <v>9943</v>
      </c>
      <c r="J715" t="s">
        <v>9944</v>
      </c>
      <c r="K715" t="s">
        <v>9945</v>
      </c>
      <c r="L715">
        <v>11</v>
      </c>
      <c r="M715" t="s">
        <v>4252</v>
      </c>
      <c r="N715" t="s">
        <v>4253</v>
      </c>
      <c r="O715" t="s">
        <v>4254</v>
      </c>
      <c r="P715" t="s">
        <v>4255</v>
      </c>
      <c r="Q715" t="s">
        <v>4256</v>
      </c>
      <c r="R715" t="s">
        <v>4257</v>
      </c>
      <c r="S715" t="s">
        <v>4258</v>
      </c>
      <c r="T715" t="s">
        <v>4016</v>
      </c>
      <c r="U715">
        <v>2014</v>
      </c>
      <c r="V715">
        <v>118</v>
      </c>
      <c r="W715" t="s">
        <v>4259</v>
      </c>
      <c r="X715" t="s">
        <v>9946</v>
      </c>
      <c r="Y715" t="str">
        <f>HYPERLINK("http://dx.doi.org/10.1007/s00704-013-1062-2","http://dx.doi.org/10.1007/s00704-013-1062-2")</f>
        <v>http://dx.doi.org/10.1007/s00704-013-1062-2</v>
      </c>
      <c r="Z715" t="s">
        <v>3825</v>
      </c>
      <c r="AA715" t="s">
        <v>3826</v>
      </c>
      <c r="AB715" s="3">
        <v>45672</v>
      </c>
      <c r="AC715" t="s">
        <v>9947</v>
      </c>
      <c r="AD715" t="str">
        <f>HYPERLINK("https%3A%2F%2Fwww.webofscience.com%2Fwos%2Fwoscc%2Ffull-record%2FWOS:000342439300029","View Full Record in Web of Science")</f>
        <v>View Full Record in Web of Science</v>
      </c>
    </row>
    <row r="716" spans="1:30" x14ac:dyDescent="0.35">
      <c r="A716">
        <v>715</v>
      </c>
      <c r="B716" t="s">
        <v>3745</v>
      </c>
      <c r="C716" t="s">
        <v>9948</v>
      </c>
      <c r="D716" t="s">
        <v>3745</v>
      </c>
      <c r="E716" t="s">
        <v>3025</v>
      </c>
      <c r="F716" t="s">
        <v>3810</v>
      </c>
      <c r="G716" t="s">
        <v>9949</v>
      </c>
      <c r="H716" t="s">
        <v>9950</v>
      </c>
      <c r="I716" t="s">
        <v>9951</v>
      </c>
      <c r="J716" t="s">
        <v>9952</v>
      </c>
      <c r="K716" t="s">
        <v>9953</v>
      </c>
      <c r="L716">
        <v>6</v>
      </c>
      <c r="M716" t="s">
        <v>5326</v>
      </c>
      <c r="N716" t="s">
        <v>4047</v>
      </c>
      <c r="O716" t="s">
        <v>5327</v>
      </c>
      <c r="P716" t="s">
        <v>9887</v>
      </c>
      <c r="Q716" t="s">
        <v>9888</v>
      </c>
      <c r="R716" t="s">
        <v>9889</v>
      </c>
      <c r="S716" t="s">
        <v>9890</v>
      </c>
      <c r="T716" t="s">
        <v>5045</v>
      </c>
      <c r="U716">
        <v>2021</v>
      </c>
      <c r="V716">
        <v>126</v>
      </c>
      <c r="W716" t="s">
        <v>3808</v>
      </c>
      <c r="X716" t="s">
        <v>9954</v>
      </c>
      <c r="Y716" t="str">
        <f>HYPERLINK("http://dx.doi.org/10.1016/j.marpetgeo.2021.104897","http://dx.doi.org/10.1016/j.marpetgeo.2021.104897")</f>
        <v>http://dx.doi.org/10.1016/j.marpetgeo.2021.104897</v>
      </c>
      <c r="Z716" t="s">
        <v>4116</v>
      </c>
      <c r="AA716" t="s">
        <v>3826</v>
      </c>
      <c r="AB716" s="3">
        <v>45672</v>
      </c>
      <c r="AC716" t="s">
        <v>9955</v>
      </c>
      <c r="AD716" t="str">
        <f>HYPERLINK("https%3A%2F%2Fwww.webofscience.com%2Fwos%2Fwoscc%2Ffull-record%2FWOS:000620619300001","View Full Record in Web of Science")</f>
        <v>View Full Record in Web of Science</v>
      </c>
    </row>
    <row r="717" spans="1:30" x14ac:dyDescent="0.35">
      <c r="A717">
        <v>716</v>
      </c>
      <c r="B717" t="s">
        <v>3746</v>
      </c>
      <c r="C717" t="s">
        <v>9956</v>
      </c>
      <c r="D717" t="s">
        <v>3746</v>
      </c>
      <c r="E717" t="s">
        <v>2959</v>
      </c>
      <c r="F717" t="s">
        <v>3810</v>
      </c>
      <c r="G717" t="s">
        <v>9957</v>
      </c>
      <c r="H717" t="s">
        <v>9958</v>
      </c>
      <c r="I717" t="s">
        <v>9959</v>
      </c>
      <c r="K717" t="s">
        <v>3808</v>
      </c>
      <c r="L717">
        <v>0</v>
      </c>
      <c r="M717" t="s">
        <v>5326</v>
      </c>
      <c r="N717" t="s">
        <v>4047</v>
      </c>
      <c r="O717" t="s">
        <v>5327</v>
      </c>
      <c r="P717" t="s">
        <v>6394</v>
      </c>
      <c r="Q717" t="s">
        <v>6395</v>
      </c>
      <c r="R717" t="s">
        <v>6396</v>
      </c>
      <c r="S717" t="s">
        <v>6397</v>
      </c>
      <c r="T717" t="s">
        <v>9647</v>
      </c>
      <c r="U717">
        <v>2022</v>
      </c>
      <c r="V717">
        <v>69</v>
      </c>
      <c r="W717">
        <v>10</v>
      </c>
      <c r="X717" t="s">
        <v>9960</v>
      </c>
      <c r="Y717" t="str">
        <f>HYPERLINK("http://dx.doi.org/10.1016/j.asr.2022.02.036","http://dx.doi.org/10.1016/j.asr.2022.02.036")</f>
        <v>http://dx.doi.org/10.1016/j.asr.2022.02.036</v>
      </c>
      <c r="Z717" t="s">
        <v>6399</v>
      </c>
      <c r="AA717" t="s">
        <v>3826</v>
      </c>
      <c r="AB717" s="3">
        <v>45672</v>
      </c>
      <c r="AC717" t="s">
        <v>9961</v>
      </c>
      <c r="AD717" t="str">
        <f>HYPERLINK("https%3A%2F%2Fwww.webofscience.com%2Fwos%2Fwoscc%2Ffull-record%2FWOS:000795158600003","View Full Record in Web of Science")</f>
        <v>View Full Record in Web of Science</v>
      </c>
    </row>
    <row r="718" spans="1:30" x14ac:dyDescent="0.35">
      <c r="A718">
        <v>717</v>
      </c>
      <c r="B718" t="s">
        <v>3747</v>
      </c>
      <c r="C718" t="s">
        <v>9962</v>
      </c>
      <c r="D718" t="s">
        <v>3747</v>
      </c>
      <c r="E718" t="s">
        <v>2905</v>
      </c>
      <c r="F718" t="s">
        <v>3810</v>
      </c>
      <c r="G718" t="s">
        <v>9963</v>
      </c>
      <c r="H718" t="s">
        <v>9964</v>
      </c>
      <c r="I718" t="s">
        <v>9965</v>
      </c>
      <c r="J718" t="s">
        <v>9966</v>
      </c>
      <c r="K718" t="s">
        <v>9967</v>
      </c>
      <c r="L718">
        <v>12</v>
      </c>
      <c r="M718" t="s">
        <v>4339</v>
      </c>
      <c r="N718" t="s">
        <v>4340</v>
      </c>
      <c r="O718" t="s">
        <v>4341</v>
      </c>
      <c r="P718" t="s">
        <v>4449</v>
      </c>
      <c r="Q718" t="s">
        <v>4450</v>
      </c>
      <c r="R718" t="s">
        <v>4451</v>
      </c>
      <c r="S718" t="s">
        <v>4452</v>
      </c>
      <c r="T718" t="s">
        <v>5616</v>
      </c>
      <c r="U718">
        <v>2022</v>
      </c>
      <c r="V718">
        <v>18</v>
      </c>
      <c r="W718">
        <v>5</v>
      </c>
      <c r="X718" t="s">
        <v>9968</v>
      </c>
      <c r="Y718" t="str">
        <f>HYPERLINK("http://dx.doi.org/10.5194/cp-18-1083-2022","http://dx.doi.org/10.5194/cp-18-1083-2022")</f>
        <v>http://dx.doi.org/10.5194/cp-18-1083-2022</v>
      </c>
      <c r="Z718" t="s">
        <v>4455</v>
      </c>
      <c r="AA718" t="s">
        <v>3826</v>
      </c>
      <c r="AB718" s="3">
        <v>45672</v>
      </c>
      <c r="AC718" t="s">
        <v>9969</v>
      </c>
      <c r="AD718" t="str">
        <f>HYPERLINK("https%3A%2F%2Fwww.webofscience.com%2Fwos%2Fwoscc%2Ffull-record%2FWOS:000798016400001","View Full Record in Web of Science")</f>
        <v>View Full Record in Web of Science</v>
      </c>
    </row>
    <row r="719" spans="1:30" x14ac:dyDescent="0.35">
      <c r="A719">
        <v>718</v>
      </c>
      <c r="B719" t="s">
        <v>3748</v>
      </c>
      <c r="C719" t="s">
        <v>9970</v>
      </c>
      <c r="D719" t="s">
        <v>3748</v>
      </c>
      <c r="E719" t="s">
        <v>2925</v>
      </c>
      <c r="F719" t="s">
        <v>3810</v>
      </c>
      <c r="G719" t="s">
        <v>9971</v>
      </c>
      <c r="H719" t="s">
        <v>9972</v>
      </c>
      <c r="I719" t="s">
        <v>9973</v>
      </c>
      <c r="J719" t="s">
        <v>7262</v>
      </c>
      <c r="K719" t="s">
        <v>9974</v>
      </c>
      <c r="L719">
        <v>26</v>
      </c>
      <c r="M719" t="s">
        <v>3911</v>
      </c>
      <c r="N719" t="s">
        <v>3912</v>
      </c>
      <c r="O719" t="s">
        <v>3913</v>
      </c>
      <c r="P719" t="s">
        <v>4993</v>
      </c>
      <c r="Q719" t="s">
        <v>3808</v>
      </c>
      <c r="R719" t="s">
        <v>4994</v>
      </c>
      <c r="S719" t="s">
        <v>4995</v>
      </c>
      <c r="T719" t="s">
        <v>3974</v>
      </c>
      <c r="U719">
        <v>2018</v>
      </c>
      <c r="V719">
        <v>19</v>
      </c>
      <c r="W719">
        <v>6</v>
      </c>
      <c r="X719" t="s">
        <v>9975</v>
      </c>
      <c r="Y719" t="str">
        <f>HYPERLINK("http://dx.doi.org/10.1029/2017GC007356","http://dx.doi.org/10.1029/2017GC007356")</f>
        <v>http://dx.doi.org/10.1029/2017GC007356</v>
      </c>
      <c r="Z719" t="s">
        <v>3920</v>
      </c>
      <c r="AA719" t="s">
        <v>3826</v>
      </c>
      <c r="AB719" s="3">
        <v>45672</v>
      </c>
      <c r="AC719" t="s">
        <v>9976</v>
      </c>
      <c r="AD719" t="str">
        <f>HYPERLINK("https%3A%2F%2Fwww.webofscience.com%2Fwos%2Fwoscc%2Ffull-record%2FWOS:000445194000002","View Full Record in Web of Science")</f>
        <v>View Full Record in Web of Science</v>
      </c>
    </row>
    <row r="720" spans="1:30" x14ac:dyDescent="0.35">
      <c r="A720">
        <v>719</v>
      </c>
      <c r="B720" t="s">
        <v>3749</v>
      </c>
      <c r="C720" t="s">
        <v>9977</v>
      </c>
      <c r="D720" t="s">
        <v>3749</v>
      </c>
      <c r="E720" t="s">
        <v>2867</v>
      </c>
      <c r="F720" t="s">
        <v>3810</v>
      </c>
      <c r="G720" t="s">
        <v>9978</v>
      </c>
      <c r="H720" t="s">
        <v>9979</v>
      </c>
      <c r="I720" t="s">
        <v>9980</v>
      </c>
      <c r="J720" t="s">
        <v>9981</v>
      </c>
      <c r="K720" t="s">
        <v>9982</v>
      </c>
      <c r="L720">
        <v>27</v>
      </c>
      <c r="M720" t="s">
        <v>3866</v>
      </c>
      <c r="N720" t="s">
        <v>3817</v>
      </c>
      <c r="O720" t="s">
        <v>4290</v>
      </c>
      <c r="P720" t="s">
        <v>3868</v>
      </c>
      <c r="Q720" t="s">
        <v>3869</v>
      </c>
      <c r="R720" t="s">
        <v>3870</v>
      </c>
      <c r="S720" t="s">
        <v>3871</v>
      </c>
      <c r="T720" t="s">
        <v>3872</v>
      </c>
      <c r="U720">
        <v>2019</v>
      </c>
      <c r="V720">
        <v>53</v>
      </c>
      <c r="W720" t="s">
        <v>3873</v>
      </c>
      <c r="X720" t="s">
        <v>9983</v>
      </c>
      <c r="Y720" t="str">
        <f>HYPERLINK("http://dx.doi.org/10.1007/s00382-019-04694-4","http://dx.doi.org/10.1007/s00382-019-04694-4")</f>
        <v>http://dx.doi.org/10.1007/s00382-019-04694-4</v>
      </c>
      <c r="Z720" t="s">
        <v>3825</v>
      </c>
      <c r="AA720" t="s">
        <v>3826</v>
      </c>
      <c r="AB720" s="3">
        <v>45672</v>
      </c>
      <c r="AC720" t="s">
        <v>9984</v>
      </c>
      <c r="AD720" t="str">
        <f>HYPERLINK("https%3A%2F%2Fwww.webofscience.com%2Fwos%2Fwoscc%2Ffull-record%2FWOS:000483626900041","View Full Record in Web of Science")</f>
        <v>View Full Record in Web of Science</v>
      </c>
    </row>
    <row r="721" spans="1:30" x14ac:dyDescent="0.35">
      <c r="A721">
        <v>720</v>
      </c>
      <c r="B721" t="s">
        <v>3750</v>
      </c>
      <c r="C721" t="s">
        <v>9985</v>
      </c>
      <c r="D721" t="s">
        <v>3750</v>
      </c>
      <c r="E721" t="s">
        <v>2867</v>
      </c>
      <c r="F721" t="s">
        <v>3810</v>
      </c>
      <c r="G721" t="s">
        <v>9986</v>
      </c>
      <c r="H721" t="s">
        <v>9987</v>
      </c>
      <c r="I721" t="s">
        <v>9988</v>
      </c>
      <c r="J721" t="s">
        <v>9989</v>
      </c>
      <c r="K721" t="s">
        <v>9990</v>
      </c>
      <c r="L721">
        <v>224</v>
      </c>
      <c r="M721" t="s">
        <v>3866</v>
      </c>
      <c r="N721" t="s">
        <v>3817</v>
      </c>
      <c r="O721" t="s">
        <v>3867</v>
      </c>
      <c r="P721" t="s">
        <v>3868</v>
      </c>
      <c r="Q721" t="s">
        <v>3869</v>
      </c>
      <c r="R721" t="s">
        <v>3870</v>
      </c>
      <c r="S721" t="s">
        <v>3871</v>
      </c>
      <c r="T721" t="s">
        <v>3958</v>
      </c>
      <c r="U721">
        <v>2015</v>
      </c>
      <c r="V721">
        <v>45</v>
      </c>
      <c r="W721" t="s">
        <v>5232</v>
      </c>
      <c r="X721" t="s">
        <v>9991</v>
      </c>
      <c r="Y721" t="str">
        <f>HYPERLINK("http://dx.doi.org/10.1007/s00382-015-2500-x","http://dx.doi.org/10.1007/s00382-015-2500-x")</f>
        <v>http://dx.doi.org/10.1007/s00382-015-2500-x</v>
      </c>
      <c r="Z721" t="s">
        <v>3825</v>
      </c>
      <c r="AA721" t="s">
        <v>3826</v>
      </c>
      <c r="AB721" s="3">
        <v>45672</v>
      </c>
      <c r="AC721" t="s">
        <v>9992</v>
      </c>
      <c r="AD721" t="str">
        <f>HYPERLINK("https%3A%2F%2Fwww.webofscience.com%2Fwos%2Fwoscc%2Ffull-record%2FWOS:000363952100025","View Full Record in Web of Science")</f>
        <v>View Full Record in Web of Science</v>
      </c>
    </row>
    <row r="722" spans="1:30" x14ac:dyDescent="0.35">
      <c r="A722">
        <v>721</v>
      </c>
      <c r="B722" t="s">
        <v>3751</v>
      </c>
      <c r="C722" t="s">
        <v>9993</v>
      </c>
      <c r="D722" t="s">
        <v>3751</v>
      </c>
      <c r="E722" t="s">
        <v>2924</v>
      </c>
      <c r="F722" t="s">
        <v>3810</v>
      </c>
      <c r="G722" t="s">
        <v>9994</v>
      </c>
      <c r="H722" t="s">
        <v>9995</v>
      </c>
      <c r="I722" t="s">
        <v>9996</v>
      </c>
      <c r="J722" t="s">
        <v>9996</v>
      </c>
      <c r="K722" t="s">
        <v>9997</v>
      </c>
      <c r="L722">
        <v>35</v>
      </c>
      <c r="M722" t="s">
        <v>3911</v>
      </c>
      <c r="N722" t="s">
        <v>3912</v>
      </c>
      <c r="O722" t="s">
        <v>3913</v>
      </c>
      <c r="P722" t="s">
        <v>4965</v>
      </c>
      <c r="Q722" t="s">
        <v>4966</v>
      </c>
      <c r="R722" t="s">
        <v>4967</v>
      </c>
      <c r="S722" t="s">
        <v>4968</v>
      </c>
      <c r="T722" t="s">
        <v>4839</v>
      </c>
      <c r="U722">
        <v>2017</v>
      </c>
      <c r="V722">
        <v>44</v>
      </c>
      <c r="W722">
        <v>20</v>
      </c>
      <c r="X722" t="s">
        <v>9998</v>
      </c>
      <c r="Y722" t="str">
        <f>HYPERLINK("http://dx.doi.org/10.1002/2017GL075380","http://dx.doi.org/10.1002/2017GL075380")</f>
        <v>http://dx.doi.org/10.1002/2017GL075380</v>
      </c>
      <c r="Z722" t="s">
        <v>4116</v>
      </c>
      <c r="AA722" t="s">
        <v>3826</v>
      </c>
      <c r="AB722" s="3">
        <v>45672</v>
      </c>
      <c r="AC722" t="s">
        <v>9999</v>
      </c>
      <c r="AD722" t="str">
        <f>HYPERLINK("https%3A%2F%2Fwww.webofscience.com%2Fwos%2Fwoscc%2Ffull-record%2FWOS:000416761600057","View Full Record in Web of Science")</f>
        <v>View Full Record in Web of Science</v>
      </c>
    </row>
    <row r="723" spans="1:30" x14ac:dyDescent="0.35">
      <c r="A723">
        <v>722</v>
      </c>
      <c r="B723" t="s">
        <v>3752</v>
      </c>
      <c r="C723" t="s">
        <v>10000</v>
      </c>
      <c r="D723" t="s">
        <v>3752</v>
      </c>
      <c r="E723" t="s">
        <v>2945</v>
      </c>
      <c r="F723" t="s">
        <v>3810</v>
      </c>
      <c r="G723" t="s">
        <v>10001</v>
      </c>
      <c r="H723" t="s">
        <v>10002</v>
      </c>
      <c r="I723" t="s">
        <v>10003</v>
      </c>
      <c r="J723" t="s">
        <v>7673</v>
      </c>
      <c r="K723" t="s">
        <v>10004</v>
      </c>
      <c r="L723">
        <v>68</v>
      </c>
      <c r="M723" t="s">
        <v>5837</v>
      </c>
      <c r="N723" t="s">
        <v>5838</v>
      </c>
      <c r="O723" t="s">
        <v>5839</v>
      </c>
      <c r="P723" t="s">
        <v>5840</v>
      </c>
      <c r="Q723" t="s">
        <v>3808</v>
      </c>
      <c r="R723" t="s">
        <v>5841</v>
      </c>
      <c r="S723" t="s">
        <v>5842</v>
      </c>
      <c r="T723" t="s">
        <v>4114</v>
      </c>
      <c r="U723">
        <v>2019</v>
      </c>
      <c r="V723">
        <v>10</v>
      </c>
      <c r="W723">
        <v>2</v>
      </c>
      <c r="X723" t="s">
        <v>10005</v>
      </c>
      <c r="Y723" t="str">
        <f>HYPERLINK("http://dx.doi.org/10.1016/j.gsf.2017.10.010","http://dx.doi.org/10.1016/j.gsf.2017.10.010")</f>
        <v>http://dx.doi.org/10.1016/j.gsf.2017.10.010</v>
      </c>
      <c r="Z723" t="s">
        <v>4116</v>
      </c>
      <c r="AA723" t="s">
        <v>3826</v>
      </c>
      <c r="AB723" s="3">
        <v>45672</v>
      </c>
      <c r="AC723" t="s">
        <v>10006</v>
      </c>
      <c r="AD723" t="str">
        <f>HYPERLINK("https%3A%2F%2Fwww.webofscience.com%2Fwos%2Fwoscc%2Ffull-record%2FWOS:000459141200005","View Full Record in Web of Science")</f>
        <v>View Full Record in Web of Science</v>
      </c>
    </row>
    <row r="724" spans="1:30" x14ac:dyDescent="0.35">
      <c r="A724">
        <v>723</v>
      </c>
      <c r="B724" t="s">
        <v>3753</v>
      </c>
      <c r="C724" t="s">
        <v>10007</v>
      </c>
      <c r="D724" t="s">
        <v>3753</v>
      </c>
      <c r="E724" t="s">
        <v>3026</v>
      </c>
      <c r="F724" t="s">
        <v>3810</v>
      </c>
      <c r="G724" t="s">
        <v>10008</v>
      </c>
      <c r="H724" t="s">
        <v>10009</v>
      </c>
      <c r="I724" t="s">
        <v>10010</v>
      </c>
      <c r="K724" t="s">
        <v>3808</v>
      </c>
      <c r="L724">
        <v>14</v>
      </c>
      <c r="M724" t="s">
        <v>4211</v>
      </c>
      <c r="N724" t="s">
        <v>3952</v>
      </c>
      <c r="O724" t="s">
        <v>4212</v>
      </c>
      <c r="P724" t="s">
        <v>10011</v>
      </c>
      <c r="Q724" t="s">
        <v>10012</v>
      </c>
      <c r="R724" t="s">
        <v>3026</v>
      </c>
      <c r="S724" t="s">
        <v>10013</v>
      </c>
      <c r="T724" t="s">
        <v>6634</v>
      </c>
      <c r="U724">
        <v>2016</v>
      </c>
      <c r="V724">
        <v>262</v>
      </c>
      <c r="W724" t="s">
        <v>3808</v>
      </c>
      <c r="X724" t="s">
        <v>10014</v>
      </c>
      <c r="Y724" t="str">
        <f>HYPERLINK("http://dx.doi.org/10.1016/j.geomorph.2016.03.022","http://dx.doi.org/10.1016/j.geomorph.2016.03.022")</f>
        <v>http://dx.doi.org/10.1016/j.geomorph.2016.03.022</v>
      </c>
      <c r="Z724" t="s">
        <v>4203</v>
      </c>
      <c r="AA724" t="s">
        <v>3826</v>
      </c>
      <c r="AB724" s="3">
        <v>45672</v>
      </c>
      <c r="AC724" t="s">
        <v>10015</v>
      </c>
      <c r="AD724" t="str">
        <f>HYPERLINK("https%3A%2F%2Fwww.webofscience.com%2Fwos%2Fwoscc%2Ffull-record%2FWOS:000376713600010","View Full Record in Web of Science")</f>
        <v>View Full Record in Web of Science</v>
      </c>
    </row>
    <row r="725" spans="1:30" x14ac:dyDescent="0.35">
      <c r="A725">
        <v>724</v>
      </c>
      <c r="B725" t="s">
        <v>3754</v>
      </c>
      <c r="C725" t="s">
        <v>10016</v>
      </c>
      <c r="D725" t="s">
        <v>3754</v>
      </c>
      <c r="E725" t="s">
        <v>3027</v>
      </c>
      <c r="F725" t="s">
        <v>3810</v>
      </c>
      <c r="G725" t="s">
        <v>10017</v>
      </c>
      <c r="H725" t="s">
        <v>10018</v>
      </c>
      <c r="I725" t="s">
        <v>10019</v>
      </c>
      <c r="J725" t="s">
        <v>10020</v>
      </c>
      <c r="K725" t="s">
        <v>10021</v>
      </c>
      <c r="L725">
        <v>17</v>
      </c>
      <c r="M725" t="s">
        <v>4211</v>
      </c>
      <c r="N725" t="s">
        <v>3952</v>
      </c>
      <c r="O725" t="s">
        <v>4212</v>
      </c>
      <c r="P725" t="s">
        <v>10022</v>
      </c>
      <c r="Q725" t="s">
        <v>10023</v>
      </c>
      <c r="R725" t="s">
        <v>10024</v>
      </c>
      <c r="S725" t="s">
        <v>10025</v>
      </c>
      <c r="T725" t="s">
        <v>4053</v>
      </c>
      <c r="U725">
        <v>2015</v>
      </c>
      <c r="V725">
        <v>326</v>
      </c>
      <c r="W725" t="s">
        <v>3808</v>
      </c>
      <c r="X725" t="s">
        <v>10026</v>
      </c>
      <c r="Y725" t="str">
        <f>HYPERLINK("http://dx.doi.org/10.1016/j.sedgeo.2015.06.010","http://dx.doi.org/10.1016/j.sedgeo.2015.06.010")</f>
        <v>http://dx.doi.org/10.1016/j.sedgeo.2015.06.010</v>
      </c>
      <c r="Z725" t="s">
        <v>3973</v>
      </c>
      <c r="AA725" t="s">
        <v>3826</v>
      </c>
      <c r="AB725" s="3">
        <v>45672</v>
      </c>
      <c r="AC725" t="s">
        <v>10027</v>
      </c>
      <c r="AD725" t="str">
        <f>HYPERLINK("https%3A%2F%2Fwww.webofscience.com%2Fwos%2Fwoscc%2Ffull-record%2FWOS:000360252500008","View Full Record in Web of Science")</f>
        <v>View Full Record in Web of Science</v>
      </c>
    </row>
    <row r="726" spans="1:30" x14ac:dyDescent="0.35">
      <c r="A726">
        <v>725</v>
      </c>
      <c r="B726" t="s">
        <v>3755</v>
      </c>
      <c r="C726" t="s">
        <v>10028</v>
      </c>
      <c r="D726" t="s">
        <v>3755</v>
      </c>
      <c r="E726" t="s">
        <v>2871</v>
      </c>
      <c r="F726" t="s">
        <v>3810</v>
      </c>
      <c r="G726" t="s">
        <v>10029</v>
      </c>
      <c r="H726" t="s">
        <v>10030</v>
      </c>
      <c r="I726" t="s">
        <v>10031</v>
      </c>
      <c r="J726" t="s">
        <v>10032</v>
      </c>
      <c r="K726" t="s">
        <v>10033</v>
      </c>
      <c r="L726">
        <v>17</v>
      </c>
      <c r="M726" t="s">
        <v>3866</v>
      </c>
      <c r="N726" t="s">
        <v>3817</v>
      </c>
      <c r="O726" t="s">
        <v>3867</v>
      </c>
      <c r="P726" t="s">
        <v>3928</v>
      </c>
      <c r="Q726" t="s">
        <v>3929</v>
      </c>
      <c r="R726" t="s">
        <v>3930</v>
      </c>
      <c r="S726" t="s">
        <v>3931</v>
      </c>
      <c r="T726" t="s">
        <v>3872</v>
      </c>
      <c r="U726">
        <v>2014</v>
      </c>
      <c r="V726">
        <v>73</v>
      </c>
      <c r="W726">
        <v>2</v>
      </c>
      <c r="X726" t="s">
        <v>10034</v>
      </c>
      <c r="Y726" t="str">
        <f>HYPERLINK("http://dx.doi.org/10.1007/s11069-014-1083-x","http://dx.doi.org/10.1007/s11069-014-1083-x")</f>
        <v>http://dx.doi.org/10.1007/s11069-014-1083-x</v>
      </c>
      <c r="Z726" t="s">
        <v>3934</v>
      </c>
      <c r="AA726" t="s">
        <v>3826</v>
      </c>
      <c r="AB726" s="3">
        <v>45672</v>
      </c>
      <c r="AC726" t="s">
        <v>10035</v>
      </c>
      <c r="AD726" t="str">
        <f>HYPERLINK("https%3A%2F%2Fwww.webofscience.com%2Fwos%2Fwoscc%2Ffull-record%2FWOS:000340490100021","View Full Record in Web of Science")</f>
        <v>View Full Record in Web of Science</v>
      </c>
    </row>
    <row r="727" spans="1:30" x14ac:dyDescent="0.35">
      <c r="A727">
        <v>726</v>
      </c>
      <c r="B727" t="s">
        <v>3756</v>
      </c>
      <c r="C727" t="s">
        <v>10036</v>
      </c>
      <c r="D727" t="s">
        <v>3756</v>
      </c>
      <c r="E727" t="s">
        <v>2888</v>
      </c>
      <c r="F727" t="s">
        <v>3810</v>
      </c>
      <c r="G727" t="s">
        <v>10037</v>
      </c>
      <c r="H727" t="s">
        <v>10038</v>
      </c>
      <c r="I727" t="s">
        <v>10039</v>
      </c>
      <c r="J727" t="s">
        <v>10040</v>
      </c>
      <c r="K727" t="s">
        <v>10041</v>
      </c>
      <c r="L727">
        <v>122</v>
      </c>
      <c r="M727" t="s">
        <v>4211</v>
      </c>
      <c r="N727" t="s">
        <v>3952</v>
      </c>
      <c r="O727" t="s">
        <v>4212</v>
      </c>
      <c r="P727" t="s">
        <v>4198</v>
      </c>
      <c r="Q727" t="s">
        <v>4199</v>
      </c>
      <c r="R727" t="s">
        <v>4200</v>
      </c>
      <c r="S727" t="s">
        <v>4201</v>
      </c>
      <c r="T727" t="s">
        <v>3823</v>
      </c>
      <c r="U727">
        <v>2014</v>
      </c>
      <c r="V727">
        <v>113</v>
      </c>
      <c r="W727" t="s">
        <v>3808</v>
      </c>
      <c r="X727" t="s">
        <v>10042</v>
      </c>
      <c r="Y727" t="str">
        <f>HYPERLINK("http://dx.doi.org/10.1016/j.gloplacha.2013.12.003","http://dx.doi.org/10.1016/j.gloplacha.2013.12.003")</f>
        <v>http://dx.doi.org/10.1016/j.gloplacha.2013.12.003</v>
      </c>
      <c r="Z727" t="s">
        <v>4203</v>
      </c>
      <c r="AA727" t="s">
        <v>3826</v>
      </c>
      <c r="AB727" s="3">
        <v>45672</v>
      </c>
      <c r="AC727" t="s">
        <v>10043</v>
      </c>
      <c r="AD727" t="str">
        <f>HYPERLINK("https%3A%2F%2Fwww.webofscience.com%2Fwos%2Fwoscc%2Ffull-record%2FWOS:000331500600001","View Full Record in Web of Science")</f>
        <v>View Full Record in Web of Science</v>
      </c>
    </row>
    <row r="728" spans="1:30" x14ac:dyDescent="0.35">
      <c r="A728">
        <v>727</v>
      </c>
      <c r="B728" t="s">
        <v>3757</v>
      </c>
      <c r="C728" t="s">
        <v>10044</v>
      </c>
      <c r="D728" t="s">
        <v>3757</v>
      </c>
      <c r="E728" t="s">
        <v>2878</v>
      </c>
      <c r="F728" t="s">
        <v>3810</v>
      </c>
      <c r="G728" t="s">
        <v>10045</v>
      </c>
      <c r="H728" t="s">
        <v>10046</v>
      </c>
      <c r="I728" t="s">
        <v>10047</v>
      </c>
      <c r="J728" t="s">
        <v>10048</v>
      </c>
      <c r="K728" t="s">
        <v>10049</v>
      </c>
      <c r="L728">
        <v>10</v>
      </c>
      <c r="M728" t="s">
        <v>4046</v>
      </c>
      <c r="N728" t="s">
        <v>4047</v>
      </c>
      <c r="O728" t="s">
        <v>4048</v>
      </c>
      <c r="P728" t="s">
        <v>4049</v>
      </c>
      <c r="Q728" t="s">
        <v>4050</v>
      </c>
      <c r="R728" t="s">
        <v>4051</v>
      </c>
      <c r="S728" t="s">
        <v>4052</v>
      </c>
      <c r="T728" t="s">
        <v>10050</v>
      </c>
      <c r="U728">
        <v>2020</v>
      </c>
      <c r="V728">
        <v>206</v>
      </c>
      <c r="W728" t="s">
        <v>3808</v>
      </c>
      <c r="X728" t="s">
        <v>10051</v>
      </c>
      <c r="Y728" t="str">
        <f>HYPERLINK("http://dx.doi.org/10.1016/j.csr.2020.104198","http://dx.doi.org/10.1016/j.csr.2020.104198")</f>
        <v>http://dx.doi.org/10.1016/j.csr.2020.104198</v>
      </c>
      <c r="Z728" t="s">
        <v>4055</v>
      </c>
      <c r="AA728" t="s">
        <v>3826</v>
      </c>
      <c r="AB728" s="3">
        <v>45672</v>
      </c>
      <c r="AC728" t="s">
        <v>10052</v>
      </c>
      <c r="AD728" t="str">
        <f>HYPERLINK("https%3A%2F%2Fwww.webofscience.com%2Fwos%2Fwoscc%2Ffull-record%2FWOS:000567735400001","View Full Record in Web of Science")</f>
        <v>View Full Record in Web of Science</v>
      </c>
    </row>
    <row r="729" spans="1:30" x14ac:dyDescent="0.35">
      <c r="A729">
        <v>728</v>
      </c>
      <c r="B729" t="s">
        <v>3758</v>
      </c>
      <c r="C729" t="s">
        <v>10053</v>
      </c>
      <c r="D729" t="s">
        <v>3758</v>
      </c>
      <c r="E729" t="s">
        <v>2927</v>
      </c>
      <c r="F729" t="s">
        <v>3810</v>
      </c>
      <c r="G729" t="s">
        <v>10054</v>
      </c>
      <c r="H729" t="s">
        <v>10055</v>
      </c>
      <c r="I729" t="s">
        <v>10056</v>
      </c>
      <c r="J729" t="s">
        <v>10057</v>
      </c>
      <c r="K729" t="s">
        <v>10058</v>
      </c>
      <c r="L729">
        <v>32</v>
      </c>
      <c r="M729" t="s">
        <v>4339</v>
      </c>
      <c r="N729" t="s">
        <v>4340</v>
      </c>
      <c r="O729" t="s">
        <v>4341</v>
      </c>
      <c r="P729" t="s">
        <v>5108</v>
      </c>
      <c r="Q729" t="s">
        <v>5109</v>
      </c>
      <c r="R729" t="s">
        <v>5110</v>
      </c>
      <c r="S729" t="s">
        <v>5111</v>
      </c>
      <c r="T729" t="s">
        <v>10059</v>
      </c>
      <c r="U729">
        <v>2016</v>
      </c>
      <c r="V729">
        <v>20</v>
      </c>
      <c r="W729">
        <v>8</v>
      </c>
      <c r="X729" t="s">
        <v>10060</v>
      </c>
      <c r="Y729" t="str">
        <f>HYPERLINK("http://dx.doi.org/10.5194/hess-20-3361-2016","http://dx.doi.org/10.5194/hess-20-3361-2016")</f>
        <v>http://dx.doi.org/10.5194/hess-20-3361-2016</v>
      </c>
      <c r="Z729" t="s">
        <v>4231</v>
      </c>
      <c r="AA729" t="s">
        <v>3826</v>
      </c>
      <c r="AB729" s="3">
        <v>45672</v>
      </c>
      <c r="AC729" t="s">
        <v>10061</v>
      </c>
      <c r="AD729" t="str">
        <f>HYPERLINK("https%3A%2F%2Fwww.webofscience.com%2Fwos%2Fwoscc%2Ffull-record%2FWOS:000383798700001","View Full Record in Web of Science")</f>
        <v>View Full Record in Web of Science</v>
      </c>
    </row>
    <row r="730" spans="1:30" x14ac:dyDescent="0.35">
      <c r="A730">
        <v>729</v>
      </c>
      <c r="B730" t="s">
        <v>3759</v>
      </c>
      <c r="C730" t="s">
        <v>10062</v>
      </c>
      <c r="D730" t="s">
        <v>3759</v>
      </c>
      <c r="E730" t="s">
        <v>2958</v>
      </c>
      <c r="F730" t="s">
        <v>3810</v>
      </c>
      <c r="G730" t="s">
        <v>10063</v>
      </c>
      <c r="H730" t="s">
        <v>10064</v>
      </c>
      <c r="I730" t="s">
        <v>10065</v>
      </c>
      <c r="J730" t="s">
        <v>10066</v>
      </c>
      <c r="K730" t="s">
        <v>10067</v>
      </c>
      <c r="L730">
        <v>16</v>
      </c>
      <c r="M730" t="s">
        <v>3911</v>
      </c>
      <c r="N730" t="s">
        <v>3912</v>
      </c>
      <c r="O730" t="s">
        <v>3913</v>
      </c>
      <c r="P730" t="s">
        <v>6340</v>
      </c>
      <c r="Q730" t="s">
        <v>6341</v>
      </c>
      <c r="R730" t="s">
        <v>6342</v>
      </c>
      <c r="S730" t="s">
        <v>6343</v>
      </c>
      <c r="T730" t="s">
        <v>3974</v>
      </c>
      <c r="U730">
        <v>2018</v>
      </c>
      <c r="V730">
        <v>123</v>
      </c>
      <c r="W730">
        <v>6</v>
      </c>
      <c r="X730" t="s">
        <v>10068</v>
      </c>
      <c r="Y730" t="str">
        <f>HYPERLINK("http://dx.doi.org/10.1029/2017JC013749","http://dx.doi.org/10.1029/2017JC013749")</f>
        <v>http://dx.doi.org/10.1029/2017JC013749</v>
      </c>
      <c r="Z730" t="s">
        <v>4055</v>
      </c>
      <c r="AA730" t="s">
        <v>3826</v>
      </c>
      <c r="AB730" s="3">
        <v>45672</v>
      </c>
      <c r="AC730" t="s">
        <v>10069</v>
      </c>
      <c r="AD730" t="str">
        <f>HYPERLINK("https%3A%2F%2Fwww.webofscience.com%2Fwos%2Fwoscc%2Ffull-record%2FWOS:000440834100014","View Full Record in Web of Science")</f>
        <v>View Full Record in Web of Science</v>
      </c>
    </row>
    <row r="731" spans="1:30" x14ac:dyDescent="0.35">
      <c r="A731">
        <v>730</v>
      </c>
      <c r="B731" t="s">
        <v>3760</v>
      </c>
      <c r="C731" t="s">
        <v>10070</v>
      </c>
      <c r="D731" t="s">
        <v>3760</v>
      </c>
      <c r="E731" t="s">
        <v>3028</v>
      </c>
      <c r="F731" t="s">
        <v>3810</v>
      </c>
      <c r="G731" t="s">
        <v>10071</v>
      </c>
      <c r="H731" t="s">
        <v>10072</v>
      </c>
      <c r="I731" t="s">
        <v>10073</v>
      </c>
      <c r="J731" t="s">
        <v>10074</v>
      </c>
      <c r="K731" t="s">
        <v>10075</v>
      </c>
      <c r="L731">
        <v>183</v>
      </c>
      <c r="M731" t="s">
        <v>4339</v>
      </c>
      <c r="N731" t="s">
        <v>4340</v>
      </c>
      <c r="O731" t="s">
        <v>4341</v>
      </c>
      <c r="P731" t="s">
        <v>10076</v>
      </c>
      <c r="Q731" t="s">
        <v>10077</v>
      </c>
      <c r="R731" t="s">
        <v>10078</v>
      </c>
      <c r="S731" t="s">
        <v>10079</v>
      </c>
      <c r="T731" t="s">
        <v>10080</v>
      </c>
      <c r="U731">
        <v>2018</v>
      </c>
      <c r="V731">
        <v>10</v>
      </c>
      <c r="W731">
        <v>1</v>
      </c>
      <c r="X731" t="s">
        <v>10081</v>
      </c>
      <c r="Y731" t="str">
        <f>HYPERLINK("http://dx.doi.org/10.5194/essd-10-219-2018","http://dx.doi.org/10.5194/essd-10-219-2018")</f>
        <v>http://dx.doi.org/10.5194/essd-10-219-2018</v>
      </c>
      <c r="Z731" t="s">
        <v>4455</v>
      </c>
      <c r="AA731" t="s">
        <v>3826</v>
      </c>
      <c r="AB731" s="3">
        <v>45672</v>
      </c>
      <c r="AC731" t="s">
        <v>10082</v>
      </c>
      <c r="AD731" t="str">
        <f>HYPERLINK("https%3A%2F%2Fwww.webofscience.com%2Fwos%2Fwoscc%2Ffull-record%2FWOS:000423726200001","View Full Record in Web of Science")</f>
        <v>View Full Record in Web of Science</v>
      </c>
    </row>
    <row r="732" spans="1:30" x14ac:dyDescent="0.35">
      <c r="A732">
        <v>731</v>
      </c>
      <c r="B732" t="s">
        <v>3761</v>
      </c>
      <c r="C732" t="s">
        <v>10083</v>
      </c>
      <c r="D732" t="s">
        <v>3761</v>
      </c>
      <c r="E732" t="s">
        <v>2867</v>
      </c>
      <c r="F732" t="s">
        <v>3810</v>
      </c>
      <c r="G732" t="s">
        <v>10084</v>
      </c>
      <c r="H732" t="s">
        <v>10085</v>
      </c>
      <c r="I732" t="s">
        <v>10086</v>
      </c>
      <c r="J732" t="s">
        <v>8624</v>
      </c>
      <c r="K732" t="s">
        <v>10087</v>
      </c>
      <c r="L732">
        <v>26</v>
      </c>
      <c r="M732" t="s">
        <v>3866</v>
      </c>
      <c r="N732" t="s">
        <v>3817</v>
      </c>
      <c r="O732" t="s">
        <v>4290</v>
      </c>
      <c r="P732" t="s">
        <v>3868</v>
      </c>
      <c r="Q732" t="s">
        <v>3869</v>
      </c>
      <c r="R732" t="s">
        <v>3870</v>
      </c>
      <c r="S732" t="s">
        <v>3871</v>
      </c>
      <c r="T732" t="s">
        <v>4137</v>
      </c>
      <c r="U732">
        <v>2018</v>
      </c>
      <c r="V732">
        <v>51</v>
      </c>
      <c r="W732">
        <v>4</v>
      </c>
      <c r="X732" t="s">
        <v>10088</v>
      </c>
      <c r="Y732" t="str">
        <f>HYPERLINK("http://dx.doi.org/10.1007/s00382-017-3967-4","http://dx.doi.org/10.1007/s00382-017-3967-4")</f>
        <v>http://dx.doi.org/10.1007/s00382-017-3967-4</v>
      </c>
      <c r="Z732" t="s">
        <v>3825</v>
      </c>
      <c r="AA732" t="s">
        <v>3826</v>
      </c>
      <c r="AB732" s="3">
        <v>45672</v>
      </c>
      <c r="AC732" t="s">
        <v>10089</v>
      </c>
      <c r="AD732" t="str">
        <f>HYPERLINK("https%3A%2F%2Fwww.webofscience.com%2Fwos%2Fwoscc%2Ffull-record%2FWOS:000439440200014","View Full Record in Web of Science")</f>
        <v>View Full Record in Web of Science</v>
      </c>
    </row>
    <row r="733" spans="1:30" x14ac:dyDescent="0.35">
      <c r="A733">
        <v>732</v>
      </c>
      <c r="B733" t="s">
        <v>3777</v>
      </c>
      <c r="C733" t="s">
        <v>10090</v>
      </c>
      <c r="D733" t="s">
        <v>3777</v>
      </c>
      <c r="E733" t="s">
        <v>2947</v>
      </c>
      <c r="F733" t="s">
        <v>3810</v>
      </c>
      <c r="G733" t="s">
        <v>10091</v>
      </c>
      <c r="H733" s="2" t="s">
        <v>10092</v>
      </c>
      <c r="I733" t="s">
        <v>10093</v>
      </c>
      <c r="J733" t="s">
        <v>10094</v>
      </c>
      <c r="K733" t="s">
        <v>3808</v>
      </c>
      <c r="L733">
        <v>166</v>
      </c>
      <c r="M733" t="s">
        <v>4033</v>
      </c>
      <c r="N733" t="s">
        <v>4034</v>
      </c>
      <c r="O733" t="s">
        <v>5063</v>
      </c>
      <c r="P733" t="s">
        <v>5910</v>
      </c>
      <c r="Q733" t="s">
        <v>5911</v>
      </c>
      <c r="R733" t="s">
        <v>5912</v>
      </c>
      <c r="S733" t="s">
        <v>5913</v>
      </c>
      <c r="T733" t="s">
        <v>3918</v>
      </c>
      <c r="U733">
        <v>2014</v>
      </c>
      <c r="V733">
        <v>95</v>
      </c>
      <c r="W733">
        <v>7</v>
      </c>
      <c r="X733" t="s">
        <v>10095</v>
      </c>
      <c r="Y733" t="str">
        <f>HYPERLINK("http://dx.doi.org/10.1175/2014BAMSStateoftheClimate.1","http://dx.doi.org/10.1175/2014BAMSStateoftheClimate.1")</f>
        <v>http://dx.doi.org/10.1175/2014BAMSStateoftheClimate.1</v>
      </c>
      <c r="Z733" t="s">
        <v>3825</v>
      </c>
      <c r="AA733" t="s">
        <v>3826</v>
      </c>
      <c r="AB733" s="3">
        <v>45672</v>
      </c>
      <c r="AC733" t="s">
        <v>10096</v>
      </c>
      <c r="AD733" t="str">
        <f>HYPERLINK("https%3A%2F%2Fwww.webofscience.com%2Fwos%2Fwoscc%2Ffull-record%2FWOS:000340980900001","View Full Record in Web of Science")</f>
        <v>View Full Record in Web of Science</v>
      </c>
    </row>
    <row r="734" spans="1:30" x14ac:dyDescent="0.35">
      <c r="J734">
        <f>COUNTIF(J2:J733,"*")</f>
        <v>636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00563-1921-4640-80FB-2D13BE1C9E10}">
  <dimension ref="A39:M42"/>
  <sheetViews>
    <sheetView workbookViewId="0">
      <selection activeCell="P36" sqref="P36"/>
    </sheetView>
  </sheetViews>
  <sheetFormatPr defaultRowHeight="14.5" x14ac:dyDescent="0.35"/>
  <sheetData>
    <row r="39" spans="1:13" ht="58" x14ac:dyDescent="0.35">
      <c r="A39" s="1" t="s">
        <v>3779</v>
      </c>
      <c r="B39" s="1"/>
      <c r="C39" s="1"/>
      <c r="D39" s="1"/>
      <c r="E39" s="1"/>
      <c r="F39" s="1"/>
      <c r="G39" s="1"/>
      <c r="H39" s="1"/>
      <c r="I39" s="1"/>
      <c r="J39" s="1"/>
      <c r="K39" s="1"/>
      <c r="L39" s="1"/>
      <c r="M39" s="1"/>
    </row>
    <row r="40" spans="1:13" x14ac:dyDescent="0.35">
      <c r="A40" s="1"/>
      <c r="B40" s="1"/>
      <c r="C40" s="1"/>
      <c r="D40" s="1"/>
      <c r="E40" s="1"/>
      <c r="F40" s="1"/>
      <c r="G40" s="1"/>
      <c r="H40" s="1"/>
      <c r="I40" s="1"/>
      <c r="J40" s="1"/>
      <c r="K40" s="1"/>
      <c r="L40" s="1"/>
      <c r="M40" s="1"/>
    </row>
    <row r="41" spans="1:13" x14ac:dyDescent="0.35">
      <c r="A41" s="1"/>
      <c r="B41" s="1"/>
      <c r="C41" s="1"/>
      <c r="D41" s="1"/>
      <c r="E41" s="1"/>
      <c r="F41" s="1"/>
      <c r="G41" s="1"/>
      <c r="H41" s="1"/>
      <c r="I41" s="1"/>
      <c r="J41" s="1"/>
      <c r="K41" s="1"/>
      <c r="L41" s="1"/>
      <c r="M41" s="1"/>
    </row>
    <row r="42" spans="1:13" x14ac:dyDescent="0.35">
      <c r="A42" s="1"/>
      <c r="B42" s="1"/>
      <c r="C42" s="1"/>
      <c r="D42" s="1"/>
      <c r="E42" s="1"/>
      <c r="F42" s="1"/>
      <c r="G42" s="1"/>
      <c r="H42" s="1"/>
      <c r="I42" s="1"/>
      <c r="J42" s="1"/>
      <c r="K42" s="1"/>
      <c r="L42" s="1"/>
      <c r="M42"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2ACBA-7AFA-4BFD-AED7-4DD82872DBC8}">
  <dimension ref="A1:D3826"/>
  <sheetViews>
    <sheetView workbookViewId="0">
      <selection activeCell="F19" sqref="F19"/>
    </sheetView>
  </sheetViews>
  <sheetFormatPr defaultRowHeight="14.5" x14ac:dyDescent="0.35"/>
  <cols>
    <col min="1" max="1" width="8.26953125" bestFit="1" customWidth="1"/>
    <col min="2" max="2" width="37.81640625" bestFit="1" customWidth="1"/>
    <col min="3" max="3" width="14.7265625" bestFit="1" customWidth="1"/>
  </cols>
  <sheetData>
    <row r="1" spans="1:4" x14ac:dyDescent="0.35">
      <c r="A1" t="s">
        <v>0</v>
      </c>
      <c r="B1" t="s">
        <v>1</v>
      </c>
      <c r="C1" t="s">
        <v>2</v>
      </c>
      <c r="D1" t="s">
        <v>3</v>
      </c>
    </row>
    <row r="2" spans="1:4" x14ac:dyDescent="0.35">
      <c r="A2">
        <v>1</v>
      </c>
      <c r="B2" t="s">
        <v>4</v>
      </c>
      <c r="C2" t="s">
        <v>5</v>
      </c>
      <c r="D2" t="s">
        <v>6</v>
      </c>
    </row>
    <row r="3" spans="1:4" x14ac:dyDescent="0.35">
      <c r="A3">
        <v>1</v>
      </c>
      <c r="B3" t="s">
        <v>7</v>
      </c>
      <c r="C3" t="s">
        <v>5</v>
      </c>
      <c r="D3" t="s">
        <v>6</v>
      </c>
    </row>
    <row r="4" spans="1:4" x14ac:dyDescent="0.35">
      <c r="A4">
        <v>1</v>
      </c>
      <c r="B4" t="s">
        <v>8</v>
      </c>
      <c r="C4" t="s">
        <v>5</v>
      </c>
      <c r="D4" t="s">
        <v>6</v>
      </c>
    </row>
    <row r="5" spans="1:4" x14ac:dyDescent="0.35">
      <c r="A5">
        <v>1</v>
      </c>
      <c r="B5" t="s">
        <v>9</v>
      </c>
      <c r="C5" t="s">
        <v>5</v>
      </c>
      <c r="D5" t="s">
        <v>6</v>
      </c>
    </row>
    <row r="6" spans="1:4" x14ac:dyDescent="0.35">
      <c r="A6">
        <v>1</v>
      </c>
      <c r="B6" t="s">
        <v>10</v>
      </c>
      <c r="C6" t="s">
        <v>5</v>
      </c>
      <c r="D6" t="s">
        <v>6</v>
      </c>
    </row>
    <row r="7" spans="1:4" x14ac:dyDescent="0.35">
      <c r="A7">
        <v>2</v>
      </c>
      <c r="B7" t="s">
        <v>11</v>
      </c>
      <c r="C7" t="s">
        <v>12</v>
      </c>
      <c r="D7" t="s">
        <v>13</v>
      </c>
    </row>
    <row r="8" spans="1:4" x14ac:dyDescent="0.35">
      <c r="A8">
        <v>2</v>
      </c>
      <c r="B8" t="s">
        <v>14</v>
      </c>
      <c r="C8" t="s">
        <v>12</v>
      </c>
      <c r="D8" t="s">
        <v>13</v>
      </c>
    </row>
    <row r="9" spans="1:4" x14ac:dyDescent="0.35">
      <c r="A9">
        <v>2</v>
      </c>
      <c r="B9" t="s">
        <v>15</v>
      </c>
      <c r="C9" t="s">
        <v>16</v>
      </c>
      <c r="D9" t="s">
        <v>13</v>
      </c>
    </row>
    <row r="10" spans="1:4" x14ac:dyDescent="0.35">
      <c r="A10">
        <v>2</v>
      </c>
      <c r="B10" t="s">
        <v>17</v>
      </c>
      <c r="C10" t="s">
        <v>12</v>
      </c>
      <c r="D10" t="s">
        <v>13</v>
      </c>
    </row>
    <row r="11" spans="1:4" x14ac:dyDescent="0.35">
      <c r="A11">
        <v>3</v>
      </c>
      <c r="B11" t="s">
        <v>18</v>
      </c>
      <c r="C11" t="s">
        <v>19</v>
      </c>
      <c r="D11" t="s">
        <v>13</v>
      </c>
    </row>
    <row r="12" spans="1:4" x14ac:dyDescent="0.35">
      <c r="A12">
        <v>3</v>
      </c>
      <c r="B12" t="s">
        <v>20</v>
      </c>
      <c r="C12" t="s">
        <v>19</v>
      </c>
      <c r="D12" t="s">
        <v>13</v>
      </c>
    </row>
    <row r="13" spans="1:4" x14ac:dyDescent="0.35">
      <c r="A13">
        <v>4</v>
      </c>
      <c r="B13" t="s">
        <v>21</v>
      </c>
      <c r="C13" t="s">
        <v>22</v>
      </c>
      <c r="D13" t="s">
        <v>13</v>
      </c>
    </row>
    <row r="14" spans="1:4" x14ac:dyDescent="0.35">
      <c r="A14">
        <v>4</v>
      </c>
      <c r="B14" t="s">
        <v>23</v>
      </c>
      <c r="C14" t="s">
        <v>22</v>
      </c>
      <c r="D14" t="s">
        <v>13</v>
      </c>
    </row>
    <row r="15" spans="1:4" x14ac:dyDescent="0.35">
      <c r="A15">
        <v>4</v>
      </c>
      <c r="B15" t="s">
        <v>24</v>
      </c>
      <c r="C15" t="s">
        <v>25</v>
      </c>
      <c r="D15" t="s">
        <v>13</v>
      </c>
    </row>
    <row r="16" spans="1:4" x14ac:dyDescent="0.35">
      <c r="A16">
        <v>4</v>
      </c>
      <c r="B16" t="s">
        <v>26</v>
      </c>
      <c r="C16" t="s">
        <v>25</v>
      </c>
      <c r="D16" t="s">
        <v>13</v>
      </c>
    </row>
    <row r="17" spans="1:4" x14ac:dyDescent="0.35">
      <c r="A17">
        <v>4</v>
      </c>
      <c r="B17" t="s">
        <v>27</v>
      </c>
      <c r="C17" t="s">
        <v>22</v>
      </c>
      <c r="D17" t="s">
        <v>13</v>
      </c>
    </row>
    <row r="18" spans="1:4" x14ac:dyDescent="0.35">
      <c r="A18">
        <v>4</v>
      </c>
      <c r="B18" t="s">
        <v>28</v>
      </c>
      <c r="C18" t="s">
        <v>25</v>
      </c>
      <c r="D18" t="s">
        <v>13</v>
      </c>
    </row>
    <row r="19" spans="1:4" x14ac:dyDescent="0.35">
      <c r="A19">
        <v>4</v>
      </c>
      <c r="B19" t="s">
        <v>29</v>
      </c>
      <c r="C19" t="s">
        <v>25</v>
      </c>
      <c r="D19" t="s">
        <v>13</v>
      </c>
    </row>
    <row r="20" spans="1:4" x14ac:dyDescent="0.35">
      <c r="A20">
        <v>5</v>
      </c>
      <c r="B20" t="s">
        <v>30</v>
      </c>
      <c r="C20" t="s">
        <v>19</v>
      </c>
      <c r="D20" t="s">
        <v>13</v>
      </c>
    </row>
    <row r="21" spans="1:4" x14ac:dyDescent="0.35">
      <c r="A21">
        <v>5</v>
      </c>
      <c r="B21" t="s">
        <v>31</v>
      </c>
      <c r="C21" t="s">
        <v>19</v>
      </c>
      <c r="D21" t="s">
        <v>13</v>
      </c>
    </row>
    <row r="22" spans="1:4" x14ac:dyDescent="0.35">
      <c r="A22">
        <v>5</v>
      </c>
      <c r="B22" t="s">
        <v>32</v>
      </c>
      <c r="C22" t="s">
        <v>19</v>
      </c>
      <c r="D22" t="s">
        <v>13</v>
      </c>
    </row>
    <row r="23" spans="1:4" x14ac:dyDescent="0.35">
      <c r="A23">
        <v>5</v>
      </c>
      <c r="B23" t="s">
        <v>33</v>
      </c>
      <c r="C23" t="s">
        <v>19</v>
      </c>
      <c r="D23" t="s">
        <v>13</v>
      </c>
    </row>
    <row r="24" spans="1:4" x14ac:dyDescent="0.35">
      <c r="A24">
        <v>6</v>
      </c>
      <c r="B24" t="s">
        <v>34</v>
      </c>
      <c r="C24" t="s">
        <v>35</v>
      </c>
      <c r="D24" t="s">
        <v>13</v>
      </c>
    </row>
    <row r="25" spans="1:4" x14ac:dyDescent="0.35">
      <c r="A25">
        <v>6</v>
      </c>
      <c r="B25" t="s">
        <v>36</v>
      </c>
      <c r="C25" t="s">
        <v>35</v>
      </c>
      <c r="D25" t="s">
        <v>13</v>
      </c>
    </row>
    <row r="26" spans="1:4" x14ac:dyDescent="0.35">
      <c r="A26">
        <v>6</v>
      </c>
      <c r="B26" t="s">
        <v>37</v>
      </c>
      <c r="C26" t="s">
        <v>35</v>
      </c>
      <c r="D26" t="s">
        <v>13</v>
      </c>
    </row>
    <row r="27" spans="1:4" x14ac:dyDescent="0.35">
      <c r="A27">
        <v>6</v>
      </c>
      <c r="B27" t="s">
        <v>38</v>
      </c>
      <c r="C27" t="s">
        <v>35</v>
      </c>
      <c r="D27" t="s">
        <v>13</v>
      </c>
    </row>
    <row r="28" spans="1:4" x14ac:dyDescent="0.35">
      <c r="A28">
        <v>7</v>
      </c>
      <c r="B28" t="s">
        <v>39</v>
      </c>
      <c r="C28" t="s">
        <v>40</v>
      </c>
      <c r="D28" t="s">
        <v>13</v>
      </c>
    </row>
    <row r="29" spans="1:4" x14ac:dyDescent="0.35">
      <c r="A29">
        <v>7</v>
      </c>
      <c r="B29" t="s">
        <v>41</v>
      </c>
      <c r="C29" t="s">
        <v>19</v>
      </c>
      <c r="D29" t="s">
        <v>13</v>
      </c>
    </row>
    <row r="30" spans="1:4" x14ac:dyDescent="0.35">
      <c r="A30">
        <v>7</v>
      </c>
      <c r="B30" t="s">
        <v>42</v>
      </c>
      <c r="C30" t="s">
        <v>43</v>
      </c>
      <c r="D30" t="s">
        <v>6</v>
      </c>
    </row>
    <row r="31" spans="1:4" x14ac:dyDescent="0.35">
      <c r="A31">
        <v>7</v>
      </c>
      <c r="B31" t="s">
        <v>44</v>
      </c>
      <c r="C31" t="s">
        <v>45</v>
      </c>
      <c r="D31" t="s">
        <v>6</v>
      </c>
    </row>
    <row r="32" spans="1:4" x14ac:dyDescent="0.35">
      <c r="A32">
        <v>7</v>
      </c>
      <c r="B32" t="s">
        <v>46</v>
      </c>
      <c r="C32" t="s">
        <v>40</v>
      </c>
      <c r="D32" t="s">
        <v>13</v>
      </c>
    </row>
    <row r="33" spans="1:4" x14ac:dyDescent="0.35">
      <c r="A33">
        <v>7</v>
      </c>
      <c r="B33" t="s">
        <v>47</v>
      </c>
      <c r="C33" t="s">
        <v>48</v>
      </c>
      <c r="D33" t="s">
        <v>13</v>
      </c>
    </row>
    <row r="34" spans="1:4" x14ac:dyDescent="0.35">
      <c r="A34">
        <v>7</v>
      </c>
      <c r="B34" t="s">
        <v>49</v>
      </c>
      <c r="C34" t="s">
        <v>45</v>
      </c>
      <c r="D34" t="s">
        <v>6</v>
      </c>
    </row>
    <row r="35" spans="1:4" x14ac:dyDescent="0.35">
      <c r="A35">
        <v>7</v>
      </c>
      <c r="B35" t="s">
        <v>50</v>
      </c>
      <c r="C35" t="s">
        <v>40</v>
      </c>
      <c r="D35" t="s">
        <v>13</v>
      </c>
    </row>
    <row r="36" spans="1:4" x14ac:dyDescent="0.35">
      <c r="A36">
        <v>7</v>
      </c>
      <c r="B36" t="s">
        <v>51</v>
      </c>
      <c r="C36" t="s">
        <v>40</v>
      </c>
      <c r="D36" t="s">
        <v>13</v>
      </c>
    </row>
    <row r="37" spans="1:4" x14ac:dyDescent="0.35">
      <c r="A37">
        <v>7</v>
      </c>
      <c r="B37" t="s">
        <v>52</v>
      </c>
      <c r="C37" t="s">
        <v>40</v>
      </c>
      <c r="D37" t="s">
        <v>13</v>
      </c>
    </row>
    <row r="38" spans="1:4" x14ac:dyDescent="0.35">
      <c r="A38">
        <v>7</v>
      </c>
      <c r="B38" t="s">
        <v>53</v>
      </c>
      <c r="C38" t="s">
        <v>45</v>
      </c>
      <c r="D38" t="s">
        <v>6</v>
      </c>
    </row>
    <row r="39" spans="1:4" x14ac:dyDescent="0.35">
      <c r="A39">
        <v>7</v>
      </c>
      <c r="B39" t="s">
        <v>54</v>
      </c>
      <c r="C39" t="s">
        <v>45</v>
      </c>
      <c r="D39" t="s">
        <v>6</v>
      </c>
    </row>
    <row r="40" spans="1:4" x14ac:dyDescent="0.35">
      <c r="A40">
        <v>7</v>
      </c>
      <c r="B40" t="s">
        <v>55</v>
      </c>
      <c r="C40" t="s">
        <v>56</v>
      </c>
      <c r="D40" t="s">
        <v>13</v>
      </c>
    </row>
    <row r="41" spans="1:4" x14ac:dyDescent="0.35">
      <c r="A41">
        <v>8</v>
      </c>
      <c r="B41" t="s">
        <v>57</v>
      </c>
      <c r="C41" t="s">
        <v>16</v>
      </c>
      <c r="D41" t="s">
        <v>13</v>
      </c>
    </row>
    <row r="42" spans="1:4" x14ac:dyDescent="0.35">
      <c r="A42">
        <v>8</v>
      </c>
      <c r="B42" t="s">
        <v>58</v>
      </c>
      <c r="C42" t="s">
        <v>16</v>
      </c>
      <c r="D42" t="s">
        <v>13</v>
      </c>
    </row>
    <row r="43" spans="1:4" x14ac:dyDescent="0.35">
      <c r="A43">
        <v>8</v>
      </c>
      <c r="B43" t="s">
        <v>59</v>
      </c>
      <c r="C43" t="s">
        <v>16</v>
      </c>
      <c r="D43" t="s">
        <v>13</v>
      </c>
    </row>
    <row r="44" spans="1:4" x14ac:dyDescent="0.35">
      <c r="A44">
        <v>8</v>
      </c>
      <c r="B44" t="s">
        <v>60</v>
      </c>
      <c r="C44" t="s">
        <v>16</v>
      </c>
      <c r="D44" t="s">
        <v>13</v>
      </c>
    </row>
    <row r="45" spans="1:4" x14ac:dyDescent="0.35">
      <c r="A45">
        <v>8</v>
      </c>
      <c r="B45" t="s">
        <v>61</v>
      </c>
      <c r="C45" t="s">
        <v>16</v>
      </c>
      <c r="D45" t="s">
        <v>13</v>
      </c>
    </row>
    <row r="46" spans="1:4" x14ac:dyDescent="0.35">
      <c r="A46">
        <v>8</v>
      </c>
      <c r="B46" t="s">
        <v>62</v>
      </c>
      <c r="C46" t="s">
        <v>16</v>
      </c>
      <c r="D46" t="s">
        <v>13</v>
      </c>
    </row>
    <row r="47" spans="1:4" x14ac:dyDescent="0.35">
      <c r="A47">
        <v>8</v>
      </c>
      <c r="B47" t="s">
        <v>63</v>
      </c>
      <c r="C47" t="s">
        <v>64</v>
      </c>
      <c r="D47" t="s">
        <v>13</v>
      </c>
    </row>
    <row r="48" spans="1:4" x14ac:dyDescent="0.35">
      <c r="A48">
        <v>8</v>
      </c>
      <c r="B48" t="s">
        <v>65</v>
      </c>
      <c r="C48" t="s">
        <v>16</v>
      </c>
      <c r="D48" t="s">
        <v>13</v>
      </c>
    </row>
    <row r="49" spans="1:4" x14ac:dyDescent="0.35">
      <c r="A49">
        <v>8</v>
      </c>
      <c r="B49" t="s">
        <v>66</v>
      </c>
      <c r="C49" t="s">
        <v>16</v>
      </c>
      <c r="D49" t="s">
        <v>13</v>
      </c>
    </row>
    <row r="50" spans="1:4" x14ac:dyDescent="0.35">
      <c r="A50">
        <v>8</v>
      </c>
      <c r="B50" t="s">
        <v>67</v>
      </c>
      <c r="C50" t="s">
        <v>16</v>
      </c>
      <c r="D50" t="s">
        <v>13</v>
      </c>
    </row>
    <row r="51" spans="1:4" x14ac:dyDescent="0.35">
      <c r="A51">
        <v>8</v>
      </c>
      <c r="B51" t="s">
        <v>68</v>
      </c>
      <c r="C51" t="s">
        <v>16</v>
      </c>
      <c r="D51" t="s">
        <v>13</v>
      </c>
    </row>
    <row r="52" spans="1:4" x14ac:dyDescent="0.35">
      <c r="A52">
        <v>8</v>
      </c>
      <c r="B52" t="s">
        <v>69</v>
      </c>
      <c r="C52" t="s">
        <v>16</v>
      </c>
      <c r="D52" t="s">
        <v>13</v>
      </c>
    </row>
    <row r="53" spans="1:4" x14ac:dyDescent="0.35">
      <c r="A53">
        <v>8</v>
      </c>
      <c r="B53" t="s">
        <v>70</v>
      </c>
      <c r="C53" t="s">
        <v>16</v>
      </c>
      <c r="D53" t="s">
        <v>13</v>
      </c>
    </row>
    <row r="54" spans="1:4" x14ac:dyDescent="0.35">
      <c r="A54">
        <v>9</v>
      </c>
      <c r="B54" t="s">
        <v>71</v>
      </c>
      <c r="C54" t="s">
        <v>72</v>
      </c>
      <c r="D54" t="s">
        <v>13</v>
      </c>
    </row>
    <row r="55" spans="1:4" x14ac:dyDescent="0.35">
      <c r="A55">
        <v>9</v>
      </c>
      <c r="B55" t="s">
        <v>73</v>
      </c>
      <c r="C55" t="s">
        <v>72</v>
      </c>
      <c r="D55" t="s">
        <v>13</v>
      </c>
    </row>
    <row r="56" spans="1:4" x14ac:dyDescent="0.35">
      <c r="A56">
        <v>9</v>
      </c>
      <c r="B56" t="s">
        <v>74</v>
      </c>
      <c r="C56" t="s">
        <v>72</v>
      </c>
      <c r="D56" t="s">
        <v>13</v>
      </c>
    </row>
    <row r="57" spans="1:4" x14ac:dyDescent="0.35">
      <c r="A57">
        <v>9</v>
      </c>
      <c r="B57" t="s">
        <v>75</v>
      </c>
      <c r="C57" t="s">
        <v>72</v>
      </c>
      <c r="D57" t="s">
        <v>13</v>
      </c>
    </row>
    <row r="58" spans="1:4" x14ac:dyDescent="0.35">
      <c r="A58">
        <v>9</v>
      </c>
      <c r="B58" t="s">
        <v>76</v>
      </c>
      <c r="C58" t="s">
        <v>72</v>
      </c>
      <c r="D58" t="s">
        <v>13</v>
      </c>
    </row>
    <row r="59" spans="1:4" x14ac:dyDescent="0.35">
      <c r="A59">
        <v>10</v>
      </c>
      <c r="B59" t="s">
        <v>77</v>
      </c>
      <c r="C59" t="s">
        <v>78</v>
      </c>
      <c r="D59" t="s">
        <v>13</v>
      </c>
    </row>
    <row r="60" spans="1:4" x14ac:dyDescent="0.35">
      <c r="A60">
        <v>10</v>
      </c>
      <c r="B60" t="s">
        <v>79</v>
      </c>
      <c r="C60" t="s">
        <v>72</v>
      </c>
      <c r="D60" t="s">
        <v>13</v>
      </c>
    </row>
    <row r="61" spans="1:4" x14ac:dyDescent="0.35">
      <c r="A61">
        <v>10</v>
      </c>
      <c r="B61" t="s">
        <v>80</v>
      </c>
      <c r="C61" t="s">
        <v>72</v>
      </c>
      <c r="D61" t="s">
        <v>13</v>
      </c>
    </row>
    <row r="62" spans="1:4" x14ac:dyDescent="0.35">
      <c r="A62">
        <v>10</v>
      </c>
      <c r="B62" t="s">
        <v>81</v>
      </c>
      <c r="C62" t="s">
        <v>72</v>
      </c>
      <c r="D62" t="s">
        <v>13</v>
      </c>
    </row>
    <row r="63" spans="1:4" x14ac:dyDescent="0.35">
      <c r="A63">
        <v>10</v>
      </c>
      <c r="B63" t="s">
        <v>82</v>
      </c>
      <c r="C63" t="s">
        <v>72</v>
      </c>
      <c r="D63" t="s">
        <v>13</v>
      </c>
    </row>
    <row r="64" spans="1:4" x14ac:dyDescent="0.35">
      <c r="A64">
        <v>10</v>
      </c>
      <c r="B64" t="s">
        <v>83</v>
      </c>
      <c r="C64" t="s">
        <v>72</v>
      </c>
      <c r="D64" t="s">
        <v>13</v>
      </c>
    </row>
    <row r="65" spans="1:4" x14ac:dyDescent="0.35">
      <c r="A65">
        <v>10</v>
      </c>
      <c r="B65" t="s">
        <v>84</v>
      </c>
      <c r="C65" t="s">
        <v>72</v>
      </c>
      <c r="D65" t="s">
        <v>13</v>
      </c>
    </row>
    <row r="66" spans="1:4" x14ac:dyDescent="0.35">
      <c r="A66">
        <v>10</v>
      </c>
      <c r="B66" t="s">
        <v>85</v>
      </c>
      <c r="C66" t="s">
        <v>48</v>
      </c>
      <c r="D66" t="s">
        <v>13</v>
      </c>
    </row>
    <row r="67" spans="1:4" x14ac:dyDescent="0.35">
      <c r="A67">
        <v>10</v>
      </c>
      <c r="B67" t="s">
        <v>86</v>
      </c>
      <c r="C67" t="s">
        <v>72</v>
      </c>
      <c r="D67" t="s">
        <v>13</v>
      </c>
    </row>
    <row r="68" spans="1:4" x14ac:dyDescent="0.35">
      <c r="A68">
        <v>11</v>
      </c>
      <c r="B68" t="s">
        <v>87</v>
      </c>
      <c r="C68" t="s">
        <v>64</v>
      </c>
      <c r="D68" t="s">
        <v>13</v>
      </c>
    </row>
    <row r="69" spans="1:4" x14ac:dyDescent="0.35">
      <c r="A69">
        <v>11</v>
      </c>
      <c r="B69" t="s">
        <v>88</v>
      </c>
      <c r="C69" t="s">
        <v>16</v>
      </c>
      <c r="D69" t="s">
        <v>13</v>
      </c>
    </row>
    <row r="70" spans="1:4" x14ac:dyDescent="0.35">
      <c r="A70">
        <v>11</v>
      </c>
      <c r="B70" t="s">
        <v>89</v>
      </c>
      <c r="C70" t="s">
        <v>90</v>
      </c>
      <c r="D70" t="s">
        <v>13</v>
      </c>
    </row>
    <row r="71" spans="1:4" x14ac:dyDescent="0.35">
      <c r="A71">
        <v>11</v>
      </c>
      <c r="B71" t="s">
        <v>91</v>
      </c>
      <c r="C71" t="s">
        <v>16</v>
      </c>
      <c r="D71" t="s">
        <v>13</v>
      </c>
    </row>
    <row r="72" spans="1:4" x14ac:dyDescent="0.35">
      <c r="A72">
        <v>12</v>
      </c>
      <c r="B72" t="s">
        <v>92</v>
      </c>
      <c r="C72" t="s">
        <v>93</v>
      </c>
      <c r="D72" t="s">
        <v>13</v>
      </c>
    </row>
    <row r="73" spans="1:4" x14ac:dyDescent="0.35">
      <c r="A73">
        <v>12</v>
      </c>
      <c r="B73" t="s">
        <v>94</v>
      </c>
      <c r="C73" t="s">
        <v>56</v>
      </c>
      <c r="D73" t="s">
        <v>13</v>
      </c>
    </row>
    <row r="74" spans="1:4" x14ac:dyDescent="0.35">
      <c r="A74">
        <v>12</v>
      </c>
      <c r="B74" t="s">
        <v>95</v>
      </c>
      <c r="C74" t="s">
        <v>93</v>
      </c>
      <c r="D74" t="s">
        <v>13</v>
      </c>
    </row>
    <row r="75" spans="1:4" x14ac:dyDescent="0.35">
      <c r="A75">
        <v>12</v>
      </c>
      <c r="B75" t="s">
        <v>96</v>
      </c>
      <c r="C75" t="s">
        <v>56</v>
      </c>
      <c r="D75" t="s">
        <v>13</v>
      </c>
    </row>
    <row r="76" spans="1:4" x14ac:dyDescent="0.35">
      <c r="A76">
        <v>13</v>
      </c>
      <c r="B76" t="s">
        <v>97</v>
      </c>
      <c r="C76" t="s">
        <v>98</v>
      </c>
      <c r="D76" t="s">
        <v>13</v>
      </c>
    </row>
    <row r="77" spans="1:4" x14ac:dyDescent="0.35">
      <c r="A77">
        <v>13</v>
      </c>
      <c r="B77" t="s">
        <v>99</v>
      </c>
      <c r="C77" t="s">
        <v>98</v>
      </c>
      <c r="D77" t="s">
        <v>13</v>
      </c>
    </row>
    <row r="78" spans="1:4" x14ac:dyDescent="0.35">
      <c r="A78">
        <v>13</v>
      </c>
      <c r="B78" t="s">
        <v>100</v>
      </c>
      <c r="C78" t="s">
        <v>101</v>
      </c>
      <c r="D78" t="s">
        <v>6</v>
      </c>
    </row>
    <row r="79" spans="1:4" x14ac:dyDescent="0.35">
      <c r="A79">
        <v>13</v>
      </c>
      <c r="B79" t="s">
        <v>102</v>
      </c>
      <c r="C79" t="s">
        <v>98</v>
      </c>
      <c r="D79" t="s">
        <v>13</v>
      </c>
    </row>
    <row r="80" spans="1:4" x14ac:dyDescent="0.35">
      <c r="A80">
        <v>13</v>
      </c>
      <c r="B80" t="s">
        <v>103</v>
      </c>
      <c r="C80" t="s">
        <v>98</v>
      </c>
      <c r="D80" t="s">
        <v>13</v>
      </c>
    </row>
    <row r="81" spans="1:4" x14ac:dyDescent="0.35">
      <c r="A81">
        <v>13</v>
      </c>
      <c r="B81" t="s">
        <v>104</v>
      </c>
      <c r="C81" t="s">
        <v>5</v>
      </c>
      <c r="D81" t="s">
        <v>6</v>
      </c>
    </row>
    <row r="82" spans="1:4" x14ac:dyDescent="0.35">
      <c r="A82">
        <v>13</v>
      </c>
      <c r="B82" t="s">
        <v>105</v>
      </c>
      <c r="C82" t="s">
        <v>101</v>
      </c>
      <c r="D82" t="s">
        <v>6</v>
      </c>
    </row>
    <row r="83" spans="1:4" x14ac:dyDescent="0.35">
      <c r="A83">
        <v>13</v>
      </c>
      <c r="B83" t="s">
        <v>106</v>
      </c>
      <c r="C83" t="s">
        <v>101</v>
      </c>
      <c r="D83" t="s">
        <v>6</v>
      </c>
    </row>
    <row r="84" spans="1:4" x14ac:dyDescent="0.35">
      <c r="A84">
        <v>13</v>
      </c>
      <c r="B84" t="s">
        <v>107</v>
      </c>
      <c r="C84" t="s">
        <v>101</v>
      </c>
      <c r="D84" t="s">
        <v>6</v>
      </c>
    </row>
    <row r="85" spans="1:4" x14ac:dyDescent="0.35">
      <c r="A85">
        <v>13</v>
      </c>
      <c r="B85" t="s">
        <v>108</v>
      </c>
      <c r="C85" t="s">
        <v>45</v>
      </c>
      <c r="D85" t="s">
        <v>6</v>
      </c>
    </row>
    <row r="86" spans="1:4" x14ac:dyDescent="0.35">
      <c r="A86">
        <v>13</v>
      </c>
      <c r="B86" t="s">
        <v>109</v>
      </c>
      <c r="C86" t="s">
        <v>25</v>
      </c>
      <c r="D86" t="s">
        <v>13</v>
      </c>
    </row>
    <row r="87" spans="1:4" x14ac:dyDescent="0.35">
      <c r="A87">
        <v>13</v>
      </c>
      <c r="B87" t="s">
        <v>110</v>
      </c>
      <c r="C87" t="s">
        <v>45</v>
      </c>
      <c r="D87" t="s">
        <v>6</v>
      </c>
    </row>
    <row r="88" spans="1:4" x14ac:dyDescent="0.35">
      <c r="A88">
        <v>13</v>
      </c>
      <c r="B88" t="s">
        <v>111</v>
      </c>
      <c r="C88" t="s">
        <v>101</v>
      </c>
      <c r="D88" t="s">
        <v>6</v>
      </c>
    </row>
    <row r="89" spans="1:4" x14ac:dyDescent="0.35">
      <c r="A89">
        <v>13</v>
      </c>
      <c r="B89" t="s">
        <v>112</v>
      </c>
      <c r="C89" t="s">
        <v>5</v>
      </c>
      <c r="D89" t="s">
        <v>6</v>
      </c>
    </row>
    <row r="90" spans="1:4" x14ac:dyDescent="0.35">
      <c r="A90">
        <v>13</v>
      </c>
      <c r="B90" t="s">
        <v>113</v>
      </c>
      <c r="C90" t="s">
        <v>101</v>
      </c>
      <c r="D90" t="s">
        <v>6</v>
      </c>
    </row>
    <row r="91" spans="1:4" x14ac:dyDescent="0.35">
      <c r="A91">
        <v>13</v>
      </c>
      <c r="B91" t="s">
        <v>114</v>
      </c>
      <c r="C91" t="s">
        <v>101</v>
      </c>
      <c r="D91" t="s">
        <v>6</v>
      </c>
    </row>
    <row r="92" spans="1:4" x14ac:dyDescent="0.35">
      <c r="A92">
        <v>13</v>
      </c>
      <c r="B92" t="s">
        <v>115</v>
      </c>
      <c r="C92" t="s">
        <v>101</v>
      </c>
      <c r="D92" t="s">
        <v>6</v>
      </c>
    </row>
    <row r="93" spans="1:4" x14ac:dyDescent="0.35">
      <c r="A93">
        <v>13</v>
      </c>
      <c r="B93" t="s">
        <v>116</v>
      </c>
      <c r="C93" t="s">
        <v>101</v>
      </c>
      <c r="D93" t="s">
        <v>6</v>
      </c>
    </row>
    <row r="94" spans="1:4" x14ac:dyDescent="0.35">
      <c r="A94">
        <v>13</v>
      </c>
      <c r="B94" t="s">
        <v>117</v>
      </c>
      <c r="C94" t="s">
        <v>43</v>
      </c>
      <c r="D94" t="s">
        <v>6</v>
      </c>
    </row>
    <row r="95" spans="1:4" x14ac:dyDescent="0.35">
      <c r="A95">
        <v>13</v>
      </c>
      <c r="B95" t="s">
        <v>118</v>
      </c>
      <c r="C95" t="s">
        <v>43</v>
      </c>
      <c r="D95" t="s">
        <v>6</v>
      </c>
    </row>
    <row r="96" spans="1:4" x14ac:dyDescent="0.35">
      <c r="A96">
        <v>13</v>
      </c>
      <c r="B96" t="s">
        <v>119</v>
      </c>
      <c r="C96" t="s">
        <v>45</v>
      </c>
      <c r="D96" t="s">
        <v>6</v>
      </c>
    </row>
    <row r="97" spans="1:4" x14ac:dyDescent="0.35">
      <c r="A97">
        <v>14</v>
      </c>
      <c r="B97" t="s">
        <v>120</v>
      </c>
      <c r="C97" t="s">
        <v>72</v>
      </c>
      <c r="D97" t="s">
        <v>13</v>
      </c>
    </row>
    <row r="98" spans="1:4" x14ac:dyDescent="0.35">
      <c r="A98">
        <v>14</v>
      </c>
      <c r="B98" t="s">
        <v>121</v>
      </c>
      <c r="C98" t="s">
        <v>72</v>
      </c>
      <c r="D98" t="s">
        <v>13</v>
      </c>
    </row>
    <row r="99" spans="1:4" x14ac:dyDescent="0.35">
      <c r="A99">
        <v>14</v>
      </c>
      <c r="B99" t="s">
        <v>122</v>
      </c>
      <c r="C99" t="s">
        <v>72</v>
      </c>
      <c r="D99" t="s">
        <v>13</v>
      </c>
    </row>
    <row r="100" spans="1:4" x14ac:dyDescent="0.35">
      <c r="A100">
        <v>14</v>
      </c>
      <c r="B100" t="s">
        <v>123</v>
      </c>
      <c r="C100" t="s">
        <v>72</v>
      </c>
      <c r="D100" t="s">
        <v>13</v>
      </c>
    </row>
    <row r="101" spans="1:4" x14ac:dyDescent="0.35">
      <c r="A101">
        <v>14</v>
      </c>
      <c r="B101" t="s">
        <v>124</v>
      </c>
      <c r="C101" t="s">
        <v>72</v>
      </c>
      <c r="D101" t="s">
        <v>13</v>
      </c>
    </row>
    <row r="102" spans="1:4" x14ac:dyDescent="0.35">
      <c r="A102">
        <v>14</v>
      </c>
      <c r="B102" t="s">
        <v>125</v>
      </c>
      <c r="C102" t="s">
        <v>72</v>
      </c>
      <c r="D102" t="s">
        <v>13</v>
      </c>
    </row>
    <row r="103" spans="1:4" x14ac:dyDescent="0.35">
      <c r="A103">
        <v>14</v>
      </c>
      <c r="B103" t="s">
        <v>126</v>
      </c>
      <c r="C103" t="s">
        <v>72</v>
      </c>
      <c r="D103" t="s">
        <v>13</v>
      </c>
    </row>
    <row r="104" spans="1:4" x14ac:dyDescent="0.35">
      <c r="A104">
        <v>14</v>
      </c>
      <c r="B104" t="s">
        <v>127</v>
      </c>
      <c r="C104" t="s">
        <v>72</v>
      </c>
      <c r="D104" t="s">
        <v>13</v>
      </c>
    </row>
    <row r="105" spans="1:4" x14ac:dyDescent="0.35">
      <c r="A105">
        <v>15</v>
      </c>
      <c r="B105" t="s">
        <v>128</v>
      </c>
      <c r="C105" t="s">
        <v>19</v>
      </c>
      <c r="D105" t="s">
        <v>13</v>
      </c>
    </row>
    <row r="106" spans="1:4" x14ac:dyDescent="0.35">
      <c r="A106">
        <v>15</v>
      </c>
      <c r="B106" t="s">
        <v>129</v>
      </c>
      <c r="C106" t="s">
        <v>19</v>
      </c>
      <c r="D106" t="s">
        <v>13</v>
      </c>
    </row>
    <row r="107" spans="1:4" x14ac:dyDescent="0.35">
      <c r="A107">
        <v>16</v>
      </c>
      <c r="B107" t="s">
        <v>130</v>
      </c>
      <c r="C107" t="s">
        <v>64</v>
      </c>
      <c r="D107" t="s">
        <v>13</v>
      </c>
    </row>
    <row r="108" spans="1:4" x14ac:dyDescent="0.35">
      <c r="A108">
        <v>16</v>
      </c>
      <c r="B108" t="s">
        <v>130</v>
      </c>
      <c r="C108" t="s">
        <v>72</v>
      </c>
      <c r="D108" t="s">
        <v>13</v>
      </c>
    </row>
    <row r="109" spans="1:4" x14ac:dyDescent="0.35">
      <c r="A109">
        <v>16</v>
      </c>
      <c r="B109" t="s">
        <v>131</v>
      </c>
      <c r="C109" t="s">
        <v>72</v>
      </c>
      <c r="D109" t="s">
        <v>13</v>
      </c>
    </row>
    <row r="110" spans="1:4" x14ac:dyDescent="0.35">
      <c r="A110">
        <v>16</v>
      </c>
      <c r="B110" t="s">
        <v>132</v>
      </c>
      <c r="C110" t="s">
        <v>72</v>
      </c>
      <c r="D110" t="s">
        <v>13</v>
      </c>
    </row>
    <row r="111" spans="1:4" x14ac:dyDescent="0.35">
      <c r="A111">
        <v>16</v>
      </c>
      <c r="B111" t="s">
        <v>133</v>
      </c>
      <c r="C111" t="s">
        <v>72</v>
      </c>
      <c r="D111" t="s">
        <v>13</v>
      </c>
    </row>
    <row r="112" spans="1:4" x14ac:dyDescent="0.35">
      <c r="A112">
        <v>16</v>
      </c>
      <c r="B112" t="s">
        <v>134</v>
      </c>
      <c r="C112" t="s">
        <v>72</v>
      </c>
      <c r="D112" t="s">
        <v>13</v>
      </c>
    </row>
    <row r="113" spans="1:4" x14ac:dyDescent="0.35">
      <c r="A113">
        <v>16</v>
      </c>
      <c r="B113" t="s">
        <v>135</v>
      </c>
      <c r="C113" t="s">
        <v>72</v>
      </c>
      <c r="D113" t="s">
        <v>13</v>
      </c>
    </row>
    <row r="114" spans="1:4" x14ac:dyDescent="0.35">
      <c r="A114">
        <v>17</v>
      </c>
      <c r="B114" t="s">
        <v>136</v>
      </c>
      <c r="C114" t="s">
        <v>72</v>
      </c>
      <c r="D114" t="s">
        <v>13</v>
      </c>
    </row>
    <row r="115" spans="1:4" x14ac:dyDescent="0.35">
      <c r="A115">
        <v>17</v>
      </c>
      <c r="B115" t="s">
        <v>137</v>
      </c>
      <c r="C115" t="s">
        <v>93</v>
      </c>
      <c r="D115" t="s">
        <v>13</v>
      </c>
    </row>
    <row r="116" spans="1:4" x14ac:dyDescent="0.35">
      <c r="A116">
        <v>17</v>
      </c>
      <c r="B116" t="s">
        <v>138</v>
      </c>
      <c r="C116" t="s">
        <v>72</v>
      </c>
      <c r="D116" t="s">
        <v>13</v>
      </c>
    </row>
    <row r="117" spans="1:4" x14ac:dyDescent="0.35">
      <c r="A117">
        <v>17</v>
      </c>
      <c r="B117" t="s">
        <v>139</v>
      </c>
      <c r="C117" t="s">
        <v>72</v>
      </c>
      <c r="D117" t="s">
        <v>13</v>
      </c>
    </row>
    <row r="118" spans="1:4" x14ac:dyDescent="0.35">
      <c r="A118">
        <v>17</v>
      </c>
      <c r="B118" t="s">
        <v>140</v>
      </c>
      <c r="C118" t="s">
        <v>72</v>
      </c>
      <c r="D118" t="s">
        <v>13</v>
      </c>
    </row>
    <row r="119" spans="1:4" x14ac:dyDescent="0.35">
      <c r="A119">
        <v>17</v>
      </c>
      <c r="B119" t="s">
        <v>141</v>
      </c>
      <c r="C119" t="s">
        <v>72</v>
      </c>
      <c r="D119" t="s">
        <v>13</v>
      </c>
    </row>
    <row r="120" spans="1:4" x14ac:dyDescent="0.35">
      <c r="A120">
        <v>17</v>
      </c>
      <c r="B120" t="s">
        <v>142</v>
      </c>
      <c r="C120" t="s">
        <v>72</v>
      </c>
      <c r="D120" t="s">
        <v>13</v>
      </c>
    </row>
    <row r="121" spans="1:4" x14ac:dyDescent="0.35">
      <c r="A121">
        <v>18</v>
      </c>
      <c r="B121" t="s">
        <v>143</v>
      </c>
      <c r="C121" t="s">
        <v>144</v>
      </c>
      <c r="D121" t="s">
        <v>13</v>
      </c>
    </row>
    <row r="122" spans="1:4" x14ac:dyDescent="0.35">
      <c r="A122">
        <v>18</v>
      </c>
      <c r="B122" t="s">
        <v>145</v>
      </c>
      <c r="C122" t="s">
        <v>144</v>
      </c>
      <c r="D122" t="s">
        <v>13</v>
      </c>
    </row>
    <row r="123" spans="1:4" x14ac:dyDescent="0.35">
      <c r="A123">
        <v>18</v>
      </c>
      <c r="B123" t="s">
        <v>145</v>
      </c>
      <c r="C123" t="s">
        <v>45</v>
      </c>
      <c r="D123" t="s">
        <v>6</v>
      </c>
    </row>
    <row r="124" spans="1:4" x14ac:dyDescent="0.35">
      <c r="A124">
        <v>18</v>
      </c>
      <c r="B124" t="s">
        <v>146</v>
      </c>
      <c r="C124" t="s">
        <v>144</v>
      </c>
      <c r="D124" t="s">
        <v>13</v>
      </c>
    </row>
    <row r="125" spans="1:4" x14ac:dyDescent="0.35">
      <c r="A125">
        <v>19</v>
      </c>
      <c r="B125" t="s">
        <v>147</v>
      </c>
      <c r="C125" t="s">
        <v>19</v>
      </c>
      <c r="D125" t="s">
        <v>13</v>
      </c>
    </row>
    <row r="126" spans="1:4" x14ac:dyDescent="0.35">
      <c r="A126">
        <v>19</v>
      </c>
      <c r="B126" t="s">
        <v>148</v>
      </c>
      <c r="C126" t="s">
        <v>19</v>
      </c>
      <c r="D126" t="s">
        <v>13</v>
      </c>
    </row>
    <row r="127" spans="1:4" x14ac:dyDescent="0.35">
      <c r="A127">
        <v>19</v>
      </c>
      <c r="B127" t="s">
        <v>149</v>
      </c>
      <c r="C127" t="s">
        <v>19</v>
      </c>
      <c r="D127" t="s">
        <v>13</v>
      </c>
    </row>
    <row r="128" spans="1:4" x14ac:dyDescent="0.35">
      <c r="A128">
        <v>20</v>
      </c>
      <c r="B128" t="s">
        <v>150</v>
      </c>
      <c r="C128" t="s">
        <v>151</v>
      </c>
      <c r="D128" t="s">
        <v>6</v>
      </c>
    </row>
    <row r="129" spans="1:4" x14ac:dyDescent="0.35">
      <c r="A129">
        <v>20</v>
      </c>
      <c r="B129" t="s">
        <v>152</v>
      </c>
      <c r="C129" t="s">
        <v>153</v>
      </c>
      <c r="D129" t="s">
        <v>13</v>
      </c>
    </row>
    <row r="130" spans="1:4" x14ac:dyDescent="0.35">
      <c r="A130">
        <v>21</v>
      </c>
      <c r="B130" t="s">
        <v>154</v>
      </c>
      <c r="C130" t="s">
        <v>19</v>
      </c>
      <c r="D130" t="s">
        <v>13</v>
      </c>
    </row>
    <row r="131" spans="1:4" x14ac:dyDescent="0.35">
      <c r="A131">
        <v>21</v>
      </c>
      <c r="B131" t="s">
        <v>155</v>
      </c>
      <c r="C131" t="s">
        <v>19</v>
      </c>
      <c r="D131" t="s">
        <v>13</v>
      </c>
    </row>
    <row r="132" spans="1:4" x14ac:dyDescent="0.35">
      <c r="A132">
        <v>22</v>
      </c>
      <c r="B132" t="s">
        <v>156</v>
      </c>
      <c r="C132" t="s">
        <v>157</v>
      </c>
      <c r="D132" t="s">
        <v>6</v>
      </c>
    </row>
    <row r="133" spans="1:4" x14ac:dyDescent="0.35">
      <c r="A133">
        <v>22</v>
      </c>
      <c r="B133" t="s">
        <v>158</v>
      </c>
      <c r="C133" t="s">
        <v>157</v>
      </c>
      <c r="D133" t="s">
        <v>6</v>
      </c>
    </row>
    <row r="134" spans="1:4" x14ac:dyDescent="0.35">
      <c r="A134">
        <v>22</v>
      </c>
      <c r="B134" t="s">
        <v>159</v>
      </c>
      <c r="C134" t="s">
        <v>16</v>
      </c>
      <c r="D134" t="s">
        <v>13</v>
      </c>
    </row>
    <row r="135" spans="1:4" x14ac:dyDescent="0.35">
      <c r="A135">
        <v>22</v>
      </c>
      <c r="B135" t="s">
        <v>160</v>
      </c>
      <c r="C135" t="s">
        <v>72</v>
      </c>
      <c r="D135" t="s">
        <v>13</v>
      </c>
    </row>
    <row r="136" spans="1:4" x14ac:dyDescent="0.35">
      <c r="A136">
        <v>22</v>
      </c>
      <c r="B136" t="s">
        <v>160</v>
      </c>
      <c r="C136" t="s">
        <v>157</v>
      </c>
      <c r="D136" t="s">
        <v>6</v>
      </c>
    </row>
    <row r="137" spans="1:4" x14ac:dyDescent="0.35">
      <c r="A137">
        <v>22</v>
      </c>
      <c r="B137" t="s">
        <v>161</v>
      </c>
      <c r="C137" t="s">
        <v>157</v>
      </c>
      <c r="D137" t="s">
        <v>6</v>
      </c>
    </row>
    <row r="138" spans="1:4" x14ac:dyDescent="0.35">
      <c r="A138">
        <v>22</v>
      </c>
      <c r="B138" t="s">
        <v>162</v>
      </c>
      <c r="C138" t="s">
        <v>93</v>
      </c>
      <c r="D138" t="s">
        <v>13</v>
      </c>
    </row>
    <row r="139" spans="1:4" x14ac:dyDescent="0.35">
      <c r="A139">
        <v>22</v>
      </c>
      <c r="B139" t="s">
        <v>163</v>
      </c>
      <c r="C139" t="s">
        <v>157</v>
      </c>
      <c r="D139" t="s">
        <v>6</v>
      </c>
    </row>
    <row r="140" spans="1:4" x14ac:dyDescent="0.35">
      <c r="A140">
        <v>22</v>
      </c>
      <c r="B140" t="s">
        <v>163</v>
      </c>
      <c r="C140" t="s">
        <v>164</v>
      </c>
      <c r="D140" t="s">
        <v>13</v>
      </c>
    </row>
    <row r="141" spans="1:4" x14ac:dyDescent="0.35">
      <c r="A141">
        <v>23</v>
      </c>
      <c r="B141" t="s">
        <v>165</v>
      </c>
      <c r="C141" t="s">
        <v>19</v>
      </c>
      <c r="D141" t="s">
        <v>13</v>
      </c>
    </row>
    <row r="142" spans="1:4" x14ac:dyDescent="0.35">
      <c r="A142">
        <v>23</v>
      </c>
      <c r="B142" t="s">
        <v>166</v>
      </c>
      <c r="C142" t="s">
        <v>19</v>
      </c>
      <c r="D142" t="s">
        <v>13</v>
      </c>
    </row>
    <row r="143" spans="1:4" x14ac:dyDescent="0.35">
      <c r="A143">
        <v>23</v>
      </c>
      <c r="B143" t="s">
        <v>167</v>
      </c>
      <c r="C143" t="s">
        <v>16</v>
      </c>
      <c r="D143" t="s">
        <v>13</v>
      </c>
    </row>
    <row r="144" spans="1:4" x14ac:dyDescent="0.35">
      <c r="A144">
        <v>23</v>
      </c>
      <c r="B144" t="s">
        <v>168</v>
      </c>
      <c r="C144" t="s">
        <v>19</v>
      </c>
      <c r="D144" t="s">
        <v>13</v>
      </c>
    </row>
    <row r="145" spans="1:4" x14ac:dyDescent="0.35">
      <c r="A145">
        <v>24</v>
      </c>
      <c r="B145" t="s">
        <v>169</v>
      </c>
      <c r="C145" t="s">
        <v>72</v>
      </c>
      <c r="D145" t="s">
        <v>13</v>
      </c>
    </row>
    <row r="146" spans="1:4" x14ac:dyDescent="0.35">
      <c r="A146">
        <v>24</v>
      </c>
      <c r="B146" t="s">
        <v>170</v>
      </c>
      <c r="C146" t="s">
        <v>5</v>
      </c>
      <c r="D146" t="s">
        <v>6</v>
      </c>
    </row>
    <row r="147" spans="1:4" x14ac:dyDescent="0.35">
      <c r="A147">
        <v>25</v>
      </c>
      <c r="B147" t="s">
        <v>171</v>
      </c>
      <c r="C147" t="s">
        <v>72</v>
      </c>
      <c r="D147" t="s">
        <v>13</v>
      </c>
    </row>
    <row r="148" spans="1:4" x14ac:dyDescent="0.35">
      <c r="A148">
        <v>25</v>
      </c>
      <c r="B148" t="s">
        <v>171</v>
      </c>
      <c r="C148" t="s">
        <v>172</v>
      </c>
      <c r="D148" t="s">
        <v>6</v>
      </c>
    </row>
    <row r="149" spans="1:4" x14ac:dyDescent="0.35">
      <c r="A149">
        <v>25</v>
      </c>
      <c r="B149" t="s">
        <v>173</v>
      </c>
      <c r="C149" t="s">
        <v>72</v>
      </c>
      <c r="D149" t="s">
        <v>13</v>
      </c>
    </row>
    <row r="150" spans="1:4" x14ac:dyDescent="0.35">
      <c r="A150">
        <v>26</v>
      </c>
      <c r="B150" t="s">
        <v>174</v>
      </c>
      <c r="C150" t="s">
        <v>5</v>
      </c>
      <c r="D150" t="s">
        <v>6</v>
      </c>
    </row>
    <row r="151" spans="1:4" x14ac:dyDescent="0.35">
      <c r="A151">
        <v>26</v>
      </c>
      <c r="B151" t="s">
        <v>175</v>
      </c>
      <c r="C151" t="s">
        <v>16</v>
      </c>
      <c r="D151" t="s">
        <v>13</v>
      </c>
    </row>
    <row r="152" spans="1:4" x14ac:dyDescent="0.35">
      <c r="A152">
        <v>26</v>
      </c>
      <c r="B152" t="s">
        <v>176</v>
      </c>
      <c r="C152" t="s">
        <v>16</v>
      </c>
      <c r="D152" t="s">
        <v>13</v>
      </c>
    </row>
    <row r="153" spans="1:4" x14ac:dyDescent="0.35">
      <c r="A153">
        <v>27</v>
      </c>
      <c r="B153" t="s">
        <v>177</v>
      </c>
      <c r="C153" t="s">
        <v>45</v>
      </c>
      <c r="D153" t="s">
        <v>6</v>
      </c>
    </row>
    <row r="154" spans="1:4" x14ac:dyDescent="0.35">
      <c r="A154">
        <v>27</v>
      </c>
      <c r="B154" t="s">
        <v>178</v>
      </c>
      <c r="C154" t="s">
        <v>45</v>
      </c>
      <c r="D154" t="s">
        <v>6</v>
      </c>
    </row>
    <row r="155" spans="1:4" x14ac:dyDescent="0.35">
      <c r="A155">
        <v>28</v>
      </c>
      <c r="B155" t="s">
        <v>179</v>
      </c>
      <c r="C155" t="s">
        <v>19</v>
      </c>
      <c r="D155" t="s">
        <v>13</v>
      </c>
    </row>
    <row r="156" spans="1:4" x14ac:dyDescent="0.35">
      <c r="A156">
        <v>28</v>
      </c>
      <c r="B156" t="s">
        <v>180</v>
      </c>
      <c r="C156" t="s">
        <v>19</v>
      </c>
      <c r="D156" t="s">
        <v>13</v>
      </c>
    </row>
    <row r="157" spans="1:4" x14ac:dyDescent="0.35">
      <c r="A157">
        <v>29</v>
      </c>
      <c r="B157" t="s">
        <v>181</v>
      </c>
      <c r="C157" t="s">
        <v>16</v>
      </c>
      <c r="D157" t="s">
        <v>13</v>
      </c>
    </row>
    <row r="158" spans="1:4" x14ac:dyDescent="0.35">
      <c r="A158">
        <v>29</v>
      </c>
      <c r="B158" t="s">
        <v>182</v>
      </c>
      <c r="C158" t="s">
        <v>183</v>
      </c>
      <c r="D158" t="s">
        <v>13</v>
      </c>
    </row>
    <row r="159" spans="1:4" x14ac:dyDescent="0.35">
      <c r="A159">
        <v>29</v>
      </c>
      <c r="B159" t="s">
        <v>182</v>
      </c>
      <c r="C159" t="s">
        <v>16</v>
      </c>
      <c r="D159" t="s">
        <v>13</v>
      </c>
    </row>
    <row r="160" spans="1:4" x14ac:dyDescent="0.35">
      <c r="A160">
        <v>29</v>
      </c>
      <c r="B160" t="s">
        <v>184</v>
      </c>
      <c r="C160" t="s">
        <v>16</v>
      </c>
      <c r="D160" t="s">
        <v>13</v>
      </c>
    </row>
    <row r="161" spans="1:4" x14ac:dyDescent="0.35">
      <c r="A161">
        <v>29</v>
      </c>
      <c r="B161" t="s">
        <v>185</v>
      </c>
      <c r="C161" t="s">
        <v>186</v>
      </c>
      <c r="D161" t="s">
        <v>13</v>
      </c>
    </row>
    <row r="162" spans="1:4" x14ac:dyDescent="0.35">
      <c r="A162">
        <v>29</v>
      </c>
      <c r="B162" t="s">
        <v>185</v>
      </c>
      <c r="C162" t="s">
        <v>16</v>
      </c>
      <c r="D162" t="s">
        <v>13</v>
      </c>
    </row>
    <row r="163" spans="1:4" x14ac:dyDescent="0.35">
      <c r="A163">
        <v>30</v>
      </c>
      <c r="B163" t="s">
        <v>154</v>
      </c>
      <c r="C163" t="s">
        <v>19</v>
      </c>
      <c r="D163" t="s">
        <v>13</v>
      </c>
    </row>
    <row r="164" spans="1:4" x14ac:dyDescent="0.35">
      <c r="A164">
        <v>30</v>
      </c>
      <c r="B164" t="s">
        <v>187</v>
      </c>
      <c r="C164" t="s">
        <v>19</v>
      </c>
      <c r="D164" t="s">
        <v>13</v>
      </c>
    </row>
    <row r="165" spans="1:4" x14ac:dyDescent="0.35">
      <c r="A165">
        <v>31</v>
      </c>
      <c r="B165" t="s">
        <v>188</v>
      </c>
      <c r="C165" t="s">
        <v>189</v>
      </c>
      <c r="D165" t="s">
        <v>6</v>
      </c>
    </row>
    <row r="166" spans="1:4" x14ac:dyDescent="0.35">
      <c r="A166">
        <v>31</v>
      </c>
      <c r="B166" t="s">
        <v>190</v>
      </c>
      <c r="C166" t="s">
        <v>189</v>
      </c>
      <c r="D166" t="s">
        <v>6</v>
      </c>
    </row>
    <row r="167" spans="1:4" x14ac:dyDescent="0.35">
      <c r="A167">
        <v>31</v>
      </c>
      <c r="B167" t="s">
        <v>191</v>
      </c>
      <c r="C167" t="s">
        <v>189</v>
      </c>
      <c r="D167" t="s">
        <v>6</v>
      </c>
    </row>
    <row r="168" spans="1:4" x14ac:dyDescent="0.35">
      <c r="A168">
        <v>31</v>
      </c>
      <c r="B168" t="s">
        <v>192</v>
      </c>
      <c r="C168" t="s">
        <v>189</v>
      </c>
      <c r="D168" t="s">
        <v>6</v>
      </c>
    </row>
    <row r="169" spans="1:4" x14ac:dyDescent="0.35">
      <c r="A169">
        <v>31</v>
      </c>
      <c r="B169" t="s">
        <v>193</v>
      </c>
      <c r="C169" t="s">
        <v>189</v>
      </c>
      <c r="D169" t="s">
        <v>6</v>
      </c>
    </row>
    <row r="170" spans="1:4" x14ac:dyDescent="0.35">
      <c r="A170">
        <v>31</v>
      </c>
      <c r="B170" t="s">
        <v>194</v>
      </c>
      <c r="C170" t="s">
        <v>189</v>
      </c>
      <c r="D170" t="s">
        <v>6</v>
      </c>
    </row>
    <row r="171" spans="1:4" x14ac:dyDescent="0.35">
      <c r="A171">
        <v>31</v>
      </c>
      <c r="B171" t="s">
        <v>195</v>
      </c>
      <c r="C171" t="s">
        <v>189</v>
      </c>
      <c r="D171" t="s">
        <v>6</v>
      </c>
    </row>
    <row r="172" spans="1:4" x14ac:dyDescent="0.35">
      <c r="A172">
        <v>32</v>
      </c>
      <c r="B172" t="s">
        <v>196</v>
      </c>
      <c r="C172" t="s">
        <v>25</v>
      </c>
      <c r="D172" t="s">
        <v>13</v>
      </c>
    </row>
    <row r="173" spans="1:4" x14ac:dyDescent="0.35">
      <c r="A173">
        <v>32</v>
      </c>
      <c r="B173" t="s">
        <v>197</v>
      </c>
      <c r="C173" t="s">
        <v>25</v>
      </c>
      <c r="D173" t="s">
        <v>13</v>
      </c>
    </row>
    <row r="174" spans="1:4" x14ac:dyDescent="0.35">
      <c r="A174">
        <v>32</v>
      </c>
      <c r="B174" t="s">
        <v>198</v>
      </c>
      <c r="C174" t="s">
        <v>25</v>
      </c>
      <c r="D174" t="s">
        <v>13</v>
      </c>
    </row>
    <row r="175" spans="1:4" x14ac:dyDescent="0.35">
      <c r="A175">
        <v>33</v>
      </c>
      <c r="B175" t="s">
        <v>199</v>
      </c>
      <c r="C175" t="s">
        <v>25</v>
      </c>
      <c r="D175" t="s">
        <v>13</v>
      </c>
    </row>
    <row r="176" spans="1:4" x14ac:dyDescent="0.35">
      <c r="A176">
        <v>33</v>
      </c>
      <c r="B176" t="s">
        <v>200</v>
      </c>
      <c r="C176" t="s">
        <v>25</v>
      </c>
      <c r="D176" t="s">
        <v>13</v>
      </c>
    </row>
    <row r="177" spans="1:4" x14ac:dyDescent="0.35">
      <c r="A177">
        <v>33</v>
      </c>
      <c r="B177" t="s">
        <v>201</v>
      </c>
      <c r="C177" t="s">
        <v>25</v>
      </c>
      <c r="D177" t="s">
        <v>13</v>
      </c>
    </row>
    <row r="178" spans="1:4" x14ac:dyDescent="0.35">
      <c r="A178">
        <v>33</v>
      </c>
      <c r="B178" t="s">
        <v>201</v>
      </c>
      <c r="C178" t="s">
        <v>93</v>
      </c>
      <c r="D178" t="s">
        <v>13</v>
      </c>
    </row>
    <row r="179" spans="1:4" x14ac:dyDescent="0.35">
      <c r="A179">
        <v>33</v>
      </c>
      <c r="B179" t="s">
        <v>202</v>
      </c>
      <c r="C179" t="s">
        <v>25</v>
      </c>
      <c r="D179" t="s">
        <v>13</v>
      </c>
    </row>
    <row r="180" spans="1:4" x14ac:dyDescent="0.35">
      <c r="A180">
        <v>34</v>
      </c>
      <c r="B180" t="s">
        <v>203</v>
      </c>
      <c r="C180" t="s">
        <v>93</v>
      </c>
      <c r="D180" t="s">
        <v>13</v>
      </c>
    </row>
    <row r="181" spans="1:4" x14ac:dyDescent="0.35">
      <c r="A181">
        <v>34</v>
      </c>
      <c r="B181" t="s">
        <v>204</v>
      </c>
      <c r="C181" t="s">
        <v>93</v>
      </c>
      <c r="D181" t="s">
        <v>13</v>
      </c>
    </row>
    <row r="182" spans="1:4" x14ac:dyDescent="0.35">
      <c r="A182">
        <v>34</v>
      </c>
      <c r="B182" t="s">
        <v>205</v>
      </c>
      <c r="C182" t="s">
        <v>48</v>
      </c>
      <c r="D182" t="s">
        <v>13</v>
      </c>
    </row>
    <row r="183" spans="1:4" x14ac:dyDescent="0.35">
      <c r="A183">
        <v>34</v>
      </c>
      <c r="B183" t="s">
        <v>206</v>
      </c>
      <c r="C183" t="s">
        <v>5</v>
      </c>
      <c r="D183" t="s">
        <v>6</v>
      </c>
    </row>
    <row r="184" spans="1:4" x14ac:dyDescent="0.35">
      <c r="A184">
        <v>34</v>
      </c>
      <c r="B184" t="s">
        <v>207</v>
      </c>
      <c r="C184" t="s">
        <v>93</v>
      </c>
      <c r="D184" t="s">
        <v>13</v>
      </c>
    </row>
    <row r="185" spans="1:4" x14ac:dyDescent="0.35">
      <c r="A185">
        <v>34</v>
      </c>
      <c r="B185" t="s">
        <v>208</v>
      </c>
      <c r="C185" t="s">
        <v>93</v>
      </c>
      <c r="D185" t="s">
        <v>13</v>
      </c>
    </row>
    <row r="186" spans="1:4" x14ac:dyDescent="0.35">
      <c r="A186">
        <v>34</v>
      </c>
      <c r="B186" t="s">
        <v>209</v>
      </c>
      <c r="C186" t="s">
        <v>93</v>
      </c>
      <c r="D186" t="s">
        <v>13</v>
      </c>
    </row>
    <row r="187" spans="1:4" x14ac:dyDescent="0.35">
      <c r="A187">
        <v>34</v>
      </c>
      <c r="B187" t="s">
        <v>210</v>
      </c>
      <c r="C187" t="s">
        <v>172</v>
      </c>
      <c r="D187" t="s">
        <v>6</v>
      </c>
    </row>
    <row r="188" spans="1:4" x14ac:dyDescent="0.35">
      <c r="A188">
        <v>34</v>
      </c>
      <c r="B188" t="s">
        <v>211</v>
      </c>
      <c r="C188" t="s">
        <v>78</v>
      </c>
      <c r="D188" t="s">
        <v>13</v>
      </c>
    </row>
    <row r="189" spans="1:4" x14ac:dyDescent="0.35">
      <c r="A189">
        <v>35</v>
      </c>
      <c r="B189" t="s">
        <v>212</v>
      </c>
      <c r="C189" t="s">
        <v>5</v>
      </c>
      <c r="D189" t="s">
        <v>6</v>
      </c>
    </row>
    <row r="190" spans="1:4" x14ac:dyDescent="0.35">
      <c r="A190">
        <v>35</v>
      </c>
      <c r="B190" t="s">
        <v>213</v>
      </c>
      <c r="C190" t="s">
        <v>5</v>
      </c>
      <c r="D190" t="s">
        <v>6</v>
      </c>
    </row>
    <row r="191" spans="1:4" x14ac:dyDescent="0.35">
      <c r="A191">
        <v>35</v>
      </c>
      <c r="B191" t="s">
        <v>214</v>
      </c>
      <c r="C191" t="s">
        <v>5</v>
      </c>
      <c r="D191" t="s">
        <v>6</v>
      </c>
    </row>
    <row r="192" spans="1:4" x14ac:dyDescent="0.35">
      <c r="A192">
        <v>35</v>
      </c>
      <c r="B192" t="s">
        <v>215</v>
      </c>
      <c r="C192" t="s">
        <v>5</v>
      </c>
      <c r="D192" t="s">
        <v>6</v>
      </c>
    </row>
    <row r="193" spans="1:4" x14ac:dyDescent="0.35">
      <c r="A193">
        <v>35</v>
      </c>
      <c r="B193" t="s">
        <v>216</v>
      </c>
      <c r="C193" t="s">
        <v>5</v>
      </c>
      <c r="D193" t="s">
        <v>6</v>
      </c>
    </row>
    <row r="194" spans="1:4" x14ac:dyDescent="0.35">
      <c r="A194">
        <v>36</v>
      </c>
      <c r="B194" t="s">
        <v>217</v>
      </c>
      <c r="C194" t="s">
        <v>25</v>
      </c>
      <c r="D194" t="s">
        <v>13</v>
      </c>
    </row>
    <row r="195" spans="1:4" x14ac:dyDescent="0.35">
      <c r="A195">
        <v>36</v>
      </c>
      <c r="B195" t="s">
        <v>218</v>
      </c>
      <c r="C195" t="s">
        <v>25</v>
      </c>
      <c r="D195" t="s">
        <v>13</v>
      </c>
    </row>
    <row r="196" spans="1:4" x14ac:dyDescent="0.35">
      <c r="A196">
        <v>36</v>
      </c>
      <c r="B196" t="s">
        <v>219</v>
      </c>
      <c r="C196" t="s">
        <v>25</v>
      </c>
      <c r="D196" t="s">
        <v>13</v>
      </c>
    </row>
    <row r="197" spans="1:4" x14ac:dyDescent="0.35">
      <c r="A197">
        <v>36</v>
      </c>
      <c r="B197" t="s">
        <v>220</v>
      </c>
      <c r="C197" t="s">
        <v>25</v>
      </c>
      <c r="D197" t="s">
        <v>13</v>
      </c>
    </row>
    <row r="198" spans="1:4" x14ac:dyDescent="0.35">
      <c r="A198">
        <v>36</v>
      </c>
      <c r="B198" t="s">
        <v>221</v>
      </c>
      <c r="C198" t="s">
        <v>25</v>
      </c>
      <c r="D198" t="s">
        <v>13</v>
      </c>
    </row>
    <row r="199" spans="1:4" x14ac:dyDescent="0.35">
      <c r="A199">
        <v>37</v>
      </c>
      <c r="B199" t="s">
        <v>222</v>
      </c>
      <c r="C199" t="s">
        <v>151</v>
      </c>
      <c r="D199" t="s">
        <v>6</v>
      </c>
    </row>
    <row r="200" spans="1:4" x14ac:dyDescent="0.35">
      <c r="A200">
        <v>37</v>
      </c>
      <c r="B200" t="s">
        <v>223</v>
      </c>
      <c r="C200" t="s">
        <v>151</v>
      </c>
      <c r="D200" t="s">
        <v>6</v>
      </c>
    </row>
    <row r="201" spans="1:4" x14ac:dyDescent="0.35">
      <c r="A201">
        <v>37</v>
      </c>
      <c r="B201" t="s">
        <v>224</v>
      </c>
      <c r="C201" t="s">
        <v>151</v>
      </c>
      <c r="D201" t="s">
        <v>6</v>
      </c>
    </row>
    <row r="202" spans="1:4" x14ac:dyDescent="0.35">
      <c r="A202">
        <v>37</v>
      </c>
      <c r="B202" t="s">
        <v>225</v>
      </c>
      <c r="C202" t="s">
        <v>151</v>
      </c>
      <c r="D202" t="s">
        <v>6</v>
      </c>
    </row>
    <row r="203" spans="1:4" x14ac:dyDescent="0.35">
      <c r="A203">
        <v>37</v>
      </c>
      <c r="B203" t="s">
        <v>226</v>
      </c>
      <c r="C203" t="s">
        <v>151</v>
      </c>
      <c r="D203" t="s">
        <v>6</v>
      </c>
    </row>
    <row r="204" spans="1:4" x14ac:dyDescent="0.35">
      <c r="A204">
        <v>38</v>
      </c>
      <c r="B204" t="s">
        <v>227</v>
      </c>
      <c r="C204" t="s">
        <v>35</v>
      </c>
      <c r="D204" t="s">
        <v>13</v>
      </c>
    </row>
    <row r="205" spans="1:4" x14ac:dyDescent="0.35">
      <c r="A205">
        <v>38</v>
      </c>
      <c r="B205" t="s">
        <v>228</v>
      </c>
      <c r="C205" t="s">
        <v>157</v>
      </c>
      <c r="D205" t="s">
        <v>6</v>
      </c>
    </row>
    <row r="206" spans="1:4" x14ac:dyDescent="0.35">
      <c r="A206">
        <v>38</v>
      </c>
      <c r="B206" t="s">
        <v>229</v>
      </c>
      <c r="C206" t="s">
        <v>72</v>
      </c>
      <c r="D206" t="s">
        <v>13</v>
      </c>
    </row>
    <row r="207" spans="1:4" x14ac:dyDescent="0.35">
      <c r="A207">
        <v>38</v>
      </c>
      <c r="B207" t="s">
        <v>230</v>
      </c>
      <c r="C207" t="s">
        <v>231</v>
      </c>
      <c r="D207" t="s">
        <v>6</v>
      </c>
    </row>
    <row r="208" spans="1:4" x14ac:dyDescent="0.35">
      <c r="A208">
        <v>38</v>
      </c>
      <c r="B208" t="s">
        <v>230</v>
      </c>
      <c r="C208" t="s">
        <v>157</v>
      </c>
      <c r="D208" t="s">
        <v>6</v>
      </c>
    </row>
    <row r="209" spans="1:4" x14ac:dyDescent="0.35">
      <c r="A209">
        <v>39</v>
      </c>
      <c r="B209" t="s">
        <v>232</v>
      </c>
      <c r="C209" t="s">
        <v>90</v>
      </c>
      <c r="D209" t="s">
        <v>13</v>
      </c>
    </row>
    <row r="210" spans="1:4" x14ac:dyDescent="0.35">
      <c r="A210">
        <v>39</v>
      </c>
      <c r="B210" t="s">
        <v>233</v>
      </c>
      <c r="C210" t="s">
        <v>90</v>
      </c>
      <c r="D210" t="s">
        <v>13</v>
      </c>
    </row>
    <row r="211" spans="1:4" x14ac:dyDescent="0.35">
      <c r="A211">
        <v>39</v>
      </c>
      <c r="B211" t="s">
        <v>234</v>
      </c>
      <c r="C211" t="s">
        <v>90</v>
      </c>
      <c r="D211" t="s">
        <v>13</v>
      </c>
    </row>
    <row r="212" spans="1:4" x14ac:dyDescent="0.35">
      <c r="A212">
        <v>40</v>
      </c>
      <c r="B212" t="s">
        <v>235</v>
      </c>
      <c r="C212" t="s">
        <v>72</v>
      </c>
      <c r="D212" t="s">
        <v>13</v>
      </c>
    </row>
    <row r="213" spans="1:4" x14ac:dyDescent="0.35">
      <c r="A213">
        <v>40</v>
      </c>
      <c r="B213" t="s">
        <v>236</v>
      </c>
      <c r="C213" t="s">
        <v>72</v>
      </c>
      <c r="D213" t="s">
        <v>13</v>
      </c>
    </row>
    <row r="214" spans="1:4" x14ac:dyDescent="0.35">
      <c r="A214">
        <v>40</v>
      </c>
      <c r="B214" t="s">
        <v>237</v>
      </c>
      <c r="C214" t="s">
        <v>72</v>
      </c>
      <c r="D214" t="s">
        <v>13</v>
      </c>
    </row>
    <row r="215" spans="1:4" x14ac:dyDescent="0.35">
      <c r="A215">
        <v>40</v>
      </c>
      <c r="B215" t="s">
        <v>238</v>
      </c>
      <c r="C215" t="s">
        <v>72</v>
      </c>
      <c r="D215" t="s">
        <v>13</v>
      </c>
    </row>
    <row r="216" spans="1:4" x14ac:dyDescent="0.35">
      <c r="A216">
        <v>40</v>
      </c>
      <c r="B216" t="s">
        <v>239</v>
      </c>
      <c r="C216" t="s">
        <v>72</v>
      </c>
      <c r="D216" t="s">
        <v>13</v>
      </c>
    </row>
    <row r="217" spans="1:4" x14ac:dyDescent="0.35">
      <c r="A217">
        <v>40</v>
      </c>
      <c r="B217" t="s">
        <v>240</v>
      </c>
      <c r="C217" t="s">
        <v>72</v>
      </c>
      <c r="D217" t="s">
        <v>13</v>
      </c>
    </row>
    <row r="218" spans="1:4" x14ac:dyDescent="0.35">
      <c r="A218">
        <v>40</v>
      </c>
      <c r="B218" t="s">
        <v>241</v>
      </c>
      <c r="C218" t="s">
        <v>72</v>
      </c>
      <c r="D218" t="s">
        <v>13</v>
      </c>
    </row>
    <row r="219" spans="1:4" x14ac:dyDescent="0.35">
      <c r="A219">
        <v>41</v>
      </c>
      <c r="B219" t="s">
        <v>137</v>
      </c>
      <c r="C219" t="s">
        <v>93</v>
      </c>
      <c r="D219" t="s">
        <v>13</v>
      </c>
    </row>
    <row r="220" spans="1:4" x14ac:dyDescent="0.35">
      <c r="A220">
        <v>41</v>
      </c>
      <c r="B220" t="s">
        <v>242</v>
      </c>
      <c r="C220" t="s">
        <v>231</v>
      </c>
      <c r="D220" t="s">
        <v>6</v>
      </c>
    </row>
    <row r="221" spans="1:4" x14ac:dyDescent="0.35">
      <c r="A221">
        <v>41</v>
      </c>
      <c r="B221" t="s">
        <v>230</v>
      </c>
      <c r="C221" t="s">
        <v>157</v>
      </c>
      <c r="D221" t="s">
        <v>6</v>
      </c>
    </row>
    <row r="222" spans="1:4" x14ac:dyDescent="0.35">
      <c r="A222">
        <v>41</v>
      </c>
      <c r="B222" t="s">
        <v>230</v>
      </c>
      <c r="C222" t="s">
        <v>231</v>
      </c>
      <c r="D222" t="s">
        <v>6</v>
      </c>
    </row>
    <row r="223" spans="1:4" x14ac:dyDescent="0.35">
      <c r="A223">
        <v>41</v>
      </c>
      <c r="B223" t="s">
        <v>243</v>
      </c>
      <c r="C223" t="s">
        <v>231</v>
      </c>
      <c r="D223" t="s">
        <v>6</v>
      </c>
    </row>
    <row r="224" spans="1:4" x14ac:dyDescent="0.35">
      <c r="A224">
        <v>42</v>
      </c>
      <c r="B224" t="s">
        <v>244</v>
      </c>
      <c r="C224" t="s">
        <v>245</v>
      </c>
      <c r="D224" t="s">
        <v>13</v>
      </c>
    </row>
    <row r="225" spans="1:4" x14ac:dyDescent="0.35">
      <c r="A225">
        <v>42</v>
      </c>
      <c r="B225" t="s">
        <v>246</v>
      </c>
      <c r="C225" t="s">
        <v>72</v>
      </c>
      <c r="D225" t="s">
        <v>13</v>
      </c>
    </row>
    <row r="226" spans="1:4" x14ac:dyDescent="0.35">
      <c r="A226">
        <v>42</v>
      </c>
      <c r="B226" t="s">
        <v>247</v>
      </c>
      <c r="C226" t="s">
        <v>72</v>
      </c>
      <c r="D226" t="s">
        <v>13</v>
      </c>
    </row>
    <row r="227" spans="1:4" x14ac:dyDescent="0.35">
      <c r="A227">
        <v>42</v>
      </c>
      <c r="B227" t="s">
        <v>248</v>
      </c>
      <c r="C227" t="s">
        <v>19</v>
      </c>
      <c r="D227" t="s">
        <v>13</v>
      </c>
    </row>
    <row r="228" spans="1:4" x14ac:dyDescent="0.35">
      <c r="A228">
        <v>42</v>
      </c>
      <c r="B228" t="s">
        <v>249</v>
      </c>
      <c r="C228" t="s">
        <v>250</v>
      </c>
      <c r="D228" t="s">
        <v>13</v>
      </c>
    </row>
    <row r="229" spans="1:4" x14ac:dyDescent="0.35">
      <c r="A229">
        <v>42</v>
      </c>
      <c r="B229" t="s">
        <v>251</v>
      </c>
      <c r="C229" t="s">
        <v>72</v>
      </c>
      <c r="D229" t="s">
        <v>13</v>
      </c>
    </row>
    <row r="230" spans="1:4" x14ac:dyDescent="0.35">
      <c r="A230">
        <v>42</v>
      </c>
      <c r="B230" t="s">
        <v>171</v>
      </c>
      <c r="C230" t="s">
        <v>72</v>
      </c>
      <c r="D230" t="s">
        <v>13</v>
      </c>
    </row>
    <row r="231" spans="1:4" x14ac:dyDescent="0.35">
      <c r="A231">
        <v>42</v>
      </c>
      <c r="B231" t="s">
        <v>252</v>
      </c>
      <c r="C231" t="s">
        <v>245</v>
      </c>
      <c r="D231" t="s">
        <v>13</v>
      </c>
    </row>
    <row r="232" spans="1:4" x14ac:dyDescent="0.35">
      <c r="A232">
        <v>42</v>
      </c>
      <c r="B232" t="s">
        <v>253</v>
      </c>
      <c r="C232" t="s">
        <v>72</v>
      </c>
      <c r="D232" t="s">
        <v>13</v>
      </c>
    </row>
    <row r="233" spans="1:4" x14ac:dyDescent="0.35">
      <c r="A233">
        <v>42</v>
      </c>
      <c r="B233" t="s">
        <v>254</v>
      </c>
      <c r="C233" t="s">
        <v>72</v>
      </c>
      <c r="D233" t="s">
        <v>13</v>
      </c>
    </row>
    <row r="234" spans="1:4" x14ac:dyDescent="0.35">
      <c r="A234">
        <v>42</v>
      </c>
      <c r="B234" t="s">
        <v>173</v>
      </c>
      <c r="C234" t="s">
        <v>72</v>
      </c>
      <c r="D234" t="s">
        <v>13</v>
      </c>
    </row>
    <row r="235" spans="1:4" x14ac:dyDescent="0.35">
      <c r="A235">
        <v>43</v>
      </c>
      <c r="B235" t="s">
        <v>244</v>
      </c>
      <c r="C235" t="s">
        <v>245</v>
      </c>
      <c r="D235" t="s">
        <v>13</v>
      </c>
    </row>
    <row r="236" spans="1:4" x14ac:dyDescent="0.35">
      <c r="A236">
        <v>43</v>
      </c>
      <c r="B236" t="s">
        <v>247</v>
      </c>
      <c r="C236" t="s">
        <v>72</v>
      </c>
      <c r="D236" t="s">
        <v>13</v>
      </c>
    </row>
    <row r="237" spans="1:4" x14ac:dyDescent="0.35">
      <c r="A237">
        <v>43</v>
      </c>
      <c r="B237" t="s">
        <v>255</v>
      </c>
      <c r="C237" t="s">
        <v>72</v>
      </c>
      <c r="D237" t="s">
        <v>13</v>
      </c>
    </row>
    <row r="238" spans="1:4" x14ac:dyDescent="0.35">
      <c r="A238">
        <v>43</v>
      </c>
      <c r="B238" t="s">
        <v>171</v>
      </c>
      <c r="C238" t="s">
        <v>72</v>
      </c>
      <c r="D238" t="s">
        <v>13</v>
      </c>
    </row>
    <row r="239" spans="1:4" x14ac:dyDescent="0.35">
      <c r="A239">
        <v>43</v>
      </c>
      <c r="B239" t="s">
        <v>252</v>
      </c>
      <c r="C239" t="s">
        <v>245</v>
      </c>
      <c r="D239" t="s">
        <v>13</v>
      </c>
    </row>
    <row r="240" spans="1:4" x14ac:dyDescent="0.35">
      <c r="A240">
        <v>43</v>
      </c>
      <c r="B240" t="s">
        <v>253</v>
      </c>
      <c r="C240" t="s">
        <v>72</v>
      </c>
      <c r="D240" t="s">
        <v>13</v>
      </c>
    </row>
    <row r="241" spans="1:4" x14ac:dyDescent="0.35">
      <c r="A241">
        <v>43</v>
      </c>
      <c r="B241" t="s">
        <v>173</v>
      </c>
      <c r="C241" t="s">
        <v>72</v>
      </c>
      <c r="D241" t="s">
        <v>13</v>
      </c>
    </row>
    <row r="242" spans="1:4" x14ac:dyDescent="0.35">
      <c r="A242">
        <v>44</v>
      </c>
      <c r="B242" t="s">
        <v>256</v>
      </c>
      <c r="C242" t="s">
        <v>22</v>
      </c>
      <c r="D242" t="s">
        <v>13</v>
      </c>
    </row>
    <row r="243" spans="1:4" x14ac:dyDescent="0.35">
      <c r="A243">
        <v>44</v>
      </c>
      <c r="B243" t="s">
        <v>257</v>
      </c>
      <c r="C243" t="s">
        <v>22</v>
      </c>
      <c r="D243" t="s">
        <v>13</v>
      </c>
    </row>
    <row r="244" spans="1:4" x14ac:dyDescent="0.35">
      <c r="A244">
        <v>44</v>
      </c>
      <c r="B244" t="s">
        <v>258</v>
      </c>
      <c r="C244" t="s">
        <v>22</v>
      </c>
      <c r="D244" t="s">
        <v>13</v>
      </c>
    </row>
    <row r="245" spans="1:4" x14ac:dyDescent="0.35">
      <c r="A245">
        <v>44</v>
      </c>
      <c r="B245" t="s">
        <v>259</v>
      </c>
      <c r="C245" t="s">
        <v>22</v>
      </c>
      <c r="D245" t="s">
        <v>13</v>
      </c>
    </row>
    <row r="246" spans="1:4" x14ac:dyDescent="0.35">
      <c r="A246">
        <v>45</v>
      </c>
      <c r="B246" t="s">
        <v>260</v>
      </c>
      <c r="C246" t="s">
        <v>45</v>
      </c>
      <c r="D246" t="s">
        <v>6</v>
      </c>
    </row>
    <row r="247" spans="1:4" x14ac:dyDescent="0.35">
      <c r="A247">
        <v>45</v>
      </c>
      <c r="B247" t="s">
        <v>260</v>
      </c>
      <c r="C247" t="s">
        <v>261</v>
      </c>
      <c r="D247" t="s">
        <v>13</v>
      </c>
    </row>
    <row r="248" spans="1:4" x14ac:dyDescent="0.35">
      <c r="A248">
        <v>45</v>
      </c>
      <c r="B248" t="s">
        <v>262</v>
      </c>
      <c r="C248" t="s">
        <v>261</v>
      </c>
      <c r="D248" t="s">
        <v>13</v>
      </c>
    </row>
    <row r="249" spans="1:4" x14ac:dyDescent="0.35">
      <c r="A249">
        <v>46</v>
      </c>
      <c r="B249" t="s">
        <v>263</v>
      </c>
      <c r="C249" t="s">
        <v>231</v>
      </c>
      <c r="D249" t="s">
        <v>6</v>
      </c>
    </row>
    <row r="250" spans="1:4" x14ac:dyDescent="0.35">
      <c r="A250">
        <v>46</v>
      </c>
      <c r="B250" t="s">
        <v>264</v>
      </c>
      <c r="C250" t="s">
        <v>5</v>
      </c>
      <c r="D250" t="s">
        <v>6</v>
      </c>
    </row>
    <row r="251" spans="1:4" x14ac:dyDescent="0.35">
      <c r="A251">
        <v>46</v>
      </c>
      <c r="B251" t="s">
        <v>265</v>
      </c>
      <c r="C251" t="s">
        <v>5</v>
      </c>
      <c r="D251" t="s">
        <v>6</v>
      </c>
    </row>
    <row r="252" spans="1:4" x14ac:dyDescent="0.35">
      <c r="A252">
        <v>46</v>
      </c>
      <c r="B252" t="s">
        <v>265</v>
      </c>
      <c r="C252" t="s">
        <v>189</v>
      </c>
      <c r="D252" t="s">
        <v>6</v>
      </c>
    </row>
    <row r="253" spans="1:4" x14ac:dyDescent="0.35">
      <c r="A253">
        <v>46</v>
      </c>
      <c r="B253" t="s">
        <v>266</v>
      </c>
      <c r="C253" t="s">
        <v>189</v>
      </c>
      <c r="D253" t="s">
        <v>6</v>
      </c>
    </row>
    <row r="254" spans="1:4" x14ac:dyDescent="0.35">
      <c r="A254">
        <v>46</v>
      </c>
      <c r="B254" t="s">
        <v>266</v>
      </c>
      <c r="C254" t="s">
        <v>5</v>
      </c>
      <c r="D254" t="s">
        <v>6</v>
      </c>
    </row>
    <row r="255" spans="1:4" x14ac:dyDescent="0.35">
      <c r="A255">
        <v>47</v>
      </c>
      <c r="B255" t="s">
        <v>267</v>
      </c>
      <c r="C255" t="s">
        <v>157</v>
      </c>
      <c r="D255" t="s">
        <v>6</v>
      </c>
    </row>
    <row r="256" spans="1:4" x14ac:dyDescent="0.35">
      <c r="A256">
        <v>48</v>
      </c>
      <c r="B256" t="s">
        <v>268</v>
      </c>
      <c r="C256" t="s">
        <v>5</v>
      </c>
      <c r="D256" t="s">
        <v>6</v>
      </c>
    </row>
    <row r="257" spans="1:4" x14ac:dyDescent="0.35">
      <c r="A257">
        <v>48</v>
      </c>
      <c r="B257" t="s">
        <v>269</v>
      </c>
      <c r="C257" t="s">
        <v>5</v>
      </c>
      <c r="D257" t="s">
        <v>6</v>
      </c>
    </row>
    <row r="258" spans="1:4" x14ac:dyDescent="0.35">
      <c r="A258">
        <v>48</v>
      </c>
      <c r="B258" t="s">
        <v>269</v>
      </c>
      <c r="C258" t="s">
        <v>172</v>
      </c>
      <c r="D258" t="s">
        <v>6</v>
      </c>
    </row>
    <row r="259" spans="1:4" x14ac:dyDescent="0.35">
      <c r="A259">
        <v>48</v>
      </c>
      <c r="B259" t="s">
        <v>270</v>
      </c>
      <c r="C259" t="s">
        <v>5</v>
      </c>
      <c r="D259" t="s">
        <v>6</v>
      </c>
    </row>
    <row r="260" spans="1:4" x14ac:dyDescent="0.35">
      <c r="A260">
        <v>48</v>
      </c>
      <c r="B260" t="s">
        <v>271</v>
      </c>
      <c r="C260" t="s">
        <v>5</v>
      </c>
      <c r="D260" t="s">
        <v>6</v>
      </c>
    </row>
    <row r="261" spans="1:4" x14ac:dyDescent="0.35">
      <c r="A261">
        <v>49</v>
      </c>
      <c r="B261" t="s">
        <v>272</v>
      </c>
      <c r="C261" t="s">
        <v>45</v>
      </c>
      <c r="D261" t="s">
        <v>6</v>
      </c>
    </row>
    <row r="262" spans="1:4" x14ac:dyDescent="0.35">
      <c r="A262">
        <v>49</v>
      </c>
      <c r="B262" t="s">
        <v>273</v>
      </c>
      <c r="C262" t="s">
        <v>45</v>
      </c>
      <c r="D262" t="s">
        <v>6</v>
      </c>
    </row>
    <row r="263" spans="1:4" x14ac:dyDescent="0.35">
      <c r="A263">
        <v>49</v>
      </c>
      <c r="B263" t="s">
        <v>274</v>
      </c>
      <c r="C263" t="s">
        <v>16</v>
      </c>
      <c r="D263" t="s">
        <v>13</v>
      </c>
    </row>
    <row r="264" spans="1:4" x14ac:dyDescent="0.35">
      <c r="A264">
        <v>49</v>
      </c>
      <c r="B264" t="s">
        <v>275</v>
      </c>
      <c r="C264" t="s">
        <v>45</v>
      </c>
      <c r="D264" t="s">
        <v>6</v>
      </c>
    </row>
    <row r="265" spans="1:4" x14ac:dyDescent="0.35">
      <c r="A265">
        <v>49</v>
      </c>
      <c r="B265" t="s">
        <v>276</v>
      </c>
      <c r="C265" t="s">
        <v>16</v>
      </c>
      <c r="D265" t="s">
        <v>13</v>
      </c>
    </row>
    <row r="266" spans="1:4" x14ac:dyDescent="0.35">
      <c r="A266">
        <v>49</v>
      </c>
      <c r="B266" t="s">
        <v>277</v>
      </c>
      <c r="C266" t="s">
        <v>16</v>
      </c>
      <c r="D266" t="s">
        <v>13</v>
      </c>
    </row>
    <row r="267" spans="1:4" x14ac:dyDescent="0.35">
      <c r="A267">
        <v>49</v>
      </c>
      <c r="B267" t="s">
        <v>278</v>
      </c>
      <c r="C267" t="s">
        <v>45</v>
      </c>
      <c r="D267" t="s">
        <v>6</v>
      </c>
    </row>
    <row r="268" spans="1:4" x14ac:dyDescent="0.35">
      <c r="A268">
        <v>49</v>
      </c>
      <c r="B268" t="s">
        <v>279</v>
      </c>
      <c r="C268" t="s">
        <v>45</v>
      </c>
      <c r="D268" t="s">
        <v>6</v>
      </c>
    </row>
    <row r="269" spans="1:4" x14ac:dyDescent="0.35">
      <c r="A269">
        <v>50</v>
      </c>
      <c r="B269" t="s">
        <v>280</v>
      </c>
      <c r="C269" t="s">
        <v>281</v>
      </c>
      <c r="D269" t="s">
        <v>13</v>
      </c>
    </row>
    <row r="270" spans="1:4" x14ac:dyDescent="0.35">
      <c r="A270">
        <v>50</v>
      </c>
      <c r="B270" t="s">
        <v>280</v>
      </c>
      <c r="C270" t="s">
        <v>72</v>
      </c>
      <c r="D270" t="s">
        <v>13</v>
      </c>
    </row>
    <row r="271" spans="1:4" x14ac:dyDescent="0.35">
      <c r="A271">
        <v>50</v>
      </c>
      <c r="B271" t="s">
        <v>282</v>
      </c>
      <c r="C271" t="s">
        <v>172</v>
      </c>
      <c r="D271" t="s">
        <v>6</v>
      </c>
    </row>
    <row r="272" spans="1:4" x14ac:dyDescent="0.35">
      <c r="A272">
        <v>50</v>
      </c>
      <c r="B272" t="s">
        <v>282</v>
      </c>
      <c r="C272" t="s">
        <v>72</v>
      </c>
      <c r="D272" t="s">
        <v>13</v>
      </c>
    </row>
    <row r="273" spans="1:4" x14ac:dyDescent="0.35">
      <c r="A273">
        <v>50</v>
      </c>
      <c r="B273" t="s">
        <v>283</v>
      </c>
      <c r="C273" t="s">
        <v>101</v>
      </c>
      <c r="D273" t="s">
        <v>6</v>
      </c>
    </row>
    <row r="274" spans="1:4" x14ac:dyDescent="0.35">
      <c r="A274">
        <v>50</v>
      </c>
      <c r="B274" t="s">
        <v>171</v>
      </c>
      <c r="C274" t="s">
        <v>72</v>
      </c>
      <c r="D274" t="s">
        <v>13</v>
      </c>
    </row>
    <row r="275" spans="1:4" x14ac:dyDescent="0.35">
      <c r="A275">
        <v>50</v>
      </c>
      <c r="B275" t="s">
        <v>171</v>
      </c>
      <c r="C275" t="s">
        <v>172</v>
      </c>
      <c r="D275" t="s">
        <v>6</v>
      </c>
    </row>
    <row r="276" spans="1:4" x14ac:dyDescent="0.35">
      <c r="A276">
        <v>51</v>
      </c>
      <c r="B276" t="s">
        <v>284</v>
      </c>
      <c r="C276" t="s">
        <v>72</v>
      </c>
      <c r="D276" t="s">
        <v>13</v>
      </c>
    </row>
    <row r="277" spans="1:4" x14ac:dyDescent="0.35">
      <c r="A277">
        <v>51</v>
      </c>
      <c r="B277" t="s">
        <v>284</v>
      </c>
      <c r="C277" t="s">
        <v>172</v>
      </c>
      <c r="D277" t="s">
        <v>6</v>
      </c>
    </row>
    <row r="278" spans="1:4" x14ac:dyDescent="0.35">
      <c r="A278">
        <v>52</v>
      </c>
      <c r="B278" t="s">
        <v>285</v>
      </c>
      <c r="C278" t="s">
        <v>16</v>
      </c>
      <c r="D278" t="s">
        <v>13</v>
      </c>
    </row>
    <row r="279" spans="1:4" x14ac:dyDescent="0.35">
      <c r="A279">
        <v>52</v>
      </c>
      <c r="B279" t="s">
        <v>286</v>
      </c>
      <c r="C279" t="s">
        <v>16</v>
      </c>
      <c r="D279" t="s">
        <v>13</v>
      </c>
    </row>
    <row r="280" spans="1:4" x14ac:dyDescent="0.35">
      <c r="A280">
        <v>53</v>
      </c>
      <c r="B280" t="s">
        <v>244</v>
      </c>
      <c r="C280" t="s">
        <v>245</v>
      </c>
      <c r="D280" t="s">
        <v>13</v>
      </c>
    </row>
    <row r="281" spans="1:4" x14ac:dyDescent="0.35">
      <c r="A281">
        <v>53</v>
      </c>
      <c r="B281" t="s">
        <v>287</v>
      </c>
      <c r="C281" t="s">
        <v>72</v>
      </c>
      <c r="D281" t="s">
        <v>13</v>
      </c>
    </row>
    <row r="282" spans="1:4" x14ac:dyDescent="0.35">
      <c r="A282">
        <v>53</v>
      </c>
      <c r="B282" t="s">
        <v>288</v>
      </c>
      <c r="C282" t="s">
        <v>72</v>
      </c>
      <c r="D282" t="s">
        <v>13</v>
      </c>
    </row>
    <row r="283" spans="1:4" x14ac:dyDescent="0.35">
      <c r="A283">
        <v>53</v>
      </c>
      <c r="B283" t="s">
        <v>252</v>
      </c>
      <c r="C283" t="s">
        <v>245</v>
      </c>
      <c r="D283" t="s">
        <v>13</v>
      </c>
    </row>
    <row r="284" spans="1:4" x14ac:dyDescent="0.35">
      <c r="A284">
        <v>53</v>
      </c>
      <c r="B284" t="s">
        <v>253</v>
      </c>
      <c r="C284" t="s">
        <v>72</v>
      </c>
      <c r="D284" t="s">
        <v>13</v>
      </c>
    </row>
    <row r="285" spans="1:4" x14ac:dyDescent="0.35">
      <c r="A285">
        <v>53</v>
      </c>
      <c r="B285" t="s">
        <v>173</v>
      </c>
      <c r="C285" t="s">
        <v>72</v>
      </c>
      <c r="D285" t="s">
        <v>13</v>
      </c>
    </row>
    <row r="286" spans="1:4" x14ac:dyDescent="0.35">
      <c r="A286">
        <v>54</v>
      </c>
      <c r="B286" t="s">
        <v>289</v>
      </c>
      <c r="C286" t="s">
        <v>45</v>
      </c>
      <c r="D286" t="s">
        <v>6</v>
      </c>
    </row>
    <row r="287" spans="1:4" x14ac:dyDescent="0.35">
      <c r="A287">
        <v>54</v>
      </c>
      <c r="B287" t="s">
        <v>290</v>
      </c>
      <c r="C287" t="s">
        <v>45</v>
      </c>
      <c r="D287" t="s">
        <v>6</v>
      </c>
    </row>
    <row r="288" spans="1:4" x14ac:dyDescent="0.35">
      <c r="A288">
        <v>54</v>
      </c>
      <c r="B288" t="s">
        <v>291</v>
      </c>
      <c r="C288" t="s">
        <v>45</v>
      </c>
      <c r="D288" t="s">
        <v>6</v>
      </c>
    </row>
    <row r="289" spans="1:4" x14ac:dyDescent="0.35">
      <c r="A289">
        <v>54</v>
      </c>
      <c r="B289" t="s">
        <v>292</v>
      </c>
      <c r="C289" t="s">
        <v>45</v>
      </c>
      <c r="D289" t="s">
        <v>6</v>
      </c>
    </row>
    <row r="290" spans="1:4" x14ac:dyDescent="0.35">
      <c r="A290">
        <v>55</v>
      </c>
      <c r="B290" t="s">
        <v>293</v>
      </c>
      <c r="C290" t="s">
        <v>101</v>
      </c>
      <c r="D290" t="s">
        <v>6</v>
      </c>
    </row>
    <row r="291" spans="1:4" x14ac:dyDescent="0.35">
      <c r="A291">
        <v>55</v>
      </c>
      <c r="B291" t="s">
        <v>294</v>
      </c>
      <c r="C291" t="s">
        <v>101</v>
      </c>
      <c r="D291" t="s">
        <v>6</v>
      </c>
    </row>
    <row r="292" spans="1:4" x14ac:dyDescent="0.35">
      <c r="A292">
        <v>55</v>
      </c>
      <c r="B292" t="s">
        <v>295</v>
      </c>
      <c r="C292" t="s">
        <v>101</v>
      </c>
      <c r="D292" t="s">
        <v>6</v>
      </c>
    </row>
    <row r="293" spans="1:4" x14ac:dyDescent="0.35">
      <c r="A293">
        <v>56</v>
      </c>
      <c r="B293" t="s">
        <v>296</v>
      </c>
      <c r="C293" t="s">
        <v>231</v>
      </c>
      <c r="D293" t="s">
        <v>6</v>
      </c>
    </row>
    <row r="294" spans="1:4" x14ac:dyDescent="0.35">
      <c r="A294">
        <v>56</v>
      </c>
      <c r="B294" t="s">
        <v>297</v>
      </c>
      <c r="C294" t="s">
        <v>231</v>
      </c>
      <c r="D294" t="s">
        <v>6</v>
      </c>
    </row>
    <row r="295" spans="1:4" x14ac:dyDescent="0.35">
      <c r="A295">
        <v>57</v>
      </c>
      <c r="B295" t="s">
        <v>298</v>
      </c>
      <c r="C295" t="s">
        <v>157</v>
      </c>
      <c r="D295" t="s">
        <v>6</v>
      </c>
    </row>
    <row r="296" spans="1:4" x14ac:dyDescent="0.35">
      <c r="A296">
        <v>58</v>
      </c>
      <c r="B296" t="s">
        <v>299</v>
      </c>
      <c r="C296" t="s">
        <v>101</v>
      </c>
      <c r="D296" t="s">
        <v>6</v>
      </c>
    </row>
    <row r="297" spans="1:4" x14ac:dyDescent="0.35">
      <c r="A297">
        <v>58</v>
      </c>
      <c r="B297" t="s">
        <v>300</v>
      </c>
      <c r="C297" t="s">
        <v>101</v>
      </c>
      <c r="D297" t="s">
        <v>6</v>
      </c>
    </row>
    <row r="298" spans="1:4" x14ac:dyDescent="0.35">
      <c r="A298">
        <v>58</v>
      </c>
      <c r="B298" t="s">
        <v>301</v>
      </c>
      <c r="C298" t="s">
        <v>101</v>
      </c>
      <c r="D298" t="s">
        <v>6</v>
      </c>
    </row>
    <row r="299" spans="1:4" x14ac:dyDescent="0.35">
      <c r="A299">
        <v>58</v>
      </c>
      <c r="B299" t="s">
        <v>302</v>
      </c>
      <c r="C299" t="s">
        <v>101</v>
      </c>
      <c r="D299" t="s">
        <v>6</v>
      </c>
    </row>
    <row r="300" spans="1:4" x14ac:dyDescent="0.35">
      <c r="A300">
        <v>58</v>
      </c>
      <c r="B300" t="s">
        <v>303</v>
      </c>
      <c r="C300" t="s">
        <v>101</v>
      </c>
      <c r="D300" t="s">
        <v>6</v>
      </c>
    </row>
    <row r="301" spans="1:4" x14ac:dyDescent="0.35">
      <c r="A301">
        <v>58</v>
      </c>
      <c r="B301" t="s">
        <v>304</v>
      </c>
      <c r="C301" t="s">
        <v>101</v>
      </c>
      <c r="D301" t="s">
        <v>6</v>
      </c>
    </row>
    <row r="302" spans="1:4" x14ac:dyDescent="0.35">
      <c r="A302">
        <v>58</v>
      </c>
      <c r="B302" t="s">
        <v>305</v>
      </c>
      <c r="C302" t="s">
        <v>101</v>
      </c>
      <c r="D302" t="s">
        <v>6</v>
      </c>
    </row>
    <row r="303" spans="1:4" x14ac:dyDescent="0.35">
      <c r="A303">
        <v>58</v>
      </c>
      <c r="B303" t="s">
        <v>306</v>
      </c>
      <c r="C303" t="s">
        <v>101</v>
      </c>
      <c r="D303" t="s">
        <v>6</v>
      </c>
    </row>
    <row r="304" spans="1:4" x14ac:dyDescent="0.35">
      <c r="A304">
        <v>58</v>
      </c>
      <c r="B304" t="s">
        <v>307</v>
      </c>
      <c r="C304" t="s">
        <v>101</v>
      </c>
      <c r="D304" t="s">
        <v>6</v>
      </c>
    </row>
    <row r="305" spans="1:4" x14ac:dyDescent="0.35">
      <c r="A305">
        <v>58</v>
      </c>
      <c r="B305" t="s">
        <v>307</v>
      </c>
      <c r="C305" t="s">
        <v>93</v>
      </c>
      <c r="D305" t="s">
        <v>13</v>
      </c>
    </row>
    <row r="306" spans="1:4" x14ac:dyDescent="0.35">
      <c r="A306">
        <v>59</v>
      </c>
      <c r="B306" t="s">
        <v>308</v>
      </c>
      <c r="C306" t="s">
        <v>101</v>
      </c>
      <c r="D306" t="s">
        <v>6</v>
      </c>
    </row>
    <row r="307" spans="1:4" x14ac:dyDescent="0.35">
      <c r="A307">
        <v>60</v>
      </c>
      <c r="B307" t="s">
        <v>309</v>
      </c>
      <c r="C307" t="s">
        <v>72</v>
      </c>
      <c r="D307" t="s">
        <v>13</v>
      </c>
    </row>
    <row r="308" spans="1:4" x14ac:dyDescent="0.35">
      <c r="A308">
        <v>60</v>
      </c>
      <c r="B308" t="s">
        <v>310</v>
      </c>
      <c r="C308" t="s">
        <v>5</v>
      </c>
      <c r="D308" t="s">
        <v>6</v>
      </c>
    </row>
    <row r="309" spans="1:4" x14ac:dyDescent="0.35">
      <c r="A309">
        <v>60</v>
      </c>
      <c r="B309" t="s">
        <v>311</v>
      </c>
      <c r="C309" t="s">
        <v>5</v>
      </c>
      <c r="D309" t="s">
        <v>6</v>
      </c>
    </row>
    <row r="310" spans="1:4" x14ac:dyDescent="0.35">
      <c r="A310">
        <v>60</v>
      </c>
      <c r="B310" t="s">
        <v>8</v>
      </c>
      <c r="C310" t="s">
        <v>5</v>
      </c>
      <c r="D310" t="s">
        <v>6</v>
      </c>
    </row>
    <row r="311" spans="1:4" x14ac:dyDescent="0.35">
      <c r="A311">
        <v>60</v>
      </c>
      <c r="B311" t="s">
        <v>312</v>
      </c>
      <c r="C311" t="s">
        <v>5</v>
      </c>
      <c r="D311" t="s">
        <v>6</v>
      </c>
    </row>
    <row r="312" spans="1:4" x14ac:dyDescent="0.35">
      <c r="A312">
        <v>60</v>
      </c>
      <c r="B312" t="s">
        <v>313</v>
      </c>
      <c r="C312" t="s">
        <v>72</v>
      </c>
      <c r="D312" t="s">
        <v>13</v>
      </c>
    </row>
    <row r="313" spans="1:4" x14ac:dyDescent="0.35">
      <c r="A313">
        <v>61</v>
      </c>
      <c r="B313" t="s">
        <v>314</v>
      </c>
      <c r="C313" t="s">
        <v>45</v>
      </c>
      <c r="D313" t="s">
        <v>6</v>
      </c>
    </row>
    <row r="314" spans="1:4" x14ac:dyDescent="0.35">
      <c r="A314">
        <v>61</v>
      </c>
      <c r="B314" t="s">
        <v>315</v>
      </c>
      <c r="C314" t="s">
        <v>45</v>
      </c>
      <c r="D314" t="s">
        <v>6</v>
      </c>
    </row>
    <row r="315" spans="1:4" x14ac:dyDescent="0.35">
      <c r="A315">
        <v>61</v>
      </c>
      <c r="B315" t="s">
        <v>316</v>
      </c>
      <c r="C315" t="s">
        <v>45</v>
      </c>
      <c r="D315" t="s">
        <v>6</v>
      </c>
    </row>
    <row r="316" spans="1:4" x14ac:dyDescent="0.35">
      <c r="A316">
        <v>62</v>
      </c>
      <c r="B316" t="s">
        <v>317</v>
      </c>
      <c r="C316" t="s">
        <v>157</v>
      </c>
      <c r="D316" t="s">
        <v>6</v>
      </c>
    </row>
    <row r="317" spans="1:4" x14ac:dyDescent="0.35">
      <c r="A317">
        <v>62</v>
      </c>
      <c r="B317" t="s">
        <v>318</v>
      </c>
      <c r="C317" t="s">
        <v>157</v>
      </c>
      <c r="D317" t="s">
        <v>6</v>
      </c>
    </row>
    <row r="318" spans="1:4" x14ac:dyDescent="0.35">
      <c r="A318">
        <v>62</v>
      </c>
      <c r="B318" t="s">
        <v>319</v>
      </c>
      <c r="C318" t="s">
        <v>157</v>
      </c>
      <c r="D318" t="s">
        <v>6</v>
      </c>
    </row>
    <row r="319" spans="1:4" x14ac:dyDescent="0.35">
      <c r="A319">
        <v>62</v>
      </c>
      <c r="B319" t="s">
        <v>201</v>
      </c>
      <c r="C319" t="s">
        <v>157</v>
      </c>
      <c r="D319" t="s">
        <v>6</v>
      </c>
    </row>
    <row r="320" spans="1:4" x14ac:dyDescent="0.35">
      <c r="A320">
        <v>62</v>
      </c>
      <c r="B320" t="s">
        <v>320</v>
      </c>
      <c r="C320" t="s">
        <v>157</v>
      </c>
      <c r="D320" t="s">
        <v>6</v>
      </c>
    </row>
    <row r="321" spans="1:4" x14ac:dyDescent="0.35">
      <c r="A321">
        <v>63</v>
      </c>
      <c r="B321" t="s">
        <v>321</v>
      </c>
      <c r="C321" t="s">
        <v>157</v>
      </c>
      <c r="D321" t="s">
        <v>6</v>
      </c>
    </row>
    <row r="322" spans="1:4" x14ac:dyDescent="0.35">
      <c r="A322">
        <v>63</v>
      </c>
      <c r="B322" t="s">
        <v>322</v>
      </c>
      <c r="C322" t="s">
        <v>157</v>
      </c>
      <c r="D322" t="s">
        <v>6</v>
      </c>
    </row>
    <row r="323" spans="1:4" x14ac:dyDescent="0.35">
      <c r="A323">
        <v>63</v>
      </c>
      <c r="B323" t="s">
        <v>323</v>
      </c>
      <c r="C323" t="s">
        <v>157</v>
      </c>
      <c r="D323" t="s">
        <v>6</v>
      </c>
    </row>
    <row r="324" spans="1:4" x14ac:dyDescent="0.35">
      <c r="A324">
        <v>64</v>
      </c>
      <c r="B324" t="s">
        <v>324</v>
      </c>
      <c r="C324" t="s">
        <v>72</v>
      </c>
      <c r="D324" t="s">
        <v>13</v>
      </c>
    </row>
    <row r="325" spans="1:4" x14ac:dyDescent="0.35">
      <c r="A325">
        <v>64</v>
      </c>
      <c r="B325" t="s">
        <v>325</v>
      </c>
      <c r="C325" t="s">
        <v>326</v>
      </c>
      <c r="D325" t="s">
        <v>13</v>
      </c>
    </row>
    <row r="326" spans="1:4" x14ac:dyDescent="0.35">
      <c r="A326">
        <v>64</v>
      </c>
      <c r="B326" t="s">
        <v>325</v>
      </c>
      <c r="C326" t="s">
        <v>72</v>
      </c>
      <c r="D326" t="s">
        <v>13</v>
      </c>
    </row>
    <row r="327" spans="1:4" x14ac:dyDescent="0.35">
      <c r="A327">
        <v>64</v>
      </c>
      <c r="B327" t="s">
        <v>284</v>
      </c>
      <c r="C327" t="s">
        <v>72</v>
      </c>
      <c r="D327" t="s">
        <v>13</v>
      </c>
    </row>
    <row r="328" spans="1:4" x14ac:dyDescent="0.35">
      <c r="A328">
        <v>64</v>
      </c>
      <c r="B328" t="s">
        <v>284</v>
      </c>
      <c r="C328" t="s">
        <v>172</v>
      </c>
      <c r="D328" t="s">
        <v>6</v>
      </c>
    </row>
    <row r="329" spans="1:4" x14ac:dyDescent="0.35">
      <c r="A329">
        <v>65</v>
      </c>
      <c r="B329" t="s">
        <v>327</v>
      </c>
      <c r="C329" t="s">
        <v>101</v>
      </c>
      <c r="D329" t="s">
        <v>6</v>
      </c>
    </row>
    <row r="330" spans="1:4" x14ac:dyDescent="0.35">
      <c r="A330">
        <v>66</v>
      </c>
      <c r="B330" t="s">
        <v>328</v>
      </c>
      <c r="C330" t="s">
        <v>93</v>
      </c>
      <c r="D330" t="s">
        <v>13</v>
      </c>
    </row>
    <row r="331" spans="1:4" x14ac:dyDescent="0.35">
      <c r="A331">
        <v>66</v>
      </c>
      <c r="B331" t="s">
        <v>328</v>
      </c>
      <c r="C331" t="s">
        <v>157</v>
      </c>
      <c r="D331" t="s">
        <v>6</v>
      </c>
    </row>
    <row r="332" spans="1:4" x14ac:dyDescent="0.35">
      <c r="A332">
        <v>66</v>
      </c>
      <c r="B332" t="s">
        <v>329</v>
      </c>
      <c r="C332" t="s">
        <v>157</v>
      </c>
      <c r="D332" t="s">
        <v>6</v>
      </c>
    </row>
    <row r="333" spans="1:4" x14ac:dyDescent="0.35">
      <c r="A333">
        <v>66</v>
      </c>
      <c r="B333" t="s">
        <v>330</v>
      </c>
      <c r="C333" t="s">
        <v>157</v>
      </c>
      <c r="D333" t="s">
        <v>6</v>
      </c>
    </row>
    <row r="334" spans="1:4" x14ac:dyDescent="0.35">
      <c r="A334">
        <v>67</v>
      </c>
      <c r="B334" t="s">
        <v>331</v>
      </c>
      <c r="C334" t="s">
        <v>72</v>
      </c>
      <c r="D334" t="s">
        <v>13</v>
      </c>
    </row>
    <row r="335" spans="1:4" x14ac:dyDescent="0.35">
      <c r="A335">
        <v>67</v>
      </c>
      <c r="B335" t="s">
        <v>332</v>
      </c>
      <c r="C335" t="s">
        <v>72</v>
      </c>
      <c r="D335" t="s">
        <v>13</v>
      </c>
    </row>
    <row r="336" spans="1:4" x14ac:dyDescent="0.35">
      <c r="A336">
        <v>67</v>
      </c>
      <c r="B336" t="s">
        <v>333</v>
      </c>
      <c r="C336" t="s">
        <v>72</v>
      </c>
      <c r="D336" t="s">
        <v>13</v>
      </c>
    </row>
    <row r="337" spans="1:4" x14ac:dyDescent="0.35">
      <c r="A337">
        <v>67</v>
      </c>
      <c r="B337" t="s">
        <v>334</v>
      </c>
      <c r="C337" t="s">
        <v>72</v>
      </c>
      <c r="D337" t="s">
        <v>13</v>
      </c>
    </row>
    <row r="338" spans="1:4" x14ac:dyDescent="0.35">
      <c r="A338">
        <v>68</v>
      </c>
      <c r="B338" t="s">
        <v>335</v>
      </c>
      <c r="C338" t="s">
        <v>16</v>
      </c>
      <c r="D338" t="s">
        <v>13</v>
      </c>
    </row>
    <row r="339" spans="1:4" x14ac:dyDescent="0.35">
      <c r="A339">
        <v>68</v>
      </c>
      <c r="B339" t="s">
        <v>336</v>
      </c>
      <c r="C339" t="s">
        <v>172</v>
      </c>
      <c r="D339" t="s">
        <v>6</v>
      </c>
    </row>
    <row r="340" spans="1:4" x14ac:dyDescent="0.35">
      <c r="A340">
        <v>68</v>
      </c>
      <c r="B340" t="s">
        <v>337</v>
      </c>
      <c r="C340" t="s">
        <v>16</v>
      </c>
      <c r="D340" t="s">
        <v>13</v>
      </c>
    </row>
    <row r="341" spans="1:4" x14ac:dyDescent="0.35">
      <c r="A341">
        <v>69</v>
      </c>
      <c r="B341" t="s">
        <v>338</v>
      </c>
      <c r="C341" t="s">
        <v>72</v>
      </c>
      <c r="D341" t="s">
        <v>13</v>
      </c>
    </row>
    <row r="342" spans="1:4" x14ac:dyDescent="0.35">
      <c r="A342">
        <v>69</v>
      </c>
      <c r="B342" t="s">
        <v>339</v>
      </c>
      <c r="C342" t="s">
        <v>72</v>
      </c>
      <c r="D342" t="s">
        <v>13</v>
      </c>
    </row>
    <row r="343" spans="1:4" x14ac:dyDescent="0.35">
      <c r="A343">
        <v>69</v>
      </c>
      <c r="B343" t="s">
        <v>340</v>
      </c>
      <c r="C343" t="s">
        <v>341</v>
      </c>
      <c r="D343" t="s">
        <v>13</v>
      </c>
    </row>
    <row r="344" spans="1:4" x14ac:dyDescent="0.35">
      <c r="A344">
        <v>69</v>
      </c>
      <c r="B344" t="s">
        <v>342</v>
      </c>
      <c r="C344" t="s">
        <v>341</v>
      </c>
      <c r="D344" t="s">
        <v>13</v>
      </c>
    </row>
    <row r="345" spans="1:4" x14ac:dyDescent="0.35">
      <c r="A345">
        <v>69</v>
      </c>
      <c r="B345" t="s">
        <v>343</v>
      </c>
      <c r="C345" t="s">
        <v>72</v>
      </c>
      <c r="D345" t="s">
        <v>13</v>
      </c>
    </row>
    <row r="346" spans="1:4" x14ac:dyDescent="0.35">
      <c r="A346">
        <v>69</v>
      </c>
      <c r="B346" t="s">
        <v>344</v>
      </c>
      <c r="C346" t="s">
        <v>72</v>
      </c>
      <c r="D346" t="s">
        <v>13</v>
      </c>
    </row>
    <row r="347" spans="1:4" x14ac:dyDescent="0.35">
      <c r="A347">
        <v>69</v>
      </c>
      <c r="B347" t="s">
        <v>345</v>
      </c>
      <c r="C347" t="s">
        <v>72</v>
      </c>
      <c r="D347" t="s">
        <v>13</v>
      </c>
    </row>
    <row r="348" spans="1:4" x14ac:dyDescent="0.35">
      <c r="A348">
        <v>69</v>
      </c>
      <c r="B348" t="s">
        <v>346</v>
      </c>
      <c r="C348" t="s">
        <v>72</v>
      </c>
      <c r="D348" t="s">
        <v>13</v>
      </c>
    </row>
    <row r="349" spans="1:4" x14ac:dyDescent="0.35">
      <c r="A349">
        <v>70</v>
      </c>
      <c r="B349" t="s">
        <v>347</v>
      </c>
      <c r="C349" t="s">
        <v>16</v>
      </c>
      <c r="D349" t="s">
        <v>13</v>
      </c>
    </row>
    <row r="350" spans="1:4" x14ac:dyDescent="0.35">
      <c r="A350">
        <v>70</v>
      </c>
      <c r="B350" t="s">
        <v>348</v>
      </c>
      <c r="C350" t="s">
        <v>16</v>
      </c>
      <c r="D350" t="s">
        <v>13</v>
      </c>
    </row>
    <row r="351" spans="1:4" x14ac:dyDescent="0.35">
      <c r="A351">
        <v>70</v>
      </c>
      <c r="B351" t="s">
        <v>348</v>
      </c>
      <c r="C351" t="s">
        <v>45</v>
      </c>
      <c r="D351" t="s">
        <v>6</v>
      </c>
    </row>
    <row r="352" spans="1:4" x14ac:dyDescent="0.35">
      <c r="A352">
        <v>70</v>
      </c>
      <c r="B352" t="s">
        <v>167</v>
      </c>
      <c r="C352" t="s">
        <v>16</v>
      </c>
      <c r="D352" t="s">
        <v>13</v>
      </c>
    </row>
    <row r="353" spans="1:4" x14ac:dyDescent="0.35">
      <c r="A353">
        <v>70</v>
      </c>
      <c r="B353" t="s">
        <v>349</v>
      </c>
      <c r="C353" t="s">
        <v>16</v>
      </c>
      <c r="D353" t="s">
        <v>13</v>
      </c>
    </row>
    <row r="354" spans="1:4" x14ac:dyDescent="0.35">
      <c r="A354">
        <v>70</v>
      </c>
      <c r="B354" t="s">
        <v>350</v>
      </c>
      <c r="C354" t="s">
        <v>45</v>
      </c>
      <c r="D354" t="s">
        <v>6</v>
      </c>
    </row>
    <row r="355" spans="1:4" x14ac:dyDescent="0.35">
      <c r="A355">
        <v>71</v>
      </c>
      <c r="B355" t="s">
        <v>351</v>
      </c>
      <c r="C355" t="s">
        <v>352</v>
      </c>
      <c r="D355" t="s">
        <v>13</v>
      </c>
    </row>
    <row r="356" spans="1:4" x14ac:dyDescent="0.35">
      <c r="A356">
        <v>71</v>
      </c>
      <c r="B356" t="s">
        <v>353</v>
      </c>
      <c r="C356" t="s">
        <v>352</v>
      </c>
      <c r="D356" t="s">
        <v>13</v>
      </c>
    </row>
    <row r="357" spans="1:4" x14ac:dyDescent="0.35">
      <c r="A357">
        <v>71</v>
      </c>
      <c r="B357" t="s">
        <v>354</v>
      </c>
      <c r="C357" t="s">
        <v>352</v>
      </c>
      <c r="D357" t="s">
        <v>13</v>
      </c>
    </row>
    <row r="358" spans="1:4" x14ac:dyDescent="0.35">
      <c r="A358">
        <v>72</v>
      </c>
      <c r="B358" t="s">
        <v>355</v>
      </c>
      <c r="C358" t="s">
        <v>231</v>
      </c>
      <c r="D358" t="s">
        <v>6</v>
      </c>
    </row>
    <row r="359" spans="1:4" x14ac:dyDescent="0.35">
      <c r="A359">
        <v>72</v>
      </c>
      <c r="B359" t="s">
        <v>356</v>
      </c>
      <c r="C359" t="s">
        <v>231</v>
      </c>
      <c r="D359" t="s">
        <v>6</v>
      </c>
    </row>
    <row r="360" spans="1:4" x14ac:dyDescent="0.35">
      <c r="A360">
        <v>72</v>
      </c>
      <c r="B360" t="s">
        <v>357</v>
      </c>
      <c r="C360" t="s">
        <v>231</v>
      </c>
      <c r="D360" t="s">
        <v>6</v>
      </c>
    </row>
    <row r="361" spans="1:4" x14ac:dyDescent="0.35">
      <c r="A361">
        <v>72</v>
      </c>
      <c r="B361" t="s">
        <v>358</v>
      </c>
      <c r="C361" t="s">
        <v>231</v>
      </c>
      <c r="D361" t="s">
        <v>6</v>
      </c>
    </row>
    <row r="362" spans="1:4" x14ac:dyDescent="0.35">
      <c r="A362">
        <v>72</v>
      </c>
      <c r="B362" t="s">
        <v>359</v>
      </c>
      <c r="C362" t="s">
        <v>231</v>
      </c>
      <c r="D362" t="s">
        <v>6</v>
      </c>
    </row>
    <row r="363" spans="1:4" x14ac:dyDescent="0.35">
      <c r="A363">
        <v>72</v>
      </c>
      <c r="B363" t="s">
        <v>230</v>
      </c>
      <c r="C363" t="s">
        <v>231</v>
      </c>
      <c r="D363" t="s">
        <v>6</v>
      </c>
    </row>
    <row r="364" spans="1:4" x14ac:dyDescent="0.35">
      <c r="A364">
        <v>72</v>
      </c>
      <c r="B364" t="s">
        <v>360</v>
      </c>
      <c r="C364" t="s">
        <v>231</v>
      </c>
      <c r="D364" t="s">
        <v>6</v>
      </c>
    </row>
    <row r="365" spans="1:4" x14ac:dyDescent="0.35">
      <c r="A365">
        <v>73</v>
      </c>
      <c r="B365" t="s">
        <v>361</v>
      </c>
      <c r="C365" t="s">
        <v>19</v>
      </c>
      <c r="D365" t="s">
        <v>13</v>
      </c>
    </row>
    <row r="366" spans="1:4" x14ac:dyDescent="0.35">
      <c r="A366">
        <v>73</v>
      </c>
      <c r="B366" t="s">
        <v>362</v>
      </c>
      <c r="C366" t="s">
        <v>231</v>
      </c>
      <c r="D366" t="s">
        <v>6</v>
      </c>
    </row>
    <row r="367" spans="1:4" x14ac:dyDescent="0.35">
      <c r="A367">
        <v>73</v>
      </c>
      <c r="B367" t="s">
        <v>363</v>
      </c>
      <c r="C367" t="s">
        <v>231</v>
      </c>
      <c r="D367" t="s">
        <v>6</v>
      </c>
    </row>
    <row r="368" spans="1:4" x14ac:dyDescent="0.35">
      <c r="A368">
        <v>73</v>
      </c>
      <c r="B368" t="s">
        <v>364</v>
      </c>
      <c r="C368" t="s">
        <v>231</v>
      </c>
      <c r="D368" t="s">
        <v>6</v>
      </c>
    </row>
    <row r="369" spans="1:4" x14ac:dyDescent="0.35">
      <c r="A369">
        <v>74</v>
      </c>
      <c r="B369" t="s">
        <v>365</v>
      </c>
      <c r="C369" t="s">
        <v>5</v>
      </c>
      <c r="D369" t="s">
        <v>6</v>
      </c>
    </row>
    <row r="370" spans="1:4" x14ac:dyDescent="0.35">
      <c r="A370">
        <v>74</v>
      </c>
      <c r="B370" t="s">
        <v>366</v>
      </c>
      <c r="C370" t="s">
        <v>72</v>
      </c>
      <c r="D370" t="s">
        <v>13</v>
      </c>
    </row>
    <row r="371" spans="1:4" x14ac:dyDescent="0.35">
      <c r="A371">
        <v>74</v>
      </c>
      <c r="B371" t="s">
        <v>367</v>
      </c>
      <c r="C371" t="s">
        <v>5</v>
      </c>
      <c r="D371" t="s">
        <v>6</v>
      </c>
    </row>
    <row r="372" spans="1:4" x14ac:dyDescent="0.35">
      <c r="A372">
        <v>74</v>
      </c>
      <c r="B372" t="s">
        <v>368</v>
      </c>
      <c r="C372" t="s">
        <v>5</v>
      </c>
      <c r="D372" t="s">
        <v>6</v>
      </c>
    </row>
    <row r="373" spans="1:4" x14ac:dyDescent="0.35">
      <c r="A373">
        <v>74</v>
      </c>
      <c r="B373" t="s">
        <v>369</v>
      </c>
      <c r="C373" t="s">
        <v>5</v>
      </c>
      <c r="D373" t="s">
        <v>6</v>
      </c>
    </row>
    <row r="374" spans="1:4" x14ac:dyDescent="0.35">
      <c r="A374">
        <v>74</v>
      </c>
      <c r="B374" t="s">
        <v>370</v>
      </c>
      <c r="C374" t="s">
        <v>72</v>
      </c>
      <c r="D374" t="s">
        <v>13</v>
      </c>
    </row>
    <row r="375" spans="1:4" x14ac:dyDescent="0.35">
      <c r="A375">
        <v>74</v>
      </c>
      <c r="B375" t="s">
        <v>371</v>
      </c>
      <c r="C375" t="s">
        <v>5</v>
      </c>
      <c r="D375" t="s">
        <v>6</v>
      </c>
    </row>
    <row r="376" spans="1:4" x14ac:dyDescent="0.35">
      <c r="A376">
        <v>75</v>
      </c>
      <c r="B376" t="s">
        <v>372</v>
      </c>
      <c r="C376" t="s">
        <v>19</v>
      </c>
      <c r="D376" t="s">
        <v>13</v>
      </c>
    </row>
    <row r="377" spans="1:4" x14ac:dyDescent="0.35">
      <c r="A377">
        <v>75</v>
      </c>
      <c r="B377" t="s">
        <v>373</v>
      </c>
      <c r="C377" t="s">
        <v>19</v>
      </c>
      <c r="D377" t="s">
        <v>13</v>
      </c>
    </row>
    <row r="378" spans="1:4" x14ac:dyDescent="0.35">
      <c r="A378">
        <v>76</v>
      </c>
      <c r="B378" t="s">
        <v>374</v>
      </c>
      <c r="C378" t="s">
        <v>72</v>
      </c>
      <c r="D378" t="s">
        <v>13</v>
      </c>
    </row>
    <row r="379" spans="1:4" x14ac:dyDescent="0.35">
      <c r="A379">
        <v>76</v>
      </c>
      <c r="B379" t="s">
        <v>375</v>
      </c>
      <c r="C379" t="s">
        <v>72</v>
      </c>
      <c r="D379" t="s">
        <v>13</v>
      </c>
    </row>
    <row r="380" spans="1:4" x14ac:dyDescent="0.35">
      <c r="A380">
        <v>76</v>
      </c>
      <c r="B380" t="s">
        <v>376</v>
      </c>
      <c r="C380" t="s">
        <v>72</v>
      </c>
      <c r="D380" t="s">
        <v>13</v>
      </c>
    </row>
    <row r="381" spans="1:4" x14ac:dyDescent="0.35">
      <c r="A381">
        <v>76</v>
      </c>
      <c r="B381" t="s">
        <v>377</v>
      </c>
      <c r="C381" t="s">
        <v>72</v>
      </c>
      <c r="D381" t="s">
        <v>13</v>
      </c>
    </row>
    <row r="382" spans="1:4" x14ac:dyDescent="0.35">
      <c r="A382">
        <v>76</v>
      </c>
      <c r="B382" t="s">
        <v>378</v>
      </c>
      <c r="C382" t="s">
        <v>72</v>
      </c>
      <c r="D382" t="s">
        <v>13</v>
      </c>
    </row>
    <row r="383" spans="1:4" x14ac:dyDescent="0.35">
      <c r="A383">
        <v>76</v>
      </c>
      <c r="B383" t="s">
        <v>379</v>
      </c>
      <c r="C383" t="s">
        <v>72</v>
      </c>
      <c r="D383" t="s">
        <v>13</v>
      </c>
    </row>
    <row r="384" spans="1:4" x14ac:dyDescent="0.35">
      <c r="A384">
        <v>77</v>
      </c>
      <c r="B384" t="s">
        <v>380</v>
      </c>
      <c r="C384" t="s">
        <v>72</v>
      </c>
      <c r="D384" t="s">
        <v>13</v>
      </c>
    </row>
    <row r="385" spans="1:4" x14ac:dyDescent="0.35">
      <c r="A385">
        <v>77</v>
      </c>
      <c r="B385" t="s">
        <v>381</v>
      </c>
      <c r="C385" t="s">
        <v>72</v>
      </c>
      <c r="D385" t="s">
        <v>13</v>
      </c>
    </row>
    <row r="386" spans="1:4" x14ac:dyDescent="0.35">
      <c r="A386">
        <v>77</v>
      </c>
      <c r="B386" t="s">
        <v>382</v>
      </c>
      <c r="C386" t="s">
        <v>72</v>
      </c>
      <c r="D386" t="s">
        <v>13</v>
      </c>
    </row>
    <row r="387" spans="1:4" x14ac:dyDescent="0.35">
      <c r="A387">
        <v>77</v>
      </c>
      <c r="B387" t="s">
        <v>383</v>
      </c>
      <c r="C387" t="s">
        <v>72</v>
      </c>
      <c r="D387" t="s">
        <v>13</v>
      </c>
    </row>
    <row r="388" spans="1:4" x14ac:dyDescent="0.35">
      <c r="A388">
        <v>78</v>
      </c>
      <c r="B388" t="s">
        <v>311</v>
      </c>
      <c r="C388" t="s">
        <v>5</v>
      </c>
      <c r="D388" t="s">
        <v>6</v>
      </c>
    </row>
    <row r="389" spans="1:4" x14ac:dyDescent="0.35">
      <c r="A389">
        <v>78</v>
      </c>
      <c r="B389" t="s">
        <v>312</v>
      </c>
      <c r="C389" t="s">
        <v>5</v>
      </c>
      <c r="D389" t="s">
        <v>6</v>
      </c>
    </row>
    <row r="390" spans="1:4" x14ac:dyDescent="0.35">
      <c r="A390">
        <v>79</v>
      </c>
      <c r="B390" t="s">
        <v>384</v>
      </c>
      <c r="C390" t="s">
        <v>101</v>
      </c>
      <c r="D390" t="s">
        <v>6</v>
      </c>
    </row>
    <row r="391" spans="1:4" x14ac:dyDescent="0.35">
      <c r="A391">
        <v>79</v>
      </c>
      <c r="B391" t="s">
        <v>304</v>
      </c>
      <c r="C391" t="s">
        <v>101</v>
      </c>
      <c r="D391" t="s">
        <v>6</v>
      </c>
    </row>
    <row r="392" spans="1:4" x14ac:dyDescent="0.35">
      <c r="A392">
        <v>79</v>
      </c>
      <c r="B392" t="s">
        <v>385</v>
      </c>
      <c r="C392" t="s">
        <v>16</v>
      </c>
      <c r="D392" t="s">
        <v>13</v>
      </c>
    </row>
    <row r="393" spans="1:4" x14ac:dyDescent="0.35">
      <c r="A393">
        <v>79</v>
      </c>
      <c r="B393" t="s">
        <v>167</v>
      </c>
      <c r="C393" t="s">
        <v>16</v>
      </c>
      <c r="D393" t="s">
        <v>13</v>
      </c>
    </row>
    <row r="394" spans="1:4" x14ac:dyDescent="0.35">
      <c r="A394">
        <v>79</v>
      </c>
      <c r="B394" t="s">
        <v>386</v>
      </c>
      <c r="C394" t="s">
        <v>16</v>
      </c>
      <c r="D394" t="s">
        <v>13</v>
      </c>
    </row>
    <row r="395" spans="1:4" x14ac:dyDescent="0.35">
      <c r="A395">
        <v>79</v>
      </c>
      <c r="B395" t="s">
        <v>386</v>
      </c>
      <c r="C395" t="s">
        <v>101</v>
      </c>
      <c r="D395" t="s">
        <v>6</v>
      </c>
    </row>
    <row r="396" spans="1:4" x14ac:dyDescent="0.35">
      <c r="A396">
        <v>80</v>
      </c>
      <c r="B396" t="s">
        <v>387</v>
      </c>
      <c r="C396" t="s">
        <v>19</v>
      </c>
      <c r="D396" t="s">
        <v>13</v>
      </c>
    </row>
    <row r="397" spans="1:4" x14ac:dyDescent="0.35">
      <c r="A397">
        <v>80</v>
      </c>
      <c r="B397" t="s">
        <v>388</v>
      </c>
      <c r="C397" t="s">
        <v>19</v>
      </c>
      <c r="D397" t="s">
        <v>13</v>
      </c>
    </row>
    <row r="398" spans="1:4" x14ac:dyDescent="0.35">
      <c r="A398">
        <v>80</v>
      </c>
      <c r="B398" t="s">
        <v>389</v>
      </c>
      <c r="C398" t="s">
        <v>19</v>
      </c>
      <c r="D398" t="s">
        <v>13</v>
      </c>
    </row>
    <row r="399" spans="1:4" x14ac:dyDescent="0.35">
      <c r="A399">
        <v>80</v>
      </c>
      <c r="B399" t="s">
        <v>390</v>
      </c>
      <c r="C399" t="s">
        <v>19</v>
      </c>
      <c r="D399" t="s">
        <v>13</v>
      </c>
    </row>
    <row r="400" spans="1:4" x14ac:dyDescent="0.35">
      <c r="A400">
        <v>80</v>
      </c>
      <c r="B400" t="s">
        <v>373</v>
      </c>
      <c r="C400" t="s">
        <v>19</v>
      </c>
      <c r="D400" t="s">
        <v>13</v>
      </c>
    </row>
    <row r="401" spans="1:4" x14ac:dyDescent="0.35">
      <c r="A401">
        <v>80</v>
      </c>
      <c r="B401" t="s">
        <v>391</v>
      </c>
      <c r="C401" t="s">
        <v>22</v>
      </c>
      <c r="D401" t="s">
        <v>13</v>
      </c>
    </row>
    <row r="402" spans="1:4" x14ac:dyDescent="0.35">
      <c r="A402">
        <v>81</v>
      </c>
      <c r="B402" t="s">
        <v>392</v>
      </c>
      <c r="C402" t="s">
        <v>48</v>
      </c>
      <c r="D402" t="s">
        <v>13</v>
      </c>
    </row>
    <row r="403" spans="1:4" x14ac:dyDescent="0.35">
      <c r="A403">
        <v>81</v>
      </c>
      <c r="B403" t="s">
        <v>393</v>
      </c>
      <c r="C403" t="s">
        <v>48</v>
      </c>
      <c r="D403" t="s">
        <v>13</v>
      </c>
    </row>
    <row r="404" spans="1:4" x14ac:dyDescent="0.35">
      <c r="A404">
        <v>81</v>
      </c>
      <c r="B404" t="s">
        <v>394</v>
      </c>
      <c r="C404" t="s">
        <v>48</v>
      </c>
      <c r="D404" t="s">
        <v>13</v>
      </c>
    </row>
    <row r="405" spans="1:4" x14ac:dyDescent="0.35">
      <c r="A405">
        <v>81</v>
      </c>
      <c r="B405" t="s">
        <v>395</v>
      </c>
      <c r="C405" t="s">
        <v>48</v>
      </c>
      <c r="D405" t="s">
        <v>13</v>
      </c>
    </row>
    <row r="406" spans="1:4" x14ac:dyDescent="0.35">
      <c r="A406">
        <v>82</v>
      </c>
      <c r="B406" t="s">
        <v>396</v>
      </c>
      <c r="C406" t="s">
        <v>157</v>
      </c>
      <c r="D406" t="s">
        <v>6</v>
      </c>
    </row>
    <row r="407" spans="1:4" x14ac:dyDescent="0.35">
      <c r="A407">
        <v>82</v>
      </c>
      <c r="B407" t="s">
        <v>397</v>
      </c>
      <c r="C407" t="s">
        <v>157</v>
      </c>
      <c r="D407" t="s">
        <v>6</v>
      </c>
    </row>
    <row r="408" spans="1:4" x14ac:dyDescent="0.35">
      <c r="A408">
        <v>83</v>
      </c>
      <c r="B408" t="s">
        <v>200</v>
      </c>
      <c r="C408" t="s">
        <v>25</v>
      </c>
      <c r="D408" t="s">
        <v>13</v>
      </c>
    </row>
    <row r="409" spans="1:4" x14ac:dyDescent="0.35">
      <c r="A409">
        <v>83</v>
      </c>
      <c r="B409" t="s">
        <v>398</v>
      </c>
      <c r="C409" t="s">
        <v>25</v>
      </c>
      <c r="D409" t="s">
        <v>13</v>
      </c>
    </row>
    <row r="410" spans="1:4" x14ac:dyDescent="0.35">
      <c r="A410">
        <v>83</v>
      </c>
      <c r="B410" t="s">
        <v>399</v>
      </c>
      <c r="C410" t="s">
        <v>25</v>
      </c>
      <c r="D410" t="s">
        <v>13</v>
      </c>
    </row>
    <row r="411" spans="1:4" x14ac:dyDescent="0.35">
      <c r="A411">
        <v>84</v>
      </c>
      <c r="B411" t="s">
        <v>400</v>
      </c>
      <c r="C411" t="s">
        <v>101</v>
      </c>
      <c r="D411" t="s">
        <v>6</v>
      </c>
    </row>
    <row r="412" spans="1:4" x14ac:dyDescent="0.35">
      <c r="A412">
        <v>84</v>
      </c>
      <c r="B412" t="s">
        <v>401</v>
      </c>
      <c r="C412" t="s">
        <v>22</v>
      </c>
      <c r="D412" t="s">
        <v>13</v>
      </c>
    </row>
    <row r="413" spans="1:4" x14ac:dyDescent="0.35">
      <c r="A413">
        <v>84</v>
      </c>
      <c r="B413" t="s">
        <v>402</v>
      </c>
      <c r="C413" t="s">
        <v>22</v>
      </c>
      <c r="D413" t="s">
        <v>13</v>
      </c>
    </row>
    <row r="414" spans="1:4" x14ac:dyDescent="0.35">
      <c r="A414">
        <v>84</v>
      </c>
      <c r="B414" t="s">
        <v>403</v>
      </c>
      <c r="C414" t="s">
        <v>22</v>
      </c>
      <c r="D414" t="s">
        <v>13</v>
      </c>
    </row>
    <row r="415" spans="1:4" x14ac:dyDescent="0.35">
      <c r="A415">
        <v>85</v>
      </c>
      <c r="B415" t="s">
        <v>356</v>
      </c>
      <c r="C415" t="s">
        <v>231</v>
      </c>
      <c r="D415" t="s">
        <v>6</v>
      </c>
    </row>
    <row r="416" spans="1:4" x14ac:dyDescent="0.35">
      <c r="A416">
        <v>85</v>
      </c>
      <c r="B416" t="s">
        <v>357</v>
      </c>
      <c r="C416" t="s">
        <v>231</v>
      </c>
      <c r="D416" t="s">
        <v>6</v>
      </c>
    </row>
    <row r="417" spans="1:4" x14ac:dyDescent="0.35">
      <c r="A417">
        <v>85</v>
      </c>
      <c r="B417" t="s">
        <v>404</v>
      </c>
      <c r="C417" t="s">
        <v>16</v>
      </c>
      <c r="D417" t="s">
        <v>13</v>
      </c>
    </row>
    <row r="418" spans="1:4" x14ac:dyDescent="0.35">
      <c r="A418">
        <v>85</v>
      </c>
      <c r="B418" t="s">
        <v>358</v>
      </c>
      <c r="C418" t="s">
        <v>231</v>
      </c>
      <c r="D418" t="s">
        <v>6</v>
      </c>
    </row>
    <row r="419" spans="1:4" x14ac:dyDescent="0.35">
      <c r="A419">
        <v>85</v>
      </c>
      <c r="B419" t="s">
        <v>358</v>
      </c>
      <c r="C419" t="s">
        <v>72</v>
      </c>
      <c r="D419" t="s">
        <v>13</v>
      </c>
    </row>
    <row r="420" spans="1:4" x14ac:dyDescent="0.35">
      <c r="A420">
        <v>85</v>
      </c>
      <c r="B420" t="s">
        <v>405</v>
      </c>
      <c r="C420" t="s">
        <v>16</v>
      </c>
      <c r="D420" t="s">
        <v>13</v>
      </c>
    </row>
    <row r="421" spans="1:4" x14ac:dyDescent="0.35">
      <c r="A421">
        <v>85</v>
      </c>
      <c r="B421" t="s">
        <v>359</v>
      </c>
      <c r="C421" t="s">
        <v>231</v>
      </c>
      <c r="D421" t="s">
        <v>6</v>
      </c>
    </row>
    <row r="422" spans="1:4" x14ac:dyDescent="0.35">
      <c r="A422">
        <v>85</v>
      </c>
      <c r="B422" t="s">
        <v>276</v>
      </c>
      <c r="C422" t="s">
        <v>16</v>
      </c>
      <c r="D422" t="s">
        <v>13</v>
      </c>
    </row>
    <row r="423" spans="1:4" x14ac:dyDescent="0.35">
      <c r="A423">
        <v>85</v>
      </c>
      <c r="B423" t="s">
        <v>406</v>
      </c>
      <c r="C423" t="s">
        <v>189</v>
      </c>
      <c r="D423" t="s">
        <v>6</v>
      </c>
    </row>
    <row r="424" spans="1:4" x14ac:dyDescent="0.35">
      <c r="A424">
        <v>85</v>
      </c>
      <c r="B424" t="s">
        <v>360</v>
      </c>
      <c r="C424" t="s">
        <v>5</v>
      </c>
      <c r="D424" t="s">
        <v>6</v>
      </c>
    </row>
    <row r="425" spans="1:4" x14ac:dyDescent="0.35">
      <c r="A425">
        <v>85</v>
      </c>
      <c r="B425" t="s">
        <v>360</v>
      </c>
      <c r="C425" t="s">
        <v>231</v>
      </c>
      <c r="D425" t="s">
        <v>6</v>
      </c>
    </row>
    <row r="426" spans="1:4" x14ac:dyDescent="0.35">
      <c r="A426">
        <v>86</v>
      </c>
      <c r="B426" t="s">
        <v>407</v>
      </c>
      <c r="C426" t="s">
        <v>35</v>
      </c>
      <c r="D426" t="s">
        <v>13</v>
      </c>
    </row>
    <row r="427" spans="1:4" x14ac:dyDescent="0.35">
      <c r="A427">
        <v>86</v>
      </c>
      <c r="B427" t="s">
        <v>408</v>
      </c>
      <c r="C427" t="s">
        <v>19</v>
      </c>
      <c r="D427" t="s">
        <v>13</v>
      </c>
    </row>
    <row r="428" spans="1:4" x14ac:dyDescent="0.35">
      <c r="A428">
        <v>86</v>
      </c>
      <c r="B428" t="s">
        <v>409</v>
      </c>
      <c r="C428" t="s">
        <v>35</v>
      </c>
      <c r="D428" t="s">
        <v>13</v>
      </c>
    </row>
    <row r="429" spans="1:4" x14ac:dyDescent="0.35">
      <c r="A429">
        <v>86</v>
      </c>
      <c r="B429" t="s">
        <v>410</v>
      </c>
      <c r="C429" t="s">
        <v>35</v>
      </c>
      <c r="D429" t="s">
        <v>13</v>
      </c>
    </row>
    <row r="430" spans="1:4" x14ac:dyDescent="0.35">
      <c r="A430">
        <v>87</v>
      </c>
      <c r="B430" t="s">
        <v>411</v>
      </c>
      <c r="C430" t="s">
        <v>19</v>
      </c>
      <c r="D430" t="s">
        <v>13</v>
      </c>
    </row>
    <row r="431" spans="1:4" x14ac:dyDescent="0.35">
      <c r="A431">
        <v>88</v>
      </c>
      <c r="B431" t="s">
        <v>412</v>
      </c>
      <c r="C431" t="s">
        <v>189</v>
      </c>
      <c r="D431" t="s">
        <v>6</v>
      </c>
    </row>
    <row r="432" spans="1:4" x14ac:dyDescent="0.35">
      <c r="A432">
        <v>88</v>
      </c>
      <c r="B432" t="s">
        <v>293</v>
      </c>
      <c r="C432" t="s">
        <v>101</v>
      </c>
      <c r="D432" t="s">
        <v>6</v>
      </c>
    </row>
    <row r="433" spans="1:4" x14ac:dyDescent="0.35">
      <c r="A433">
        <v>88</v>
      </c>
      <c r="B433" t="s">
        <v>285</v>
      </c>
      <c r="C433" t="s">
        <v>101</v>
      </c>
      <c r="D433" t="s">
        <v>6</v>
      </c>
    </row>
    <row r="434" spans="1:4" x14ac:dyDescent="0.35">
      <c r="A434">
        <v>88</v>
      </c>
      <c r="B434" t="s">
        <v>413</v>
      </c>
      <c r="C434" t="s">
        <v>189</v>
      </c>
      <c r="D434" t="s">
        <v>6</v>
      </c>
    </row>
    <row r="435" spans="1:4" x14ac:dyDescent="0.35">
      <c r="A435">
        <v>88</v>
      </c>
      <c r="B435" t="s">
        <v>357</v>
      </c>
      <c r="C435" t="s">
        <v>231</v>
      </c>
      <c r="D435" t="s">
        <v>6</v>
      </c>
    </row>
    <row r="436" spans="1:4" x14ac:dyDescent="0.35">
      <c r="A436">
        <v>88</v>
      </c>
      <c r="B436" t="s">
        <v>414</v>
      </c>
      <c r="C436" t="s">
        <v>101</v>
      </c>
      <c r="D436" t="s">
        <v>6</v>
      </c>
    </row>
    <row r="437" spans="1:4" x14ac:dyDescent="0.35">
      <c r="A437">
        <v>88</v>
      </c>
      <c r="B437" t="s">
        <v>294</v>
      </c>
      <c r="C437" t="s">
        <v>101</v>
      </c>
      <c r="D437" t="s">
        <v>6</v>
      </c>
    </row>
    <row r="438" spans="1:4" x14ac:dyDescent="0.35">
      <c r="A438">
        <v>88</v>
      </c>
      <c r="B438" t="s">
        <v>415</v>
      </c>
      <c r="C438" t="s">
        <v>45</v>
      </c>
      <c r="D438" t="s">
        <v>6</v>
      </c>
    </row>
    <row r="439" spans="1:4" x14ac:dyDescent="0.35">
      <c r="A439">
        <v>88</v>
      </c>
      <c r="B439" t="s">
        <v>416</v>
      </c>
      <c r="C439" t="s">
        <v>45</v>
      </c>
      <c r="D439" t="s">
        <v>6</v>
      </c>
    </row>
    <row r="440" spans="1:4" x14ac:dyDescent="0.35">
      <c r="A440">
        <v>88</v>
      </c>
      <c r="B440" t="s">
        <v>417</v>
      </c>
      <c r="C440" t="s">
        <v>5</v>
      </c>
      <c r="D440" t="s">
        <v>6</v>
      </c>
    </row>
    <row r="441" spans="1:4" x14ac:dyDescent="0.35">
      <c r="A441">
        <v>88</v>
      </c>
      <c r="B441" t="s">
        <v>312</v>
      </c>
      <c r="C441" t="s">
        <v>5</v>
      </c>
      <c r="D441" t="s">
        <v>6</v>
      </c>
    </row>
    <row r="442" spans="1:4" x14ac:dyDescent="0.35">
      <c r="A442">
        <v>88</v>
      </c>
      <c r="B442" t="s">
        <v>360</v>
      </c>
      <c r="C442" t="s">
        <v>231</v>
      </c>
      <c r="D442" t="s">
        <v>6</v>
      </c>
    </row>
    <row r="443" spans="1:4" x14ac:dyDescent="0.35">
      <c r="A443">
        <v>88</v>
      </c>
      <c r="B443" t="s">
        <v>360</v>
      </c>
      <c r="C443" t="s">
        <v>5</v>
      </c>
      <c r="D443" t="s">
        <v>6</v>
      </c>
    </row>
    <row r="444" spans="1:4" x14ac:dyDescent="0.35">
      <c r="A444">
        <v>89</v>
      </c>
      <c r="B444" t="s">
        <v>415</v>
      </c>
      <c r="C444" t="s">
        <v>45</v>
      </c>
      <c r="D444" t="s">
        <v>6</v>
      </c>
    </row>
    <row r="445" spans="1:4" x14ac:dyDescent="0.35">
      <c r="A445">
        <v>90</v>
      </c>
      <c r="B445" t="s">
        <v>412</v>
      </c>
      <c r="C445" t="s">
        <v>189</v>
      </c>
      <c r="D445" t="s">
        <v>6</v>
      </c>
    </row>
    <row r="446" spans="1:4" x14ac:dyDescent="0.35">
      <c r="A446">
        <v>90</v>
      </c>
      <c r="B446" t="s">
        <v>293</v>
      </c>
      <c r="C446" t="s">
        <v>101</v>
      </c>
      <c r="D446" t="s">
        <v>6</v>
      </c>
    </row>
    <row r="447" spans="1:4" x14ac:dyDescent="0.35">
      <c r="A447">
        <v>90</v>
      </c>
      <c r="B447" t="s">
        <v>357</v>
      </c>
      <c r="C447" t="s">
        <v>231</v>
      </c>
      <c r="D447" t="s">
        <v>6</v>
      </c>
    </row>
    <row r="448" spans="1:4" x14ac:dyDescent="0.35">
      <c r="A448">
        <v>90</v>
      </c>
      <c r="B448" t="s">
        <v>348</v>
      </c>
      <c r="C448" t="s">
        <v>45</v>
      </c>
      <c r="D448" t="s">
        <v>6</v>
      </c>
    </row>
    <row r="449" spans="1:4" x14ac:dyDescent="0.35">
      <c r="A449">
        <v>90</v>
      </c>
      <c r="B449" t="s">
        <v>294</v>
      </c>
      <c r="C449" t="s">
        <v>101</v>
      </c>
      <c r="D449" t="s">
        <v>6</v>
      </c>
    </row>
    <row r="450" spans="1:4" x14ac:dyDescent="0.35">
      <c r="A450">
        <v>90</v>
      </c>
      <c r="B450" t="s">
        <v>418</v>
      </c>
      <c r="C450" t="s">
        <v>45</v>
      </c>
      <c r="D450" t="s">
        <v>6</v>
      </c>
    </row>
    <row r="451" spans="1:4" x14ac:dyDescent="0.35">
      <c r="A451">
        <v>90</v>
      </c>
      <c r="B451" t="s">
        <v>417</v>
      </c>
      <c r="C451" t="s">
        <v>5</v>
      </c>
      <c r="D451" t="s">
        <v>6</v>
      </c>
    </row>
    <row r="452" spans="1:4" x14ac:dyDescent="0.35">
      <c r="A452">
        <v>90</v>
      </c>
      <c r="B452" t="s">
        <v>291</v>
      </c>
      <c r="C452" t="s">
        <v>45</v>
      </c>
      <c r="D452" t="s">
        <v>6</v>
      </c>
    </row>
    <row r="453" spans="1:4" x14ac:dyDescent="0.35">
      <c r="A453">
        <v>90</v>
      </c>
      <c r="B453" t="s">
        <v>360</v>
      </c>
      <c r="C453" t="s">
        <v>231</v>
      </c>
      <c r="D453" t="s">
        <v>6</v>
      </c>
    </row>
    <row r="454" spans="1:4" x14ac:dyDescent="0.35">
      <c r="A454">
        <v>90</v>
      </c>
      <c r="B454" t="s">
        <v>350</v>
      </c>
      <c r="C454" t="s">
        <v>45</v>
      </c>
      <c r="D454" t="s">
        <v>6</v>
      </c>
    </row>
    <row r="455" spans="1:4" x14ac:dyDescent="0.35">
      <c r="A455">
        <v>90</v>
      </c>
      <c r="B455" t="s">
        <v>419</v>
      </c>
      <c r="C455" t="s">
        <v>19</v>
      </c>
      <c r="D455" t="s">
        <v>13</v>
      </c>
    </row>
    <row r="456" spans="1:4" x14ac:dyDescent="0.35">
      <c r="A456">
        <v>91</v>
      </c>
      <c r="B456" t="s">
        <v>385</v>
      </c>
      <c r="C456" t="s">
        <v>16</v>
      </c>
      <c r="D456" t="s">
        <v>13</v>
      </c>
    </row>
    <row r="457" spans="1:4" x14ac:dyDescent="0.35">
      <c r="A457">
        <v>91</v>
      </c>
      <c r="B457" t="s">
        <v>167</v>
      </c>
      <c r="C457" t="s">
        <v>16</v>
      </c>
      <c r="D457" t="s">
        <v>13</v>
      </c>
    </row>
    <row r="458" spans="1:4" x14ac:dyDescent="0.35">
      <c r="A458">
        <v>91</v>
      </c>
      <c r="B458" t="s">
        <v>420</v>
      </c>
      <c r="C458" t="s">
        <v>16</v>
      </c>
      <c r="D458" t="s">
        <v>13</v>
      </c>
    </row>
    <row r="459" spans="1:4" x14ac:dyDescent="0.35">
      <c r="A459">
        <v>91</v>
      </c>
      <c r="B459" t="s">
        <v>420</v>
      </c>
      <c r="C459" t="s">
        <v>101</v>
      </c>
      <c r="D459" t="s">
        <v>6</v>
      </c>
    </row>
    <row r="460" spans="1:4" x14ac:dyDescent="0.35">
      <c r="A460">
        <v>92</v>
      </c>
      <c r="B460" t="s">
        <v>421</v>
      </c>
      <c r="C460" t="s">
        <v>231</v>
      </c>
      <c r="D460" t="s">
        <v>6</v>
      </c>
    </row>
    <row r="461" spans="1:4" x14ac:dyDescent="0.35">
      <c r="A461">
        <v>92</v>
      </c>
      <c r="B461" t="s">
        <v>422</v>
      </c>
      <c r="C461" t="s">
        <v>231</v>
      </c>
      <c r="D461" t="s">
        <v>6</v>
      </c>
    </row>
    <row r="462" spans="1:4" x14ac:dyDescent="0.35">
      <c r="A462">
        <v>92</v>
      </c>
      <c r="B462" t="s">
        <v>423</v>
      </c>
      <c r="C462" t="s">
        <v>231</v>
      </c>
      <c r="D462" t="s">
        <v>6</v>
      </c>
    </row>
    <row r="463" spans="1:4" x14ac:dyDescent="0.35">
      <c r="A463">
        <v>93</v>
      </c>
      <c r="B463" t="s">
        <v>424</v>
      </c>
      <c r="C463" t="s">
        <v>19</v>
      </c>
      <c r="D463" t="s">
        <v>13</v>
      </c>
    </row>
    <row r="464" spans="1:4" x14ac:dyDescent="0.35">
      <c r="A464">
        <v>93</v>
      </c>
      <c r="B464" t="s">
        <v>425</v>
      </c>
      <c r="C464" t="s">
        <v>19</v>
      </c>
      <c r="D464" t="s">
        <v>13</v>
      </c>
    </row>
    <row r="465" spans="1:4" x14ac:dyDescent="0.35">
      <c r="A465">
        <v>93</v>
      </c>
      <c r="B465" t="s">
        <v>426</v>
      </c>
      <c r="C465" t="s">
        <v>19</v>
      </c>
      <c r="D465" t="s">
        <v>13</v>
      </c>
    </row>
    <row r="466" spans="1:4" x14ac:dyDescent="0.35">
      <c r="A466">
        <v>93</v>
      </c>
      <c r="B466" t="s">
        <v>427</v>
      </c>
      <c r="C466" t="s">
        <v>19</v>
      </c>
      <c r="D466" t="s">
        <v>13</v>
      </c>
    </row>
    <row r="467" spans="1:4" x14ac:dyDescent="0.35">
      <c r="A467">
        <v>93</v>
      </c>
      <c r="B467" t="s">
        <v>428</v>
      </c>
      <c r="C467" t="s">
        <v>19</v>
      </c>
      <c r="D467" t="s">
        <v>13</v>
      </c>
    </row>
    <row r="468" spans="1:4" x14ac:dyDescent="0.35">
      <c r="A468">
        <v>94</v>
      </c>
      <c r="B468" t="s">
        <v>412</v>
      </c>
      <c r="C468" t="s">
        <v>189</v>
      </c>
      <c r="D468" t="s">
        <v>6</v>
      </c>
    </row>
    <row r="469" spans="1:4" x14ac:dyDescent="0.35">
      <c r="A469">
        <v>94</v>
      </c>
      <c r="B469" t="s">
        <v>293</v>
      </c>
      <c r="C469" t="s">
        <v>101</v>
      </c>
      <c r="D469" t="s">
        <v>6</v>
      </c>
    </row>
    <row r="470" spans="1:4" x14ac:dyDescent="0.35">
      <c r="A470">
        <v>94</v>
      </c>
      <c r="B470" t="s">
        <v>413</v>
      </c>
      <c r="C470" t="s">
        <v>189</v>
      </c>
      <c r="D470" t="s">
        <v>6</v>
      </c>
    </row>
    <row r="471" spans="1:4" x14ac:dyDescent="0.35">
      <c r="A471">
        <v>94</v>
      </c>
      <c r="B471" t="s">
        <v>357</v>
      </c>
      <c r="C471" t="s">
        <v>231</v>
      </c>
      <c r="D471" t="s">
        <v>6</v>
      </c>
    </row>
    <row r="472" spans="1:4" x14ac:dyDescent="0.35">
      <c r="A472">
        <v>94</v>
      </c>
      <c r="B472" t="s">
        <v>167</v>
      </c>
      <c r="C472" t="s">
        <v>16</v>
      </c>
      <c r="D472" t="s">
        <v>13</v>
      </c>
    </row>
    <row r="473" spans="1:4" x14ac:dyDescent="0.35">
      <c r="A473">
        <v>94</v>
      </c>
      <c r="B473" t="s">
        <v>294</v>
      </c>
      <c r="C473" t="s">
        <v>101</v>
      </c>
      <c r="D473" t="s">
        <v>6</v>
      </c>
    </row>
    <row r="474" spans="1:4" x14ac:dyDescent="0.35">
      <c r="A474">
        <v>94</v>
      </c>
      <c r="B474" t="s">
        <v>417</v>
      </c>
      <c r="C474" t="s">
        <v>5</v>
      </c>
      <c r="D474" t="s">
        <v>6</v>
      </c>
    </row>
    <row r="475" spans="1:4" x14ac:dyDescent="0.35">
      <c r="A475">
        <v>94</v>
      </c>
      <c r="B475" t="s">
        <v>291</v>
      </c>
      <c r="C475" t="s">
        <v>45</v>
      </c>
      <c r="D475" t="s">
        <v>6</v>
      </c>
    </row>
    <row r="476" spans="1:4" x14ac:dyDescent="0.35">
      <c r="A476">
        <v>94</v>
      </c>
      <c r="B476" t="s">
        <v>360</v>
      </c>
      <c r="C476" t="s">
        <v>231</v>
      </c>
      <c r="D476" t="s">
        <v>6</v>
      </c>
    </row>
    <row r="477" spans="1:4" x14ac:dyDescent="0.35">
      <c r="A477">
        <v>94</v>
      </c>
      <c r="B477" t="s">
        <v>360</v>
      </c>
      <c r="C477" t="s">
        <v>5</v>
      </c>
      <c r="D477" t="s">
        <v>6</v>
      </c>
    </row>
    <row r="478" spans="1:4" x14ac:dyDescent="0.35">
      <c r="A478">
        <v>94</v>
      </c>
      <c r="B478" t="s">
        <v>350</v>
      </c>
      <c r="C478" t="s">
        <v>45</v>
      </c>
      <c r="D478" t="s">
        <v>6</v>
      </c>
    </row>
    <row r="479" spans="1:4" x14ac:dyDescent="0.35">
      <c r="A479">
        <v>94</v>
      </c>
      <c r="B479" t="s">
        <v>429</v>
      </c>
      <c r="C479" t="s">
        <v>16</v>
      </c>
      <c r="D479" t="s">
        <v>13</v>
      </c>
    </row>
    <row r="480" spans="1:4" x14ac:dyDescent="0.35">
      <c r="A480">
        <v>95</v>
      </c>
      <c r="B480" t="s">
        <v>430</v>
      </c>
      <c r="C480" t="s">
        <v>78</v>
      </c>
      <c r="D480" t="s">
        <v>13</v>
      </c>
    </row>
    <row r="481" spans="1:4" x14ac:dyDescent="0.35">
      <c r="A481">
        <v>95</v>
      </c>
      <c r="B481" t="s">
        <v>431</v>
      </c>
      <c r="C481" t="s">
        <v>78</v>
      </c>
      <c r="D481" t="s">
        <v>13</v>
      </c>
    </row>
    <row r="482" spans="1:4" x14ac:dyDescent="0.35">
      <c r="A482">
        <v>95</v>
      </c>
      <c r="B482" t="s">
        <v>432</v>
      </c>
      <c r="C482" t="s">
        <v>78</v>
      </c>
      <c r="D482" t="s">
        <v>13</v>
      </c>
    </row>
    <row r="483" spans="1:4" x14ac:dyDescent="0.35">
      <c r="A483">
        <v>95</v>
      </c>
      <c r="B483" t="s">
        <v>433</v>
      </c>
      <c r="C483" t="s">
        <v>78</v>
      </c>
      <c r="D483" t="s">
        <v>13</v>
      </c>
    </row>
    <row r="484" spans="1:4" x14ac:dyDescent="0.35">
      <c r="A484">
        <v>96</v>
      </c>
      <c r="B484" t="s">
        <v>434</v>
      </c>
      <c r="C484" t="s">
        <v>5</v>
      </c>
      <c r="D484" t="s">
        <v>6</v>
      </c>
    </row>
    <row r="485" spans="1:4" x14ac:dyDescent="0.35">
      <c r="A485">
        <v>96</v>
      </c>
      <c r="B485" t="s">
        <v>435</v>
      </c>
      <c r="C485" t="s">
        <v>16</v>
      </c>
      <c r="D485" t="s">
        <v>13</v>
      </c>
    </row>
    <row r="486" spans="1:4" x14ac:dyDescent="0.35">
      <c r="A486">
        <v>96</v>
      </c>
      <c r="B486" t="s">
        <v>435</v>
      </c>
      <c r="C486" t="s">
        <v>5</v>
      </c>
      <c r="D486" t="s">
        <v>6</v>
      </c>
    </row>
    <row r="487" spans="1:4" x14ac:dyDescent="0.35">
      <c r="A487">
        <v>96</v>
      </c>
      <c r="B487" t="s">
        <v>436</v>
      </c>
      <c r="C487" t="s">
        <v>5</v>
      </c>
      <c r="D487" t="s">
        <v>6</v>
      </c>
    </row>
    <row r="488" spans="1:4" x14ac:dyDescent="0.35">
      <c r="A488">
        <v>97</v>
      </c>
      <c r="B488" t="s">
        <v>158</v>
      </c>
      <c r="C488" t="s">
        <v>157</v>
      </c>
      <c r="D488" t="s">
        <v>6</v>
      </c>
    </row>
    <row r="489" spans="1:4" x14ac:dyDescent="0.35">
      <c r="A489">
        <v>97</v>
      </c>
      <c r="B489" t="s">
        <v>160</v>
      </c>
      <c r="C489" t="s">
        <v>157</v>
      </c>
      <c r="D489" t="s">
        <v>6</v>
      </c>
    </row>
    <row r="490" spans="1:4" x14ac:dyDescent="0.35">
      <c r="A490">
        <v>97</v>
      </c>
      <c r="B490" t="s">
        <v>437</v>
      </c>
      <c r="C490" t="s">
        <v>157</v>
      </c>
      <c r="D490" t="s">
        <v>6</v>
      </c>
    </row>
    <row r="491" spans="1:4" x14ac:dyDescent="0.35">
      <c r="A491">
        <v>97</v>
      </c>
      <c r="B491" t="s">
        <v>438</v>
      </c>
      <c r="C491" t="s">
        <v>157</v>
      </c>
      <c r="D491" t="s">
        <v>6</v>
      </c>
    </row>
    <row r="492" spans="1:4" x14ac:dyDescent="0.35">
      <c r="A492">
        <v>97</v>
      </c>
      <c r="B492" t="s">
        <v>438</v>
      </c>
      <c r="C492" t="s">
        <v>16</v>
      </c>
      <c r="D492" t="s">
        <v>13</v>
      </c>
    </row>
    <row r="493" spans="1:4" x14ac:dyDescent="0.35">
      <c r="A493">
        <v>97</v>
      </c>
      <c r="B493" t="s">
        <v>161</v>
      </c>
      <c r="C493" t="s">
        <v>157</v>
      </c>
      <c r="D493" t="s">
        <v>6</v>
      </c>
    </row>
    <row r="494" spans="1:4" x14ac:dyDescent="0.35">
      <c r="A494">
        <v>97</v>
      </c>
      <c r="B494" t="s">
        <v>162</v>
      </c>
      <c r="C494" t="s">
        <v>93</v>
      </c>
      <c r="D494" t="s">
        <v>13</v>
      </c>
    </row>
    <row r="495" spans="1:4" x14ac:dyDescent="0.35">
      <c r="A495">
        <v>97</v>
      </c>
      <c r="B495" t="s">
        <v>163</v>
      </c>
      <c r="C495" t="s">
        <v>157</v>
      </c>
      <c r="D495" t="s">
        <v>6</v>
      </c>
    </row>
    <row r="496" spans="1:4" x14ac:dyDescent="0.35">
      <c r="A496">
        <v>98</v>
      </c>
      <c r="B496" t="s">
        <v>439</v>
      </c>
      <c r="C496" t="s">
        <v>48</v>
      </c>
      <c r="D496" t="s">
        <v>13</v>
      </c>
    </row>
    <row r="497" spans="1:4" x14ac:dyDescent="0.35">
      <c r="A497">
        <v>98</v>
      </c>
      <c r="B497" t="s">
        <v>440</v>
      </c>
      <c r="C497" t="s">
        <v>48</v>
      </c>
      <c r="D497" t="s">
        <v>13</v>
      </c>
    </row>
    <row r="498" spans="1:4" x14ac:dyDescent="0.35">
      <c r="A498">
        <v>98</v>
      </c>
      <c r="B498" t="s">
        <v>441</v>
      </c>
      <c r="C498" t="s">
        <v>48</v>
      </c>
      <c r="D498" t="s">
        <v>13</v>
      </c>
    </row>
    <row r="499" spans="1:4" x14ac:dyDescent="0.35">
      <c r="A499">
        <v>99</v>
      </c>
      <c r="B499" t="s">
        <v>442</v>
      </c>
      <c r="C499" t="s">
        <v>45</v>
      </c>
      <c r="D499" t="s">
        <v>6</v>
      </c>
    </row>
    <row r="500" spans="1:4" x14ac:dyDescent="0.35">
      <c r="A500">
        <v>99</v>
      </c>
      <c r="B500" t="s">
        <v>443</v>
      </c>
      <c r="C500" t="s">
        <v>45</v>
      </c>
      <c r="D500" t="s">
        <v>6</v>
      </c>
    </row>
    <row r="501" spans="1:4" x14ac:dyDescent="0.35">
      <c r="A501">
        <v>99</v>
      </c>
      <c r="B501" t="s">
        <v>444</v>
      </c>
      <c r="C501" t="s">
        <v>35</v>
      </c>
      <c r="D501" t="s">
        <v>13</v>
      </c>
    </row>
    <row r="502" spans="1:4" x14ac:dyDescent="0.35">
      <c r="A502">
        <v>99</v>
      </c>
      <c r="B502" t="s">
        <v>291</v>
      </c>
      <c r="C502" t="s">
        <v>45</v>
      </c>
      <c r="D502" t="s">
        <v>6</v>
      </c>
    </row>
    <row r="503" spans="1:4" x14ac:dyDescent="0.35">
      <c r="A503">
        <v>99</v>
      </c>
      <c r="B503" t="s">
        <v>350</v>
      </c>
      <c r="C503" t="s">
        <v>45</v>
      </c>
      <c r="D503" t="s">
        <v>6</v>
      </c>
    </row>
    <row r="504" spans="1:4" x14ac:dyDescent="0.35">
      <c r="A504">
        <v>99</v>
      </c>
      <c r="B504" t="s">
        <v>445</v>
      </c>
      <c r="C504" t="s">
        <v>45</v>
      </c>
      <c r="D504" t="s">
        <v>6</v>
      </c>
    </row>
    <row r="505" spans="1:4" x14ac:dyDescent="0.35">
      <c r="A505">
        <v>100</v>
      </c>
      <c r="B505" t="s">
        <v>366</v>
      </c>
      <c r="C505" t="s">
        <v>72</v>
      </c>
      <c r="D505" t="s">
        <v>13</v>
      </c>
    </row>
    <row r="506" spans="1:4" x14ac:dyDescent="0.35">
      <c r="A506">
        <v>100</v>
      </c>
      <c r="B506" t="s">
        <v>446</v>
      </c>
      <c r="C506" t="s">
        <v>72</v>
      </c>
      <c r="D506" t="s">
        <v>13</v>
      </c>
    </row>
    <row r="507" spans="1:4" x14ac:dyDescent="0.35">
      <c r="A507">
        <v>100</v>
      </c>
      <c r="B507" t="s">
        <v>446</v>
      </c>
      <c r="C507" t="s">
        <v>19</v>
      </c>
      <c r="D507" t="s">
        <v>13</v>
      </c>
    </row>
    <row r="508" spans="1:4" x14ac:dyDescent="0.35">
      <c r="A508">
        <v>100</v>
      </c>
      <c r="B508" t="s">
        <v>447</v>
      </c>
      <c r="C508" t="s">
        <v>72</v>
      </c>
      <c r="D508" t="s">
        <v>13</v>
      </c>
    </row>
    <row r="509" spans="1:4" x14ac:dyDescent="0.35">
      <c r="A509">
        <v>100</v>
      </c>
      <c r="B509" t="s">
        <v>369</v>
      </c>
      <c r="C509" t="s">
        <v>72</v>
      </c>
      <c r="D509" t="s">
        <v>13</v>
      </c>
    </row>
    <row r="510" spans="1:4" x14ac:dyDescent="0.35">
      <c r="A510">
        <v>100</v>
      </c>
      <c r="B510" t="s">
        <v>371</v>
      </c>
      <c r="C510" t="s">
        <v>5</v>
      </c>
      <c r="D510" t="s">
        <v>6</v>
      </c>
    </row>
    <row r="511" spans="1:4" x14ac:dyDescent="0.35">
      <c r="A511">
        <v>101</v>
      </c>
      <c r="B511" t="s">
        <v>448</v>
      </c>
      <c r="C511" t="s">
        <v>144</v>
      </c>
      <c r="D511" t="s">
        <v>13</v>
      </c>
    </row>
    <row r="512" spans="1:4" x14ac:dyDescent="0.35">
      <c r="A512">
        <v>101</v>
      </c>
      <c r="B512" t="s">
        <v>143</v>
      </c>
      <c r="C512" t="s">
        <v>144</v>
      </c>
      <c r="D512" t="s">
        <v>13</v>
      </c>
    </row>
    <row r="513" spans="1:4" x14ac:dyDescent="0.35">
      <c r="A513">
        <v>101</v>
      </c>
      <c r="B513" t="s">
        <v>146</v>
      </c>
      <c r="C513" t="s">
        <v>144</v>
      </c>
      <c r="D513" t="s">
        <v>13</v>
      </c>
    </row>
    <row r="514" spans="1:4" x14ac:dyDescent="0.35">
      <c r="A514">
        <v>102</v>
      </c>
      <c r="B514" t="s">
        <v>449</v>
      </c>
      <c r="C514" t="s">
        <v>93</v>
      </c>
      <c r="D514" t="s">
        <v>13</v>
      </c>
    </row>
    <row r="515" spans="1:4" x14ac:dyDescent="0.35">
      <c r="A515">
        <v>102</v>
      </c>
      <c r="B515" t="s">
        <v>301</v>
      </c>
      <c r="C515" t="s">
        <v>101</v>
      </c>
      <c r="D515" t="s">
        <v>6</v>
      </c>
    </row>
    <row r="516" spans="1:4" x14ac:dyDescent="0.35">
      <c r="A516">
        <v>102</v>
      </c>
      <c r="B516" t="s">
        <v>450</v>
      </c>
      <c r="C516" t="s">
        <v>93</v>
      </c>
      <c r="D516" t="s">
        <v>13</v>
      </c>
    </row>
    <row r="517" spans="1:4" x14ac:dyDescent="0.35">
      <c r="A517">
        <v>102</v>
      </c>
      <c r="B517" t="s">
        <v>451</v>
      </c>
      <c r="C517" t="s">
        <v>93</v>
      </c>
      <c r="D517" t="s">
        <v>13</v>
      </c>
    </row>
    <row r="518" spans="1:4" x14ac:dyDescent="0.35">
      <c r="A518">
        <v>102</v>
      </c>
      <c r="B518" t="s">
        <v>452</v>
      </c>
      <c r="C518" t="s">
        <v>93</v>
      </c>
      <c r="D518" t="s">
        <v>13</v>
      </c>
    </row>
    <row r="519" spans="1:4" x14ac:dyDescent="0.35">
      <c r="A519">
        <v>102</v>
      </c>
      <c r="B519" t="s">
        <v>453</v>
      </c>
      <c r="C519" t="s">
        <v>93</v>
      </c>
      <c r="D519" t="s">
        <v>13</v>
      </c>
    </row>
    <row r="520" spans="1:4" x14ac:dyDescent="0.35">
      <c r="A520">
        <v>102</v>
      </c>
      <c r="B520" t="s">
        <v>454</v>
      </c>
      <c r="C520" t="s">
        <v>48</v>
      </c>
      <c r="D520" t="s">
        <v>13</v>
      </c>
    </row>
    <row r="521" spans="1:4" x14ac:dyDescent="0.35">
      <c r="A521">
        <v>102</v>
      </c>
      <c r="B521" t="s">
        <v>455</v>
      </c>
      <c r="C521" t="s">
        <v>93</v>
      </c>
      <c r="D521" t="s">
        <v>13</v>
      </c>
    </row>
    <row r="522" spans="1:4" x14ac:dyDescent="0.35">
      <c r="A522">
        <v>102</v>
      </c>
      <c r="B522" t="s">
        <v>420</v>
      </c>
      <c r="C522" t="s">
        <v>101</v>
      </c>
      <c r="D522" t="s">
        <v>6</v>
      </c>
    </row>
    <row r="523" spans="1:4" x14ac:dyDescent="0.35">
      <c r="A523">
        <v>103</v>
      </c>
      <c r="B523" t="s">
        <v>456</v>
      </c>
      <c r="C523" t="s">
        <v>45</v>
      </c>
      <c r="D523" t="s">
        <v>6</v>
      </c>
    </row>
    <row r="524" spans="1:4" x14ac:dyDescent="0.35">
      <c r="A524">
        <v>103</v>
      </c>
      <c r="B524" t="s">
        <v>457</v>
      </c>
      <c r="C524" t="s">
        <v>45</v>
      </c>
      <c r="D524" t="s">
        <v>6</v>
      </c>
    </row>
    <row r="525" spans="1:4" x14ac:dyDescent="0.35">
      <c r="A525">
        <v>103</v>
      </c>
      <c r="B525" t="s">
        <v>458</v>
      </c>
      <c r="C525" t="s">
        <v>45</v>
      </c>
      <c r="D525" t="s">
        <v>6</v>
      </c>
    </row>
    <row r="526" spans="1:4" x14ac:dyDescent="0.35">
      <c r="A526">
        <v>104</v>
      </c>
      <c r="B526" t="s">
        <v>301</v>
      </c>
      <c r="C526" t="s">
        <v>101</v>
      </c>
      <c r="D526" t="s">
        <v>6</v>
      </c>
    </row>
    <row r="527" spans="1:4" x14ac:dyDescent="0.35">
      <c r="A527">
        <v>104</v>
      </c>
      <c r="B527" t="s">
        <v>302</v>
      </c>
      <c r="C527" t="s">
        <v>101</v>
      </c>
      <c r="D527" t="s">
        <v>6</v>
      </c>
    </row>
    <row r="528" spans="1:4" x14ac:dyDescent="0.35">
      <c r="A528">
        <v>104</v>
      </c>
      <c r="B528" t="s">
        <v>304</v>
      </c>
      <c r="C528" t="s">
        <v>101</v>
      </c>
      <c r="D528" t="s">
        <v>6</v>
      </c>
    </row>
    <row r="529" spans="1:4" x14ac:dyDescent="0.35">
      <c r="A529">
        <v>104</v>
      </c>
      <c r="B529" t="s">
        <v>459</v>
      </c>
      <c r="C529" t="s">
        <v>101</v>
      </c>
      <c r="D529" t="s">
        <v>6</v>
      </c>
    </row>
    <row r="530" spans="1:4" x14ac:dyDescent="0.35">
      <c r="A530">
        <v>105</v>
      </c>
      <c r="B530" t="s">
        <v>356</v>
      </c>
      <c r="C530" t="s">
        <v>231</v>
      </c>
      <c r="D530" t="s">
        <v>6</v>
      </c>
    </row>
    <row r="531" spans="1:4" x14ac:dyDescent="0.35">
      <c r="A531">
        <v>105</v>
      </c>
      <c r="B531" t="s">
        <v>460</v>
      </c>
      <c r="C531" t="s">
        <v>231</v>
      </c>
      <c r="D531" t="s">
        <v>6</v>
      </c>
    </row>
    <row r="532" spans="1:4" x14ac:dyDescent="0.35">
      <c r="A532">
        <v>105</v>
      </c>
      <c r="B532" t="s">
        <v>357</v>
      </c>
      <c r="C532" t="s">
        <v>231</v>
      </c>
      <c r="D532" t="s">
        <v>6</v>
      </c>
    </row>
    <row r="533" spans="1:4" x14ac:dyDescent="0.35">
      <c r="A533">
        <v>105</v>
      </c>
      <c r="B533" t="s">
        <v>230</v>
      </c>
      <c r="C533" t="s">
        <v>231</v>
      </c>
      <c r="D533" t="s">
        <v>6</v>
      </c>
    </row>
    <row r="534" spans="1:4" x14ac:dyDescent="0.35">
      <c r="A534">
        <v>105</v>
      </c>
      <c r="B534" t="s">
        <v>360</v>
      </c>
      <c r="C534" t="s">
        <v>231</v>
      </c>
      <c r="D534" t="s">
        <v>6</v>
      </c>
    </row>
    <row r="535" spans="1:4" x14ac:dyDescent="0.35">
      <c r="A535">
        <v>106</v>
      </c>
      <c r="B535" t="s">
        <v>461</v>
      </c>
      <c r="C535" t="s">
        <v>261</v>
      </c>
      <c r="D535" t="s">
        <v>13</v>
      </c>
    </row>
    <row r="536" spans="1:4" x14ac:dyDescent="0.35">
      <c r="A536">
        <v>106</v>
      </c>
      <c r="B536" t="s">
        <v>462</v>
      </c>
      <c r="C536" t="s">
        <v>16</v>
      </c>
      <c r="D536" t="s">
        <v>13</v>
      </c>
    </row>
    <row r="537" spans="1:4" x14ac:dyDescent="0.35">
      <c r="A537">
        <v>106</v>
      </c>
      <c r="B537" t="s">
        <v>463</v>
      </c>
      <c r="C537" t="s">
        <v>261</v>
      </c>
      <c r="D537" t="s">
        <v>13</v>
      </c>
    </row>
    <row r="538" spans="1:4" x14ac:dyDescent="0.35">
      <c r="A538">
        <v>106</v>
      </c>
      <c r="B538" t="s">
        <v>464</v>
      </c>
      <c r="C538" t="s">
        <v>16</v>
      </c>
      <c r="D538" t="s">
        <v>13</v>
      </c>
    </row>
    <row r="539" spans="1:4" x14ac:dyDescent="0.35">
      <c r="A539">
        <v>107</v>
      </c>
      <c r="B539" t="s">
        <v>465</v>
      </c>
      <c r="C539" t="s">
        <v>22</v>
      </c>
      <c r="D539" t="s">
        <v>13</v>
      </c>
    </row>
    <row r="540" spans="1:4" x14ac:dyDescent="0.35">
      <c r="A540">
        <v>107</v>
      </c>
      <c r="B540" t="s">
        <v>466</v>
      </c>
      <c r="C540" t="s">
        <v>22</v>
      </c>
      <c r="D540" t="s">
        <v>13</v>
      </c>
    </row>
    <row r="541" spans="1:4" x14ac:dyDescent="0.35">
      <c r="A541">
        <v>107</v>
      </c>
      <c r="B541" t="s">
        <v>467</v>
      </c>
      <c r="C541" t="s">
        <v>72</v>
      </c>
      <c r="D541" t="s">
        <v>13</v>
      </c>
    </row>
    <row r="542" spans="1:4" x14ac:dyDescent="0.35">
      <c r="A542">
        <v>108</v>
      </c>
      <c r="B542" t="s">
        <v>468</v>
      </c>
      <c r="C542" t="s">
        <v>72</v>
      </c>
      <c r="D542" t="s">
        <v>13</v>
      </c>
    </row>
    <row r="543" spans="1:4" x14ac:dyDescent="0.35">
      <c r="A543">
        <v>108</v>
      </c>
      <c r="B543" t="s">
        <v>469</v>
      </c>
      <c r="C543" t="s">
        <v>72</v>
      </c>
      <c r="D543" t="s">
        <v>13</v>
      </c>
    </row>
    <row r="544" spans="1:4" x14ac:dyDescent="0.35">
      <c r="A544">
        <v>108</v>
      </c>
      <c r="B544" t="s">
        <v>470</v>
      </c>
      <c r="C544" t="s">
        <v>72</v>
      </c>
      <c r="D544" t="s">
        <v>13</v>
      </c>
    </row>
    <row r="545" spans="1:4" x14ac:dyDescent="0.35">
      <c r="A545">
        <v>108</v>
      </c>
      <c r="B545" t="s">
        <v>471</v>
      </c>
      <c r="C545" t="s">
        <v>72</v>
      </c>
      <c r="D545" t="s">
        <v>13</v>
      </c>
    </row>
    <row r="546" spans="1:4" x14ac:dyDescent="0.35">
      <c r="A546">
        <v>108</v>
      </c>
      <c r="B546" t="s">
        <v>472</v>
      </c>
      <c r="C546" t="s">
        <v>72</v>
      </c>
      <c r="D546" t="s">
        <v>13</v>
      </c>
    </row>
    <row r="547" spans="1:4" x14ac:dyDescent="0.35">
      <c r="A547">
        <v>109</v>
      </c>
      <c r="B547" t="s">
        <v>473</v>
      </c>
      <c r="C547" t="s">
        <v>16</v>
      </c>
      <c r="D547" t="s">
        <v>13</v>
      </c>
    </row>
    <row r="548" spans="1:4" x14ac:dyDescent="0.35">
      <c r="A548">
        <v>109</v>
      </c>
      <c r="B548" t="s">
        <v>474</v>
      </c>
      <c r="C548" t="s">
        <v>16</v>
      </c>
      <c r="D548" t="s">
        <v>13</v>
      </c>
    </row>
    <row r="549" spans="1:4" x14ac:dyDescent="0.35">
      <c r="A549">
        <v>109</v>
      </c>
      <c r="B549" t="s">
        <v>475</v>
      </c>
      <c r="C549" t="s">
        <v>16</v>
      </c>
      <c r="D549" t="s">
        <v>13</v>
      </c>
    </row>
    <row r="550" spans="1:4" x14ac:dyDescent="0.35">
      <c r="A550">
        <v>109</v>
      </c>
      <c r="B550" t="s">
        <v>476</v>
      </c>
      <c r="C550" t="s">
        <v>16</v>
      </c>
      <c r="D550" t="s">
        <v>13</v>
      </c>
    </row>
    <row r="551" spans="1:4" x14ac:dyDescent="0.35">
      <c r="A551">
        <v>109</v>
      </c>
      <c r="B551" t="s">
        <v>477</v>
      </c>
      <c r="C551" t="s">
        <v>16</v>
      </c>
      <c r="D551" t="s">
        <v>13</v>
      </c>
    </row>
    <row r="552" spans="1:4" x14ac:dyDescent="0.35">
      <c r="A552">
        <v>109</v>
      </c>
      <c r="B552" t="s">
        <v>478</v>
      </c>
      <c r="C552" t="s">
        <v>16</v>
      </c>
      <c r="D552" t="s">
        <v>13</v>
      </c>
    </row>
    <row r="553" spans="1:4" x14ac:dyDescent="0.35">
      <c r="A553">
        <v>110</v>
      </c>
      <c r="B553" t="s">
        <v>285</v>
      </c>
      <c r="C553" t="s">
        <v>16</v>
      </c>
      <c r="D553" t="s">
        <v>13</v>
      </c>
    </row>
    <row r="554" spans="1:4" x14ac:dyDescent="0.35">
      <c r="A554">
        <v>110</v>
      </c>
      <c r="B554" t="s">
        <v>285</v>
      </c>
      <c r="C554" t="s">
        <v>101</v>
      </c>
      <c r="D554" t="s">
        <v>6</v>
      </c>
    </row>
    <row r="555" spans="1:4" x14ac:dyDescent="0.35">
      <c r="A555">
        <v>110</v>
      </c>
      <c r="B555" t="s">
        <v>286</v>
      </c>
      <c r="C555" t="s">
        <v>16</v>
      </c>
      <c r="D555" t="s">
        <v>13</v>
      </c>
    </row>
    <row r="556" spans="1:4" x14ac:dyDescent="0.35">
      <c r="A556">
        <v>111</v>
      </c>
      <c r="B556" t="s">
        <v>479</v>
      </c>
      <c r="C556" t="s">
        <v>45</v>
      </c>
      <c r="D556" t="s">
        <v>6</v>
      </c>
    </row>
    <row r="557" spans="1:4" x14ac:dyDescent="0.35">
      <c r="A557">
        <v>111</v>
      </c>
      <c r="B557" t="s">
        <v>480</v>
      </c>
      <c r="C557" t="s">
        <v>90</v>
      </c>
      <c r="D557" t="s">
        <v>13</v>
      </c>
    </row>
    <row r="558" spans="1:4" x14ac:dyDescent="0.35">
      <c r="A558">
        <v>111</v>
      </c>
      <c r="B558" t="s">
        <v>480</v>
      </c>
      <c r="C558" t="s">
        <v>45</v>
      </c>
      <c r="D558" t="s">
        <v>6</v>
      </c>
    </row>
    <row r="559" spans="1:4" x14ac:dyDescent="0.35">
      <c r="A559">
        <v>111</v>
      </c>
      <c r="B559" t="s">
        <v>481</v>
      </c>
      <c r="C559" t="s">
        <v>90</v>
      </c>
      <c r="D559" t="s">
        <v>13</v>
      </c>
    </row>
    <row r="560" spans="1:4" x14ac:dyDescent="0.35">
      <c r="A560">
        <v>111</v>
      </c>
      <c r="B560" t="s">
        <v>482</v>
      </c>
      <c r="C560" t="s">
        <v>45</v>
      </c>
      <c r="D560" t="s">
        <v>6</v>
      </c>
    </row>
    <row r="561" spans="1:4" x14ac:dyDescent="0.35">
      <c r="A561">
        <v>112</v>
      </c>
      <c r="B561" t="s">
        <v>483</v>
      </c>
      <c r="C561" t="s">
        <v>72</v>
      </c>
      <c r="D561" t="s">
        <v>13</v>
      </c>
    </row>
    <row r="562" spans="1:4" x14ac:dyDescent="0.35">
      <c r="A562">
        <v>112</v>
      </c>
      <c r="B562" t="s">
        <v>484</v>
      </c>
      <c r="C562" t="s">
        <v>72</v>
      </c>
      <c r="D562" t="s">
        <v>13</v>
      </c>
    </row>
    <row r="563" spans="1:4" x14ac:dyDescent="0.35">
      <c r="A563">
        <v>112</v>
      </c>
      <c r="B563" t="s">
        <v>485</v>
      </c>
      <c r="C563" t="s">
        <v>22</v>
      </c>
      <c r="D563" t="s">
        <v>13</v>
      </c>
    </row>
    <row r="564" spans="1:4" x14ac:dyDescent="0.35">
      <c r="A564">
        <v>112</v>
      </c>
      <c r="B564" t="s">
        <v>486</v>
      </c>
      <c r="C564" t="s">
        <v>72</v>
      </c>
      <c r="D564" t="s">
        <v>13</v>
      </c>
    </row>
    <row r="565" spans="1:4" x14ac:dyDescent="0.35">
      <c r="A565">
        <v>112</v>
      </c>
      <c r="B565" t="s">
        <v>487</v>
      </c>
      <c r="C565" t="s">
        <v>72</v>
      </c>
      <c r="D565" t="s">
        <v>13</v>
      </c>
    </row>
    <row r="566" spans="1:4" x14ac:dyDescent="0.35">
      <c r="A566">
        <v>112</v>
      </c>
      <c r="B566" t="s">
        <v>488</v>
      </c>
      <c r="C566" t="s">
        <v>22</v>
      </c>
      <c r="D566" t="s">
        <v>13</v>
      </c>
    </row>
    <row r="567" spans="1:4" x14ac:dyDescent="0.35">
      <c r="A567">
        <v>112</v>
      </c>
      <c r="B567" t="s">
        <v>489</v>
      </c>
      <c r="C567" t="s">
        <v>72</v>
      </c>
      <c r="D567" t="s">
        <v>13</v>
      </c>
    </row>
    <row r="568" spans="1:4" x14ac:dyDescent="0.35">
      <c r="A568">
        <v>113</v>
      </c>
      <c r="B568" t="s">
        <v>327</v>
      </c>
      <c r="C568" t="s">
        <v>101</v>
      </c>
      <c r="D568" t="s">
        <v>6</v>
      </c>
    </row>
    <row r="569" spans="1:4" x14ac:dyDescent="0.35">
      <c r="A569">
        <v>113</v>
      </c>
      <c r="B569" t="s">
        <v>490</v>
      </c>
      <c r="C569" t="s">
        <v>101</v>
      </c>
      <c r="D569" t="s">
        <v>6</v>
      </c>
    </row>
    <row r="570" spans="1:4" x14ac:dyDescent="0.35">
      <c r="A570">
        <v>114</v>
      </c>
      <c r="B570" t="s">
        <v>491</v>
      </c>
      <c r="C570" t="s">
        <v>189</v>
      </c>
      <c r="D570" t="s">
        <v>6</v>
      </c>
    </row>
    <row r="571" spans="1:4" x14ac:dyDescent="0.35">
      <c r="A571">
        <v>114</v>
      </c>
      <c r="B571" t="s">
        <v>492</v>
      </c>
      <c r="C571" t="s">
        <v>189</v>
      </c>
      <c r="D571" t="s">
        <v>6</v>
      </c>
    </row>
    <row r="572" spans="1:4" x14ac:dyDescent="0.35">
      <c r="A572">
        <v>114</v>
      </c>
      <c r="B572" t="s">
        <v>493</v>
      </c>
      <c r="C572" t="s">
        <v>19</v>
      </c>
      <c r="D572" t="s">
        <v>13</v>
      </c>
    </row>
    <row r="573" spans="1:4" x14ac:dyDescent="0.35">
      <c r="A573">
        <v>114</v>
      </c>
      <c r="B573" t="s">
        <v>494</v>
      </c>
      <c r="C573" t="s">
        <v>189</v>
      </c>
      <c r="D573" t="s">
        <v>6</v>
      </c>
    </row>
    <row r="574" spans="1:4" x14ac:dyDescent="0.35">
      <c r="A574">
        <v>114</v>
      </c>
      <c r="B574" t="s">
        <v>495</v>
      </c>
      <c r="C574" t="s">
        <v>93</v>
      </c>
      <c r="D574" t="s">
        <v>13</v>
      </c>
    </row>
    <row r="575" spans="1:4" x14ac:dyDescent="0.35">
      <c r="A575">
        <v>114</v>
      </c>
      <c r="B575" t="s">
        <v>496</v>
      </c>
      <c r="C575" t="s">
        <v>497</v>
      </c>
      <c r="D575" t="s">
        <v>13</v>
      </c>
    </row>
    <row r="576" spans="1:4" x14ac:dyDescent="0.35">
      <c r="A576">
        <v>114</v>
      </c>
      <c r="B576" t="s">
        <v>496</v>
      </c>
      <c r="C576" t="s">
        <v>19</v>
      </c>
      <c r="D576" t="s">
        <v>13</v>
      </c>
    </row>
    <row r="577" spans="1:4" x14ac:dyDescent="0.35">
      <c r="A577">
        <v>114</v>
      </c>
      <c r="B577" t="s">
        <v>498</v>
      </c>
      <c r="C577" t="s">
        <v>93</v>
      </c>
      <c r="D577" t="s">
        <v>13</v>
      </c>
    </row>
    <row r="578" spans="1:4" x14ac:dyDescent="0.35">
      <c r="A578">
        <v>115</v>
      </c>
      <c r="B578" t="s">
        <v>499</v>
      </c>
      <c r="C578" t="s">
        <v>35</v>
      </c>
      <c r="D578" t="s">
        <v>13</v>
      </c>
    </row>
    <row r="579" spans="1:4" x14ac:dyDescent="0.35">
      <c r="A579">
        <v>115</v>
      </c>
      <c r="B579" t="s">
        <v>500</v>
      </c>
      <c r="C579" t="s">
        <v>101</v>
      </c>
      <c r="D579" t="s">
        <v>6</v>
      </c>
    </row>
    <row r="580" spans="1:4" x14ac:dyDescent="0.35">
      <c r="A580">
        <v>115</v>
      </c>
      <c r="B580" t="s">
        <v>501</v>
      </c>
      <c r="C580" t="s">
        <v>45</v>
      </c>
      <c r="D580" t="s">
        <v>6</v>
      </c>
    </row>
    <row r="581" spans="1:4" x14ac:dyDescent="0.35">
      <c r="A581">
        <v>115</v>
      </c>
      <c r="B581" t="s">
        <v>502</v>
      </c>
      <c r="C581" t="s">
        <v>45</v>
      </c>
      <c r="D581" t="s">
        <v>6</v>
      </c>
    </row>
    <row r="582" spans="1:4" x14ac:dyDescent="0.35">
      <c r="A582">
        <v>115</v>
      </c>
      <c r="B582" t="s">
        <v>503</v>
      </c>
      <c r="C582" t="s">
        <v>101</v>
      </c>
      <c r="D582" t="s">
        <v>6</v>
      </c>
    </row>
    <row r="583" spans="1:4" x14ac:dyDescent="0.35">
      <c r="A583">
        <v>115</v>
      </c>
      <c r="B583" t="s">
        <v>504</v>
      </c>
      <c r="C583" t="s">
        <v>101</v>
      </c>
      <c r="D583" t="s">
        <v>6</v>
      </c>
    </row>
    <row r="584" spans="1:4" x14ac:dyDescent="0.35">
      <c r="A584">
        <v>115</v>
      </c>
      <c r="B584" t="s">
        <v>504</v>
      </c>
      <c r="C584" t="s">
        <v>35</v>
      </c>
      <c r="D584" t="s">
        <v>13</v>
      </c>
    </row>
    <row r="585" spans="1:4" x14ac:dyDescent="0.35">
      <c r="A585">
        <v>115</v>
      </c>
      <c r="B585" t="s">
        <v>504</v>
      </c>
      <c r="C585" t="s">
        <v>45</v>
      </c>
      <c r="D585" t="s">
        <v>6</v>
      </c>
    </row>
    <row r="586" spans="1:4" x14ac:dyDescent="0.35">
      <c r="A586">
        <v>115</v>
      </c>
      <c r="B586" t="s">
        <v>505</v>
      </c>
      <c r="C586" t="s">
        <v>45</v>
      </c>
      <c r="D586" t="s">
        <v>6</v>
      </c>
    </row>
    <row r="587" spans="1:4" x14ac:dyDescent="0.35">
      <c r="A587">
        <v>115</v>
      </c>
      <c r="B587" t="s">
        <v>506</v>
      </c>
      <c r="C587" t="s">
        <v>45</v>
      </c>
      <c r="D587" t="s">
        <v>6</v>
      </c>
    </row>
    <row r="588" spans="1:4" x14ac:dyDescent="0.35">
      <c r="A588">
        <v>115</v>
      </c>
      <c r="B588" t="s">
        <v>507</v>
      </c>
      <c r="C588" t="s">
        <v>45</v>
      </c>
      <c r="D588" t="s">
        <v>6</v>
      </c>
    </row>
    <row r="589" spans="1:4" x14ac:dyDescent="0.35">
      <c r="A589">
        <v>115</v>
      </c>
      <c r="B589" t="s">
        <v>508</v>
      </c>
      <c r="C589" t="s">
        <v>35</v>
      </c>
      <c r="D589" t="s">
        <v>13</v>
      </c>
    </row>
    <row r="590" spans="1:4" x14ac:dyDescent="0.35">
      <c r="A590">
        <v>115</v>
      </c>
      <c r="B590" t="s">
        <v>508</v>
      </c>
      <c r="C590" t="s">
        <v>101</v>
      </c>
      <c r="D590" t="s">
        <v>6</v>
      </c>
    </row>
    <row r="591" spans="1:4" x14ac:dyDescent="0.35">
      <c r="A591">
        <v>116</v>
      </c>
      <c r="B591" t="s">
        <v>327</v>
      </c>
      <c r="C591" t="s">
        <v>101</v>
      </c>
      <c r="D591" t="s">
        <v>6</v>
      </c>
    </row>
    <row r="592" spans="1:4" x14ac:dyDescent="0.35">
      <c r="A592">
        <v>116</v>
      </c>
      <c r="B592" t="s">
        <v>509</v>
      </c>
      <c r="C592" t="s">
        <v>93</v>
      </c>
      <c r="D592" t="s">
        <v>13</v>
      </c>
    </row>
    <row r="593" spans="1:4" x14ac:dyDescent="0.35">
      <c r="A593">
        <v>116</v>
      </c>
      <c r="B593" t="s">
        <v>510</v>
      </c>
      <c r="C593" t="s">
        <v>93</v>
      </c>
      <c r="D593" t="s">
        <v>13</v>
      </c>
    </row>
    <row r="594" spans="1:4" x14ac:dyDescent="0.35">
      <c r="A594">
        <v>116</v>
      </c>
      <c r="B594" t="s">
        <v>511</v>
      </c>
      <c r="C594" t="s">
        <v>93</v>
      </c>
      <c r="D594" t="s">
        <v>13</v>
      </c>
    </row>
    <row r="595" spans="1:4" x14ac:dyDescent="0.35">
      <c r="A595">
        <v>116</v>
      </c>
      <c r="B595" t="s">
        <v>511</v>
      </c>
      <c r="C595" t="s">
        <v>101</v>
      </c>
      <c r="D595" t="s">
        <v>6</v>
      </c>
    </row>
    <row r="596" spans="1:4" x14ac:dyDescent="0.35">
      <c r="A596">
        <v>116</v>
      </c>
      <c r="B596" t="s">
        <v>512</v>
      </c>
      <c r="C596" t="s">
        <v>93</v>
      </c>
      <c r="D596" t="s">
        <v>13</v>
      </c>
    </row>
    <row r="597" spans="1:4" x14ac:dyDescent="0.35">
      <c r="A597">
        <v>117</v>
      </c>
      <c r="B597" t="s">
        <v>513</v>
      </c>
      <c r="C597" t="s">
        <v>172</v>
      </c>
      <c r="D597" t="s">
        <v>6</v>
      </c>
    </row>
    <row r="598" spans="1:4" x14ac:dyDescent="0.35">
      <c r="A598">
        <v>117</v>
      </c>
      <c r="B598" t="s">
        <v>514</v>
      </c>
      <c r="C598" t="s">
        <v>19</v>
      </c>
      <c r="D598" t="s">
        <v>13</v>
      </c>
    </row>
    <row r="599" spans="1:4" x14ac:dyDescent="0.35">
      <c r="A599">
        <v>117</v>
      </c>
      <c r="B599" t="s">
        <v>515</v>
      </c>
      <c r="C599" t="s">
        <v>19</v>
      </c>
      <c r="D599" t="s">
        <v>13</v>
      </c>
    </row>
    <row r="600" spans="1:4" x14ac:dyDescent="0.35">
      <c r="A600">
        <v>117</v>
      </c>
      <c r="B600" t="s">
        <v>516</v>
      </c>
      <c r="C600" t="s">
        <v>517</v>
      </c>
      <c r="D600" t="s">
        <v>13</v>
      </c>
    </row>
    <row r="601" spans="1:4" x14ac:dyDescent="0.35">
      <c r="A601">
        <v>117</v>
      </c>
      <c r="B601" t="s">
        <v>516</v>
      </c>
      <c r="C601" t="s">
        <v>35</v>
      </c>
      <c r="D601" t="s">
        <v>13</v>
      </c>
    </row>
    <row r="602" spans="1:4" x14ac:dyDescent="0.35">
      <c r="A602">
        <v>117</v>
      </c>
      <c r="B602" t="s">
        <v>518</v>
      </c>
      <c r="C602" t="s">
        <v>19</v>
      </c>
      <c r="D602" t="s">
        <v>13</v>
      </c>
    </row>
    <row r="603" spans="1:4" x14ac:dyDescent="0.35">
      <c r="A603">
        <v>117</v>
      </c>
      <c r="B603" t="s">
        <v>519</v>
      </c>
      <c r="C603" t="s">
        <v>19</v>
      </c>
      <c r="D603" t="s">
        <v>13</v>
      </c>
    </row>
    <row r="604" spans="1:4" x14ac:dyDescent="0.35">
      <c r="A604">
        <v>117</v>
      </c>
      <c r="B604" t="s">
        <v>520</v>
      </c>
      <c r="C604" t="s">
        <v>517</v>
      </c>
      <c r="D604" t="s">
        <v>13</v>
      </c>
    </row>
    <row r="605" spans="1:4" x14ac:dyDescent="0.35">
      <c r="A605">
        <v>117</v>
      </c>
      <c r="B605" t="s">
        <v>520</v>
      </c>
      <c r="C605" t="s">
        <v>19</v>
      </c>
      <c r="D605" t="s">
        <v>13</v>
      </c>
    </row>
    <row r="606" spans="1:4" x14ac:dyDescent="0.35">
      <c r="A606">
        <v>117</v>
      </c>
      <c r="B606" t="s">
        <v>521</v>
      </c>
      <c r="C606" t="s">
        <v>19</v>
      </c>
      <c r="D606" t="s">
        <v>13</v>
      </c>
    </row>
    <row r="607" spans="1:4" x14ac:dyDescent="0.35">
      <c r="A607">
        <v>117</v>
      </c>
      <c r="B607" t="s">
        <v>522</v>
      </c>
      <c r="C607" t="s">
        <v>19</v>
      </c>
      <c r="D607" t="s">
        <v>13</v>
      </c>
    </row>
    <row r="608" spans="1:4" x14ac:dyDescent="0.35">
      <c r="A608">
        <v>117</v>
      </c>
      <c r="B608" t="s">
        <v>523</v>
      </c>
      <c r="C608" t="s">
        <v>172</v>
      </c>
      <c r="D608" t="s">
        <v>6</v>
      </c>
    </row>
    <row r="609" spans="1:4" x14ac:dyDescent="0.35">
      <c r="A609">
        <v>118</v>
      </c>
      <c r="B609" t="s">
        <v>524</v>
      </c>
      <c r="C609" t="s">
        <v>72</v>
      </c>
      <c r="D609" t="s">
        <v>13</v>
      </c>
    </row>
    <row r="610" spans="1:4" x14ac:dyDescent="0.35">
      <c r="A610">
        <v>118</v>
      </c>
      <c r="B610" t="s">
        <v>525</v>
      </c>
      <c r="C610" t="s">
        <v>72</v>
      </c>
      <c r="D610" t="s">
        <v>13</v>
      </c>
    </row>
    <row r="611" spans="1:4" x14ac:dyDescent="0.35">
      <c r="A611">
        <v>118</v>
      </c>
      <c r="B611" t="s">
        <v>526</v>
      </c>
      <c r="C611" t="s">
        <v>72</v>
      </c>
      <c r="D611" t="s">
        <v>13</v>
      </c>
    </row>
    <row r="612" spans="1:4" x14ac:dyDescent="0.35">
      <c r="A612">
        <v>118</v>
      </c>
      <c r="B612" t="s">
        <v>527</v>
      </c>
      <c r="C612" t="s">
        <v>72</v>
      </c>
      <c r="D612" t="s">
        <v>13</v>
      </c>
    </row>
    <row r="613" spans="1:4" x14ac:dyDescent="0.35">
      <c r="A613">
        <v>118</v>
      </c>
      <c r="B613" t="s">
        <v>528</v>
      </c>
      <c r="C613" t="s">
        <v>72</v>
      </c>
      <c r="D613" t="s">
        <v>13</v>
      </c>
    </row>
    <row r="614" spans="1:4" x14ac:dyDescent="0.35">
      <c r="A614">
        <v>119</v>
      </c>
      <c r="B614" t="s">
        <v>529</v>
      </c>
      <c r="C614" t="s">
        <v>93</v>
      </c>
      <c r="D614" t="s">
        <v>13</v>
      </c>
    </row>
    <row r="615" spans="1:4" x14ac:dyDescent="0.35">
      <c r="A615">
        <v>119</v>
      </c>
      <c r="B615" t="s">
        <v>530</v>
      </c>
      <c r="C615" t="s">
        <v>93</v>
      </c>
      <c r="D615" t="s">
        <v>13</v>
      </c>
    </row>
    <row r="616" spans="1:4" x14ac:dyDescent="0.35">
      <c r="A616">
        <v>119</v>
      </c>
      <c r="B616" t="s">
        <v>531</v>
      </c>
      <c r="C616" t="s">
        <v>64</v>
      </c>
      <c r="D616" t="s">
        <v>13</v>
      </c>
    </row>
    <row r="617" spans="1:4" x14ac:dyDescent="0.35">
      <c r="A617">
        <v>119</v>
      </c>
      <c r="B617" t="s">
        <v>532</v>
      </c>
      <c r="C617" t="s">
        <v>93</v>
      </c>
      <c r="D617" t="s">
        <v>13</v>
      </c>
    </row>
    <row r="618" spans="1:4" x14ac:dyDescent="0.35">
      <c r="A618">
        <v>119</v>
      </c>
      <c r="B618" t="s">
        <v>533</v>
      </c>
      <c r="C618" t="s">
        <v>93</v>
      </c>
      <c r="D618" t="s">
        <v>13</v>
      </c>
    </row>
    <row r="619" spans="1:4" x14ac:dyDescent="0.35">
      <c r="A619">
        <v>120</v>
      </c>
      <c r="B619" t="s">
        <v>293</v>
      </c>
      <c r="C619" t="s">
        <v>101</v>
      </c>
      <c r="D619" t="s">
        <v>6</v>
      </c>
    </row>
    <row r="620" spans="1:4" x14ac:dyDescent="0.35">
      <c r="A620">
        <v>120</v>
      </c>
      <c r="B620" t="s">
        <v>357</v>
      </c>
      <c r="C620" t="s">
        <v>231</v>
      </c>
      <c r="D620" t="s">
        <v>6</v>
      </c>
    </row>
    <row r="621" spans="1:4" x14ac:dyDescent="0.35">
      <c r="A621">
        <v>120</v>
      </c>
      <c r="B621" t="s">
        <v>294</v>
      </c>
      <c r="C621" t="s">
        <v>101</v>
      </c>
      <c r="D621" t="s">
        <v>6</v>
      </c>
    </row>
    <row r="622" spans="1:4" x14ac:dyDescent="0.35">
      <c r="A622">
        <v>120</v>
      </c>
      <c r="B622" t="s">
        <v>415</v>
      </c>
      <c r="C622" t="s">
        <v>45</v>
      </c>
      <c r="D622" t="s">
        <v>6</v>
      </c>
    </row>
    <row r="623" spans="1:4" x14ac:dyDescent="0.35">
      <c r="A623">
        <v>120</v>
      </c>
      <c r="B623" t="s">
        <v>534</v>
      </c>
      <c r="C623" t="s">
        <v>45</v>
      </c>
      <c r="D623" t="s">
        <v>6</v>
      </c>
    </row>
    <row r="624" spans="1:4" x14ac:dyDescent="0.35">
      <c r="A624">
        <v>120</v>
      </c>
      <c r="B624" t="s">
        <v>534</v>
      </c>
      <c r="C624" t="s">
        <v>16</v>
      </c>
      <c r="D624" t="s">
        <v>13</v>
      </c>
    </row>
    <row r="625" spans="1:4" x14ac:dyDescent="0.35">
      <c r="A625">
        <v>120</v>
      </c>
      <c r="B625" t="s">
        <v>416</v>
      </c>
      <c r="C625" t="s">
        <v>45</v>
      </c>
      <c r="D625" t="s">
        <v>6</v>
      </c>
    </row>
    <row r="626" spans="1:4" x14ac:dyDescent="0.35">
      <c r="A626">
        <v>120</v>
      </c>
      <c r="B626" t="s">
        <v>417</v>
      </c>
      <c r="C626" t="s">
        <v>5</v>
      </c>
      <c r="D626" t="s">
        <v>6</v>
      </c>
    </row>
    <row r="627" spans="1:4" x14ac:dyDescent="0.35">
      <c r="A627">
        <v>120</v>
      </c>
      <c r="B627" t="s">
        <v>360</v>
      </c>
      <c r="C627" t="s">
        <v>231</v>
      </c>
      <c r="D627" t="s">
        <v>6</v>
      </c>
    </row>
    <row r="628" spans="1:4" x14ac:dyDescent="0.35">
      <c r="A628">
        <v>120</v>
      </c>
      <c r="B628" t="s">
        <v>429</v>
      </c>
      <c r="C628" t="s">
        <v>45</v>
      </c>
      <c r="D628" t="s">
        <v>6</v>
      </c>
    </row>
    <row r="629" spans="1:4" x14ac:dyDescent="0.35">
      <c r="A629">
        <v>121</v>
      </c>
      <c r="B629" t="s">
        <v>535</v>
      </c>
      <c r="C629" t="s">
        <v>16</v>
      </c>
      <c r="D629" t="s">
        <v>13</v>
      </c>
    </row>
    <row r="630" spans="1:4" x14ac:dyDescent="0.35">
      <c r="A630">
        <v>121</v>
      </c>
      <c r="B630" t="s">
        <v>67</v>
      </c>
      <c r="C630" t="s">
        <v>16</v>
      </c>
      <c r="D630" t="s">
        <v>13</v>
      </c>
    </row>
    <row r="631" spans="1:4" x14ac:dyDescent="0.35">
      <c r="A631">
        <v>122</v>
      </c>
      <c r="B631" t="s">
        <v>536</v>
      </c>
      <c r="C631" t="s">
        <v>45</v>
      </c>
      <c r="D631" t="s">
        <v>6</v>
      </c>
    </row>
    <row r="632" spans="1:4" x14ac:dyDescent="0.35">
      <c r="A632">
        <v>123</v>
      </c>
      <c r="B632" t="s">
        <v>537</v>
      </c>
      <c r="C632" t="s">
        <v>45</v>
      </c>
      <c r="D632" t="s">
        <v>6</v>
      </c>
    </row>
    <row r="633" spans="1:4" x14ac:dyDescent="0.35">
      <c r="A633">
        <v>123</v>
      </c>
      <c r="B633" t="s">
        <v>538</v>
      </c>
      <c r="C633" t="s">
        <v>45</v>
      </c>
      <c r="D633" t="s">
        <v>6</v>
      </c>
    </row>
    <row r="634" spans="1:4" x14ac:dyDescent="0.35">
      <c r="A634">
        <v>123</v>
      </c>
      <c r="B634" t="s">
        <v>539</v>
      </c>
      <c r="C634" t="s">
        <v>19</v>
      </c>
      <c r="D634" t="s">
        <v>13</v>
      </c>
    </row>
    <row r="635" spans="1:4" x14ac:dyDescent="0.35">
      <c r="A635">
        <v>123</v>
      </c>
      <c r="B635" t="s">
        <v>540</v>
      </c>
      <c r="C635" t="s">
        <v>45</v>
      </c>
      <c r="D635" t="s">
        <v>6</v>
      </c>
    </row>
    <row r="636" spans="1:4" x14ac:dyDescent="0.35">
      <c r="A636">
        <v>124</v>
      </c>
      <c r="B636" t="s">
        <v>384</v>
      </c>
      <c r="C636" t="s">
        <v>101</v>
      </c>
      <c r="D636" t="s">
        <v>6</v>
      </c>
    </row>
    <row r="637" spans="1:4" x14ac:dyDescent="0.35">
      <c r="A637">
        <v>124</v>
      </c>
      <c r="B637" t="s">
        <v>304</v>
      </c>
      <c r="C637" t="s">
        <v>101</v>
      </c>
      <c r="D637" t="s">
        <v>6</v>
      </c>
    </row>
    <row r="638" spans="1:4" x14ac:dyDescent="0.35">
      <c r="A638">
        <v>124</v>
      </c>
      <c r="B638" t="s">
        <v>385</v>
      </c>
      <c r="C638" t="s">
        <v>16</v>
      </c>
      <c r="D638" t="s">
        <v>13</v>
      </c>
    </row>
    <row r="639" spans="1:4" x14ac:dyDescent="0.35">
      <c r="A639">
        <v>124</v>
      </c>
      <c r="B639" t="s">
        <v>167</v>
      </c>
      <c r="C639" t="s">
        <v>16</v>
      </c>
      <c r="D639" t="s">
        <v>13</v>
      </c>
    </row>
    <row r="640" spans="1:4" x14ac:dyDescent="0.35">
      <c r="A640">
        <v>124</v>
      </c>
      <c r="B640" t="s">
        <v>541</v>
      </c>
      <c r="C640" t="s">
        <v>16</v>
      </c>
      <c r="D640" t="s">
        <v>13</v>
      </c>
    </row>
    <row r="641" spans="1:4" x14ac:dyDescent="0.35">
      <c r="A641">
        <v>125</v>
      </c>
      <c r="B641" t="s">
        <v>542</v>
      </c>
      <c r="C641" t="s">
        <v>16</v>
      </c>
      <c r="D641" t="s">
        <v>13</v>
      </c>
    </row>
    <row r="642" spans="1:4" x14ac:dyDescent="0.35">
      <c r="A642">
        <v>125</v>
      </c>
      <c r="B642" t="s">
        <v>543</v>
      </c>
      <c r="C642" t="s">
        <v>16</v>
      </c>
      <c r="D642" t="s">
        <v>13</v>
      </c>
    </row>
    <row r="643" spans="1:4" x14ac:dyDescent="0.35">
      <c r="A643">
        <v>126</v>
      </c>
      <c r="B643" t="s">
        <v>544</v>
      </c>
      <c r="C643" t="s">
        <v>231</v>
      </c>
      <c r="D643" t="s">
        <v>6</v>
      </c>
    </row>
    <row r="644" spans="1:4" x14ac:dyDescent="0.35">
      <c r="A644">
        <v>126</v>
      </c>
      <c r="B644" t="s">
        <v>545</v>
      </c>
      <c r="C644" t="s">
        <v>231</v>
      </c>
      <c r="D644" t="s">
        <v>6</v>
      </c>
    </row>
    <row r="645" spans="1:4" x14ac:dyDescent="0.35">
      <c r="A645">
        <v>126</v>
      </c>
      <c r="B645" t="s">
        <v>357</v>
      </c>
      <c r="C645" t="s">
        <v>231</v>
      </c>
      <c r="D645" t="s">
        <v>6</v>
      </c>
    </row>
    <row r="646" spans="1:4" x14ac:dyDescent="0.35">
      <c r="A646">
        <v>126</v>
      </c>
      <c r="B646" t="s">
        <v>546</v>
      </c>
      <c r="C646" t="s">
        <v>231</v>
      </c>
      <c r="D646" t="s">
        <v>6</v>
      </c>
    </row>
    <row r="647" spans="1:4" x14ac:dyDescent="0.35">
      <c r="A647">
        <v>126</v>
      </c>
      <c r="B647" t="s">
        <v>359</v>
      </c>
      <c r="C647" t="s">
        <v>231</v>
      </c>
      <c r="D647" t="s">
        <v>6</v>
      </c>
    </row>
    <row r="648" spans="1:4" x14ac:dyDescent="0.35">
      <c r="A648">
        <v>126</v>
      </c>
      <c r="B648" t="s">
        <v>406</v>
      </c>
      <c r="C648" t="s">
        <v>189</v>
      </c>
      <c r="D648" t="s">
        <v>6</v>
      </c>
    </row>
    <row r="649" spans="1:4" x14ac:dyDescent="0.35">
      <c r="A649">
        <v>126</v>
      </c>
      <c r="B649" t="s">
        <v>406</v>
      </c>
      <c r="C649" t="s">
        <v>231</v>
      </c>
      <c r="D649" t="s">
        <v>6</v>
      </c>
    </row>
    <row r="650" spans="1:4" x14ac:dyDescent="0.35">
      <c r="A650">
        <v>126</v>
      </c>
      <c r="B650" t="s">
        <v>360</v>
      </c>
      <c r="C650" t="s">
        <v>231</v>
      </c>
      <c r="D650" t="s">
        <v>6</v>
      </c>
    </row>
    <row r="651" spans="1:4" x14ac:dyDescent="0.35">
      <c r="A651">
        <v>127</v>
      </c>
      <c r="B651" t="s">
        <v>327</v>
      </c>
      <c r="C651" t="s">
        <v>101</v>
      </c>
      <c r="D651" t="s">
        <v>6</v>
      </c>
    </row>
    <row r="652" spans="1:4" x14ac:dyDescent="0.35">
      <c r="A652">
        <v>128</v>
      </c>
      <c r="B652" t="s">
        <v>547</v>
      </c>
      <c r="C652" t="s">
        <v>72</v>
      </c>
      <c r="D652" t="s">
        <v>13</v>
      </c>
    </row>
    <row r="653" spans="1:4" x14ac:dyDescent="0.35">
      <c r="A653">
        <v>128</v>
      </c>
      <c r="B653" t="s">
        <v>548</v>
      </c>
      <c r="C653" t="s">
        <v>72</v>
      </c>
      <c r="D653" t="s">
        <v>13</v>
      </c>
    </row>
    <row r="654" spans="1:4" x14ac:dyDescent="0.35">
      <c r="A654">
        <v>128</v>
      </c>
      <c r="B654" t="s">
        <v>549</v>
      </c>
      <c r="C654" t="s">
        <v>72</v>
      </c>
      <c r="D654" t="s">
        <v>13</v>
      </c>
    </row>
    <row r="655" spans="1:4" x14ac:dyDescent="0.35">
      <c r="A655">
        <v>128</v>
      </c>
      <c r="B655" t="s">
        <v>85</v>
      </c>
      <c r="C655" t="s">
        <v>72</v>
      </c>
      <c r="D655" t="s">
        <v>13</v>
      </c>
    </row>
    <row r="656" spans="1:4" x14ac:dyDescent="0.35">
      <c r="A656">
        <v>129</v>
      </c>
      <c r="B656" t="s">
        <v>550</v>
      </c>
      <c r="C656" t="s">
        <v>16</v>
      </c>
      <c r="D656" t="s">
        <v>13</v>
      </c>
    </row>
    <row r="657" spans="1:4" x14ac:dyDescent="0.35">
      <c r="A657">
        <v>129</v>
      </c>
      <c r="B657" t="s">
        <v>301</v>
      </c>
      <c r="C657" t="s">
        <v>101</v>
      </c>
      <c r="D657" t="s">
        <v>6</v>
      </c>
    </row>
    <row r="658" spans="1:4" x14ac:dyDescent="0.35">
      <c r="A658">
        <v>129</v>
      </c>
      <c r="B658" t="s">
        <v>385</v>
      </c>
      <c r="C658" t="s">
        <v>16</v>
      </c>
      <c r="D658" t="s">
        <v>13</v>
      </c>
    </row>
    <row r="659" spans="1:4" x14ac:dyDescent="0.35">
      <c r="A659">
        <v>129</v>
      </c>
      <c r="B659" t="s">
        <v>167</v>
      </c>
      <c r="C659" t="s">
        <v>16</v>
      </c>
      <c r="D659" t="s">
        <v>13</v>
      </c>
    </row>
    <row r="660" spans="1:4" x14ac:dyDescent="0.35">
      <c r="A660">
        <v>129</v>
      </c>
      <c r="B660" t="s">
        <v>286</v>
      </c>
      <c r="C660" t="s">
        <v>16</v>
      </c>
      <c r="D660" t="s">
        <v>13</v>
      </c>
    </row>
    <row r="661" spans="1:4" x14ac:dyDescent="0.35">
      <c r="A661">
        <v>129</v>
      </c>
      <c r="B661" t="s">
        <v>420</v>
      </c>
      <c r="C661" t="s">
        <v>16</v>
      </c>
      <c r="D661" t="s">
        <v>13</v>
      </c>
    </row>
    <row r="662" spans="1:4" x14ac:dyDescent="0.35">
      <c r="A662">
        <v>129</v>
      </c>
      <c r="B662" t="s">
        <v>420</v>
      </c>
      <c r="C662" t="s">
        <v>101</v>
      </c>
      <c r="D662" t="s">
        <v>6</v>
      </c>
    </row>
    <row r="663" spans="1:4" x14ac:dyDescent="0.35">
      <c r="A663">
        <v>130</v>
      </c>
      <c r="B663" t="s">
        <v>547</v>
      </c>
      <c r="C663" t="s">
        <v>72</v>
      </c>
      <c r="D663" t="s">
        <v>13</v>
      </c>
    </row>
    <row r="664" spans="1:4" x14ac:dyDescent="0.35">
      <c r="A664">
        <v>130</v>
      </c>
      <c r="B664" t="s">
        <v>37</v>
      </c>
      <c r="C664" t="s">
        <v>35</v>
      </c>
      <c r="D664" t="s">
        <v>13</v>
      </c>
    </row>
    <row r="665" spans="1:4" x14ac:dyDescent="0.35">
      <c r="A665">
        <v>130</v>
      </c>
      <c r="B665" t="s">
        <v>551</v>
      </c>
      <c r="C665" t="s">
        <v>72</v>
      </c>
      <c r="D665" t="s">
        <v>13</v>
      </c>
    </row>
    <row r="666" spans="1:4" x14ac:dyDescent="0.35">
      <c r="A666">
        <v>130</v>
      </c>
      <c r="B666" t="s">
        <v>552</v>
      </c>
      <c r="C666" t="s">
        <v>72</v>
      </c>
      <c r="D666" t="s">
        <v>13</v>
      </c>
    </row>
    <row r="667" spans="1:4" x14ac:dyDescent="0.35">
      <c r="A667">
        <v>130</v>
      </c>
      <c r="B667" t="s">
        <v>553</v>
      </c>
      <c r="C667" t="s">
        <v>72</v>
      </c>
      <c r="D667" t="s">
        <v>13</v>
      </c>
    </row>
    <row r="668" spans="1:4" x14ac:dyDescent="0.35">
      <c r="A668">
        <v>130</v>
      </c>
      <c r="B668" t="s">
        <v>554</v>
      </c>
      <c r="C668" t="s">
        <v>72</v>
      </c>
      <c r="D668" t="s">
        <v>13</v>
      </c>
    </row>
    <row r="669" spans="1:4" x14ac:dyDescent="0.35">
      <c r="A669">
        <v>130</v>
      </c>
      <c r="B669" t="s">
        <v>555</v>
      </c>
      <c r="C669" t="s">
        <v>72</v>
      </c>
      <c r="D669" t="s">
        <v>13</v>
      </c>
    </row>
    <row r="670" spans="1:4" x14ac:dyDescent="0.35">
      <c r="A670">
        <v>131</v>
      </c>
      <c r="B670" t="s">
        <v>556</v>
      </c>
      <c r="C670" t="s">
        <v>101</v>
      </c>
      <c r="D670" t="s">
        <v>6</v>
      </c>
    </row>
    <row r="671" spans="1:4" x14ac:dyDescent="0.35">
      <c r="A671">
        <v>131</v>
      </c>
      <c r="B671" t="s">
        <v>557</v>
      </c>
      <c r="C671" t="s">
        <v>19</v>
      </c>
      <c r="D671" t="s">
        <v>13</v>
      </c>
    </row>
    <row r="672" spans="1:4" x14ac:dyDescent="0.35">
      <c r="A672">
        <v>131</v>
      </c>
      <c r="B672" t="s">
        <v>558</v>
      </c>
      <c r="C672" t="s">
        <v>101</v>
      </c>
      <c r="D672" t="s">
        <v>6</v>
      </c>
    </row>
    <row r="673" spans="1:4" x14ac:dyDescent="0.35">
      <c r="A673">
        <v>132</v>
      </c>
      <c r="B673" t="s">
        <v>559</v>
      </c>
      <c r="C673" t="s">
        <v>35</v>
      </c>
      <c r="D673" t="s">
        <v>13</v>
      </c>
    </row>
    <row r="674" spans="1:4" x14ac:dyDescent="0.35">
      <c r="A674">
        <v>132</v>
      </c>
      <c r="B674" t="s">
        <v>560</v>
      </c>
      <c r="C674" t="s">
        <v>45</v>
      </c>
      <c r="D674" t="s">
        <v>6</v>
      </c>
    </row>
    <row r="675" spans="1:4" x14ac:dyDescent="0.35">
      <c r="A675">
        <v>132</v>
      </c>
      <c r="B675" t="s">
        <v>561</v>
      </c>
      <c r="C675" t="s">
        <v>562</v>
      </c>
      <c r="D675" t="s">
        <v>13</v>
      </c>
    </row>
    <row r="676" spans="1:4" x14ac:dyDescent="0.35">
      <c r="A676">
        <v>132</v>
      </c>
      <c r="B676" t="s">
        <v>563</v>
      </c>
      <c r="C676" t="s">
        <v>45</v>
      </c>
      <c r="D676" t="s">
        <v>6</v>
      </c>
    </row>
    <row r="677" spans="1:4" x14ac:dyDescent="0.35">
      <c r="A677">
        <v>132</v>
      </c>
      <c r="B677" t="s">
        <v>564</v>
      </c>
      <c r="C677" t="s">
        <v>45</v>
      </c>
      <c r="D677" t="s">
        <v>6</v>
      </c>
    </row>
    <row r="678" spans="1:4" x14ac:dyDescent="0.35">
      <c r="A678">
        <v>132</v>
      </c>
      <c r="B678" t="s">
        <v>565</v>
      </c>
      <c r="C678" t="s">
        <v>45</v>
      </c>
      <c r="D678" t="s">
        <v>6</v>
      </c>
    </row>
    <row r="679" spans="1:4" x14ac:dyDescent="0.35">
      <c r="A679">
        <v>132</v>
      </c>
      <c r="B679" t="s">
        <v>566</v>
      </c>
      <c r="C679" t="s">
        <v>45</v>
      </c>
      <c r="D679" t="s">
        <v>6</v>
      </c>
    </row>
    <row r="680" spans="1:4" x14ac:dyDescent="0.35">
      <c r="A680">
        <v>133</v>
      </c>
      <c r="B680" t="s">
        <v>567</v>
      </c>
      <c r="C680" t="s">
        <v>157</v>
      </c>
      <c r="D680" t="s">
        <v>6</v>
      </c>
    </row>
    <row r="681" spans="1:4" x14ac:dyDescent="0.35">
      <c r="A681">
        <v>133</v>
      </c>
      <c r="B681" t="s">
        <v>568</v>
      </c>
      <c r="C681" t="s">
        <v>157</v>
      </c>
      <c r="D681" t="s">
        <v>6</v>
      </c>
    </row>
    <row r="682" spans="1:4" x14ac:dyDescent="0.35">
      <c r="A682">
        <v>133</v>
      </c>
      <c r="B682" t="s">
        <v>569</v>
      </c>
      <c r="C682" t="s">
        <v>19</v>
      </c>
      <c r="D682" t="s">
        <v>13</v>
      </c>
    </row>
    <row r="683" spans="1:4" x14ac:dyDescent="0.35">
      <c r="A683">
        <v>133</v>
      </c>
      <c r="B683" t="s">
        <v>570</v>
      </c>
      <c r="C683" t="s">
        <v>25</v>
      </c>
      <c r="D683" t="s">
        <v>13</v>
      </c>
    </row>
    <row r="684" spans="1:4" x14ac:dyDescent="0.35">
      <c r="A684">
        <v>134</v>
      </c>
      <c r="B684" t="s">
        <v>571</v>
      </c>
      <c r="C684" t="s">
        <v>72</v>
      </c>
      <c r="D684" t="s">
        <v>13</v>
      </c>
    </row>
    <row r="685" spans="1:4" x14ac:dyDescent="0.35">
      <c r="A685">
        <v>134</v>
      </c>
      <c r="B685" t="s">
        <v>572</v>
      </c>
      <c r="C685" t="s">
        <v>22</v>
      </c>
      <c r="D685" t="s">
        <v>13</v>
      </c>
    </row>
    <row r="686" spans="1:4" x14ac:dyDescent="0.35">
      <c r="A686">
        <v>134</v>
      </c>
      <c r="B686" t="s">
        <v>573</v>
      </c>
      <c r="C686" t="s">
        <v>22</v>
      </c>
      <c r="D686" t="s">
        <v>13</v>
      </c>
    </row>
    <row r="687" spans="1:4" x14ac:dyDescent="0.35">
      <c r="A687">
        <v>134</v>
      </c>
      <c r="B687" t="s">
        <v>574</v>
      </c>
      <c r="C687" t="s">
        <v>22</v>
      </c>
      <c r="D687" t="s">
        <v>13</v>
      </c>
    </row>
    <row r="688" spans="1:4" x14ac:dyDescent="0.35">
      <c r="A688">
        <v>135</v>
      </c>
      <c r="B688" t="s">
        <v>575</v>
      </c>
      <c r="C688" t="s">
        <v>16</v>
      </c>
      <c r="D688" t="s">
        <v>13</v>
      </c>
    </row>
    <row r="689" spans="1:4" x14ac:dyDescent="0.35">
      <c r="A689">
        <v>135</v>
      </c>
      <c r="B689" t="s">
        <v>576</v>
      </c>
      <c r="C689" t="s">
        <v>16</v>
      </c>
      <c r="D689" t="s">
        <v>13</v>
      </c>
    </row>
    <row r="690" spans="1:4" x14ac:dyDescent="0.35">
      <c r="A690">
        <v>136</v>
      </c>
      <c r="B690" t="s">
        <v>577</v>
      </c>
      <c r="C690" t="s">
        <v>231</v>
      </c>
      <c r="D690" t="s">
        <v>6</v>
      </c>
    </row>
    <row r="691" spans="1:4" x14ac:dyDescent="0.35">
      <c r="A691">
        <v>136</v>
      </c>
      <c r="B691" t="s">
        <v>578</v>
      </c>
      <c r="C691" t="s">
        <v>231</v>
      </c>
      <c r="D691" t="s">
        <v>6</v>
      </c>
    </row>
    <row r="692" spans="1:4" x14ac:dyDescent="0.35">
      <c r="A692">
        <v>136</v>
      </c>
      <c r="B692" t="s">
        <v>579</v>
      </c>
      <c r="C692" t="s">
        <v>231</v>
      </c>
      <c r="D692" t="s">
        <v>6</v>
      </c>
    </row>
    <row r="693" spans="1:4" x14ac:dyDescent="0.35">
      <c r="A693">
        <v>136</v>
      </c>
      <c r="B693" t="s">
        <v>580</v>
      </c>
      <c r="C693" t="s">
        <v>231</v>
      </c>
      <c r="D693" t="s">
        <v>6</v>
      </c>
    </row>
    <row r="694" spans="1:4" x14ac:dyDescent="0.35">
      <c r="A694">
        <v>137</v>
      </c>
      <c r="B694" t="s">
        <v>581</v>
      </c>
      <c r="C694" t="s">
        <v>157</v>
      </c>
      <c r="D694" t="s">
        <v>6</v>
      </c>
    </row>
    <row r="695" spans="1:4" x14ac:dyDescent="0.35">
      <c r="A695">
        <v>137</v>
      </c>
      <c r="B695" t="s">
        <v>582</v>
      </c>
      <c r="C695" t="s">
        <v>157</v>
      </c>
      <c r="D695" t="s">
        <v>6</v>
      </c>
    </row>
    <row r="696" spans="1:4" x14ac:dyDescent="0.35">
      <c r="A696">
        <v>137</v>
      </c>
      <c r="B696" t="s">
        <v>583</v>
      </c>
      <c r="C696" t="s">
        <v>157</v>
      </c>
      <c r="D696" t="s">
        <v>6</v>
      </c>
    </row>
    <row r="697" spans="1:4" x14ac:dyDescent="0.35">
      <c r="A697">
        <v>138</v>
      </c>
      <c r="B697" t="s">
        <v>584</v>
      </c>
      <c r="C697" t="s">
        <v>231</v>
      </c>
      <c r="D697" t="s">
        <v>6</v>
      </c>
    </row>
    <row r="698" spans="1:4" x14ac:dyDescent="0.35">
      <c r="A698">
        <v>138</v>
      </c>
      <c r="B698" t="s">
        <v>585</v>
      </c>
      <c r="C698" t="s">
        <v>586</v>
      </c>
      <c r="D698" t="s">
        <v>13</v>
      </c>
    </row>
    <row r="699" spans="1:4" x14ac:dyDescent="0.35">
      <c r="A699">
        <v>138</v>
      </c>
      <c r="B699" t="s">
        <v>585</v>
      </c>
      <c r="C699" t="s">
        <v>231</v>
      </c>
      <c r="D699" t="s">
        <v>6</v>
      </c>
    </row>
    <row r="700" spans="1:4" x14ac:dyDescent="0.35">
      <c r="A700">
        <v>138</v>
      </c>
      <c r="B700" t="s">
        <v>421</v>
      </c>
      <c r="C700" t="s">
        <v>231</v>
      </c>
      <c r="D700" t="s">
        <v>6</v>
      </c>
    </row>
    <row r="701" spans="1:4" x14ac:dyDescent="0.35">
      <c r="A701">
        <v>138</v>
      </c>
      <c r="B701" t="s">
        <v>587</v>
      </c>
      <c r="C701" t="s">
        <v>231</v>
      </c>
      <c r="D701" t="s">
        <v>6</v>
      </c>
    </row>
    <row r="702" spans="1:4" x14ac:dyDescent="0.35">
      <c r="A702">
        <v>138</v>
      </c>
      <c r="B702" t="s">
        <v>422</v>
      </c>
      <c r="C702" t="s">
        <v>231</v>
      </c>
      <c r="D702" t="s">
        <v>6</v>
      </c>
    </row>
    <row r="703" spans="1:4" x14ac:dyDescent="0.35">
      <c r="A703">
        <v>138</v>
      </c>
      <c r="B703" t="s">
        <v>588</v>
      </c>
      <c r="C703" t="s">
        <v>231</v>
      </c>
      <c r="D703" t="s">
        <v>6</v>
      </c>
    </row>
    <row r="704" spans="1:4" x14ac:dyDescent="0.35">
      <c r="A704">
        <v>139</v>
      </c>
      <c r="B704" t="s">
        <v>589</v>
      </c>
      <c r="C704" t="s">
        <v>22</v>
      </c>
      <c r="D704" t="s">
        <v>13</v>
      </c>
    </row>
    <row r="705" spans="1:4" x14ac:dyDescent="0.35">
      <c r="A705">
        <v>139</v>
      </c>
      <c r="B705" t="s">
        <v>590</v>
      </c>
      <c r="C705" t="s">
        <v>22</v>
      </c>
      <c r="D705" t="s">
        <v>13</v>
      </c>
    </row>
    <row r="706" spans="1:4" x14ac:dyDescent="0.35">
      <c r="A706">
        <v>139</v>
      </c>
      <c r="B706" t="s">
        <v>591</v>
      </c>
      <c r="C706" t="s">
        <v>22</v>
      </c>
      <c r="D706" t="s">
        <v>13</v>
      </c>
    </row>
    <row r="707" spans="1:4" x14ac:dyDescent="0.35">
      <c r="A707">
        <v>139</v>
      </c>
      <c r="B707" t="s">
        <v>580</v>
      </c>
      <c r="C707" t="s">
        <v>231</v>
      </c>
      <c r="D707" t="s">
        <v>6</v>
      </c>
    </row>
    <row r="708" spans="1:4" x14ac:dyDescent="0.35">
      <c r="A708">
        <v>139</v>
      </c>
      <c r="B708" t="s">
        <v>592</v>
      </c>
      <c r="C708" t="s">
        <v>22</v>
      </c>
      <c r="D708" t="s">
        <v>13</v>
      </c>
    </row>
    <row r="709" spans="1:4" x14ac:dyDescent="0.35">
      <c r="A709">
        <v>140</v>
      </c>
      <c r="B709" t="s">
        <v>593</v>
      </c>
      <c r="C709" t="s">
        <v>144</v>
      </c>
      <c r="D709" t="s">
        <v>13</v>
      </c>
    </row>
    <row r="710" spans="1:4" x14ac:dyDescent="0.35">
      <c r="A710">
        <v>140</v>
      </c>
      <c r="B710" t="s">
        <v>593</v>
      </c>
      <c r="C710" t="s">
        <v>189</v>
      </c>
      <c r="D710" t="s">
        <v>6</v>
      </c>
    </row>
    <row r="711" spans="1:4" x14ac:dyDescent="0.35">
      <c r="A711">
        <v>140</v>
      </c>
      <c r="B711" t="s">
        <v>594</v>
      </c>
      <c r="C711" t="s">
        <v>22</v>
      </c>
      <c r="D711" t="s">
        <v>13</v>
      </c>
    </row>
    <row r="712" spans="1:4" x14ac:dyDescent="0.35">
      <c r="A712">
        <v>140</v>
      </c>
      <c r="B712" t="s">
        <v>595</v>
      </c>
      <c r="C712" t="s">
        <v>22</v>
      </c>
      <c r="D712" t="s">
        <v>13</v>
      </c>
    </row>
    <row r="713" spans="1:4" x14ac:dyDescent="0.35">
      <c r="A713">
        <v>140</v>
      </c>
      <c r="B713" t="s">
        <v>596</v>
      </c>
      <c r="C713" t="s">
        <v>144</v>
      </c>
      <c r="D713" t="s">
        <v>13</v>
      </c>
    </row>
    <row r="714" spans="1:4" x14ac:dyDescent="0.35">
      <c r="A714">
        <v>141</v>
      </c>
      <c r="B714" t="s">
        <v>597</v>
      </c>
      <c r="C714" t="s">
        <v>45</v>
      </c>
      <c r="D714" t="s">
        <v>6</v>
      </c>
    </row>
    <row r="715" spans="1:4" x14ac:dyDescent="0.35">
      <c r="A715">
        <v>141</v>
      </c>
      <c r="B715" t="s">
        <v>598</v>
      </c>
      <c r="C715" t="s">
        <v>45</v>
      </c>
      <c r="D715" t="s">
        <v>6</v>
      </c>
    </row>
    <row r="716" spans="1:4" x14ac:dyDescent="0.35">
      <c r="A716">
        <v>141</v>
      </c>
      <c r="B716" t="s">
        <v>598</v>
      </c>
      <c r="C716" t="s">
        <v>19</v>
      </c>
      <c r="D716" t="s">
        <v>13</v>
      </c>
    </row>
    <row r="717" spans="1:4" x14ac:dyDescent="0.35">
      <c r="A717">
        <v>141</v>
      </c>
      <c r="B717" t="s">
        <v>599</v>
      </c>
      <c r="C717" t="s">
        <v>45</v>
      </c>
      <c r="D717" t="s">
        <v>6</v>
      </c>
    </row>
    <row r="718" spans="1:4" x14ac:dyDescent="0.35">
      <c r="A718">
        <v>141</v>
      </c>
      <c r="B718" t="s">
        <v>600</v>
      </c>
      <c r="C718" t="s">
        <v>45</v>
      </c>
      <c r="D718" t="s">
        <v>6</v>
      </c>
    </row>
    <row r="719" spans="1:4" x14ac:dyDescent="0.35">
      <c r="A719">
        <v>141</v>
      </c>
      <c r="B719" t="s">
        <v>601</v>
      </c>
      <c r="C719" t="s">
        <v>45</v>
      </c>
      <c r="D719" t="s">
        <v>6</v>
      </c>
    </row>
    <row r="720" spans="1:4" x14ac:dyDescent="0.35">
      <c r="A720">
        <v>142</v>
      </c>
      <c r="B720" t="s">
        <v>602</v>
      </c>
      <c r="C720" t="s">
        <v>16</v>
      </c>
      <c r="D720" t="s">
        <v>13</v>
      </c>
    </row>
    <row r="721" spans="1:4" x14ac:dyDescent="0.35">
      <c r="A721">
        <v>142</v>
      </c>
      <c r="B721" t="s">
        <v>602</v>
      </c>
      <c r="C721" t="s">
        <v>189</v>
      </c>
      <c r="D721" t="s">
        <v>6</v>
      </c>
    </row>
    <row r="722" spans="1:4" x14ac:dyDescent="0.35">
      <c r="A722">
        <v>142</v>
      </c>
      <c r="B722" t="s">
        <v>603</v>
      </c>
      <c r="C722" t="s">
        <v>16</v>
      </c>
      <c r="D722" t="s">
        <v>13</v>
      </c>
    </row>
    <row r="723" spans="1:4" x14ac:dyDescent="0.35">
      <c r="A723">
        <v>142</v>
      </c>
      <c r="B723" t="s">
        <v>604</v>
      </c>
      <c r="C723" t="s">
        <v>16</v>
      </c>
      <c r="D723" t="s">
        <v>13</v>
      </c>
    </row>
    <row r="724" spans="1:4" x14ac:dyDescent="0.35">
      <c r="A724">
        <v>142</v>
      </c>
      <c r="B724" t="s">
        <v>605</v>
      </c>
      <c r="C724" t="s">
        <v>16</v>
      </c>
      <c r="D724" t="s">
        <v>13</v>
      </c>
    </row>
    <row r="725" spans="1:4" x14ac:dyDescent="0.35">
      <c r="A725">
        <v>143</v>
      </c>
      <c r="B725" t="s">
        <v>606</v>
      </c>
      <c r="C725" t="s">
        <v>231</v>
      </c>
      <c r="D725" t="s">
        <v>6</v>
      </c>
    </row>
    <row r="726" spans="1:4" x14ac:dyDescent="0.35">
      <c r="A726">
        <v>143</v>
      </c>
      <c r="B726" t="s">
        <v>607</v>
      </c>
      <c r="C726" t="s">
        <v>231</v>
      </c>
      <c r="D726" t="s">
        <v>6</v>
      </c>
    </row>
    <row r="727" spans="1:4" x14ac:dyDescent="0.35">
      <c r="A727">
        <v>143</v>
      </c>
      <c r="B727" t="s">
        <v>608</v>
      </c>
      <c r="C727" t="s">
        <v>231</v>
      </c>
      <c r="D727" t="s">
        <v>6</v>
      </c>
    </row>
    <row r="728" spans="1:4" x14ac:dyDescent="0.35">
      <c r="A728">
        <v>143</v>
      </c>
      <c r="B728" t="s">
        <v>609</v>
      </c>
      <c r="C728" t="s">
        <v>93</v>
      </c>
      <c r="D728" t="s">
        <v>13</v>
      </c>
    </row>
    <row r="729" spans="1:4" x14ac:dyDescent="0.35">
      <c r="A729">
        <v>143</v>
      </c>
      <c r="B729" t="s">
        <v>357</v>
      </c>
      <c r="C729" t="s">
        <v>231</v>
      </c>
      <c r="D729" t="s">
        <v>6</v>
      </c>
    </row>
    <row r="730" spans="1:4" x14ac:dyDescent="0.35">
      <c r="A730">
        <v>143</v>
      </c>
      <c r="B730" t="s">
        <v>610</v>
      </c>
      <c r="C730" t="s">
        <v>281</v>
      </c>
      <c r="D730" t="s">
        <v>13</v>
      </c>
    </row>
    <row r="731" spans="1:4" x14ac:dyDescent="0.35">
      <c r="A731">
        <v>143</v>
      </c>
      <c r="B731" t="s">
        <v>611</v>
      </c>
      <c r="C731" t="s">
        <v>231</v>
      </c>
      <c r="D731" t="s">
        <v>6</v>
      </c>
    </row>
    <row r="732" spans="1:4" x14ac:dyDescent="0.35">
      <c r="A732">
        <v>143</v>
      </c>
      <c r="B732" t="s">
        <v>230</v>
      </c>
      <c r="C732" t="s">
        <v>231</v>
      </c>
      <c r="D732" t="s">
        <v>6</v>
      </c>
    </row>
    <row r="733" spans="1:4" x14ac:dyDescent="0.35">
      <c r="A733">
        <v>143</v>
      </c>
      <c r="B733" t="s">
        <v>612</v>
      </c>
      <c r="C733" t="s">
        <v>231</v>
      </c>
      <c r="D733" t="s">
        <v>6</v>
      </c>
    </row>
    <row r="734" spans="1:4" x14ac:dyDescent="0.35">
      <c r="A734">
        <v>144</v>
      </c>
      <c r="B734" t="s">
        <v>613</v>
      </c>
      <c r="C734" t="s">
        <v>93</v>
      </c>
      <c r="D734" t="s">
        <v>13</v>
      </c>
    </row>
    <row r="735" spans="1:4" x14ac:dyDescent="0.35">
      <c r="A735">
        <v>144</v>
      </c>
      <c r="B735" t="s">
        <v>614</v>
      </c>
      <c r="C735" t="s">
        <v>93</v>
      </c>
      <c r="D735" t="s">
        <v>13</v>
      </c>
    </row>
    <row r="736" spans="1:4" x14ac:dyDescent="0.35">
      <c r="A736">
        <v>144</v>
      </c>
      <c r="B736" t="s">
        <v>614</v>
      </c>
      <c r="C736" t="s">
        <v>48</v>
      </c>
      <c r="D736" t="s">
        <v>13</v>
      </c>
    </row>
    <row r="737" spans="1:4" x14ac:dyDescent="0.35">
      <c r="A737">
        <v>144</v>
      </c>
      <c r="B737" t="s">
        <v>615</v>
      </c>
      <c r="C737" t="s">
        <v>93</v>
      </c>
      <c r="D737" t="s">
        <v>13</v>
      </c>
    </row>
    <row r="738" spans="1:4" x14ac:dyDescent="0.35">
      <c r="A738">
        <v>144</v>
      </c>
      <c r="B738" t="s">
        <v>616</v>
      </c>
      <c r="C738" t="s">
        <v>93</v>
      </c>
      <c r="D738" t="s">
        <v>13</v>
      </c>
    </row>
    <row r="739" spans="1:4" x14ac:dyDescent="0.35">
      <c r="A739">
        <v>144</v>
      </c>
      <c r="B739" t="s">
        <v>617</v>
      </c>
      <c r="C739" t="s">
        <v>93</v>
      </c>
      <c r="D739" t="s">
        <v>13</v>
      </c>
    </row>
    <row r="740" spans="1:4" x14ac:dyDescent="0.35">
      <c r="A740">
        <v>144</v>
      </c>
      <c r="B740" t="s">
        <v>230</v>
      </c>
      <c r="C740" t="s">
        <v>231</v>
      </c>
      <c r="D740" t="s">
        <v>6</v>
      </c>
    </row>
    <row r="741" spans="1:4" x14ac:dyDescent="0.35">
      <c r="A741">
        <v>145</v>
      </c>
      <c r="B741" t="s">
        <v>618</v>
      </c>
      <c r="C741" t="s">
        <v>72</v>
      </c>
      <c r="D741" t="s">
        <v>13</v>
      </c>
    </row>
    <row r="742" spans="1:4" x14ac:dyDescent="0.35">
      <c r="A742">
        <v>145</v>
      </c>
      <c r="B742" t="s">
        <v>619</v>
      </c>
      <c r="C742" t="s">
        <v>72</v>
      </c>
      <c r="D742" t="s">
        <v>13</v>
      </c>
    </row>
    <row r="743" spans="1:4" x14ac:dyDescent="0.35">
      <c r="A743">
        <v>146</v>
      </c>
      <c r="B743" t="s">
        <v>620</v>
      </c>
      <c r="C743" t="s">
        <v>5</v>
      </c>
      <c r="D743" t="s">
        <v>6</v>
      </c>
    </row>
    <row r="744" spans="1:4" x14ac:dyDescent="0.35">
      <c r="A744">
        <v>146</v>
      </c>
      <c r="B744" t="s">
        <v>402</v>
      </c>
      <c r="C744" t="s">
        <v>22</v>
      </c>
      <c r="D744" t="s">
        <v>13</v>
      </c>
    </row>
    <row r="745" spans="1:4" x14ac:dyDescent="0.35">
      <c r="A745">
        <v>146</v>
      </c>
      <c r="B745" t="s">
        <v>621</v>
      </c>
      <c r="C745" t="s">
        <v>22</v>
      </c>
      <c r="D745" t="s">
        <v>13</v>
      </c>
    </row>
    <row r="746" spans="1:4" x14ac:dyDescent="0.35">
      <c r="A746">
        <v>146</v>
      </c>
      <c r="B746" t="s">
        <v>622</v>
      </c>
      <c r="C746" t="s">
        <v>22</v>
      </c>
      <c r="D746" t="s">
        <v>13</v>
      </c>
    </row>
    <row r="747" spans="1:4" x14ac:dyDescent="0.35">
      <c r="A747">
        <v>147</v>
      </c>
      <c r="B747" t="s">
        <v>623</v>
      </c>
      <c r="C747" t="s">
        <v>22</v>
      </c>
      <c r="D747" t="s">
        <v>13</v>
      </c>
    </row>
    <row r="748" spans="1:4" x14ac:dyDescent="0.35">
      <c r="A748">
        <v>147</v>
      </c>
      <c r="B748" t="s">
        <v>623</v>
      </c>
      <c r="C748" t="s">
        <v>101</v>
      </c>
      <c r="D748" t="s">
        <v>6</v>
      </c>
    </row>
    <row r="749" spans="1:4" x14ac:dyDescent="0.35">
      <c r="A749">
        <v>147</v>
      </c>
      <c r="B749" t="s">
        <v>384</v>
      </c>
      <c r="C749" t="s">
        <v>101</v>
      </c>
      <c r="D749" t="s">
        <v>6</v>
      </c>
    </row>
    <row r="750" spans="1:4" x14ac:dyDescent="0.35">
      <c r="A750">
        <v>147</v>
      </c>
      <c r="B750" t="s">
        <v>624</v>
      </c>
      <c r="C750" t="s">
        <v>22</v>
      </c>
      <c r="D750" t="s">
        <v>13</v>
      </c>
    </row>
    <row r="751" spans="1:4" x14ac:dyDescent="0.35">
      <c r="A751">
        <v>147</v>
      </c>
      <c r="B751" t="s">
        <v>624</v>
      </c>
      <c r="C751" t="s">
        <v>101</v>
      </c>
      <c r="D751" t="s">
        <v>6</v>
      </c>
    </row>
    <row r="752" spans="1:4" x14ac:dyDescent="0.35">
      <c r="A752">
        <v>147</v>
      </c>
      <c r="B752" t="s">
        <v>305</v>
      </c>
      <c r="C752" t="s">
        <v>101</v>
      </c>
      <c r="D752" t="s">
        <v>6</v>
      </c>
    </row>
    <row r="753" spans="1:4" x14ac:dyDescent="0.35">
      <c r="A753">
        <v>147</v>
      </c>
      <c r="B753" t="s">
        <v>625</v>
      </c>
      <c r="C753" t="s">
        <v>101</v>
      </c>
      <c r="D753" t="s">
        <v>6</v>
      </c>
    </row>
    <row r="754" spans="1:4" x14ac:dyDescent="0.35">
      <c r="A754">
        <v>147</v>
      </c>
      <c r="B754" t="s">
        <v>626</v>
      </c>
      <c r="C754" t="s">
        <v>22</v>
      </c>
      <c r="D754" t="s">
        <v>13</v>
      </c>
    </row>
    <row r="755" spans="1:4" x14ac:dyDescent="0.35">
      <c r="A755">
        <v>148</v>
      </c>
      <c r="B755" t="s">
        <v>627</v>
      </c>
      <c r="C755" t="s">
        <v>517</v>
      </c>
      <c r="D755" t="s">
        <v>13</v>
      </c>
    </row>
    <row r="756" spans="1:4" x14ac:dyDescent="0.35">
      <c r="A756">
        <v>148</v>
      </c>
      <c r="B756" t="s">
        <v>628</v>
      </c>
      <c r="C756" t="s">
        <v>72</v>
      </c>
      <c r="D756" t="s">
        <v>13</v>
      </c>
    </row>
    <row r="757" spans="1:4" x14ac:dyDescent="0.35">
      <c r="A757">
        <v>148</v>
      </c>
      <c r="B757" t="s">
        <v>629</v>
      </c>
      <c r="C757" t="s">
        <v>72</v>
      </c>
      <c r="D757" t="s">
        <v>13</v>
      </c>
    </row>
    <row r="758" spans="1:4" x14ac:dyDescent="0.35">
      <c r="A758">
        <v>148</v>
      </c>
      <c r="B758" t="s">
        <v>630</v>
      </c>
      <c r="C758" t="s">
        <v>72</v>
      </c>
      <c r="D758" t="s">
        <v>13</v>
      </c>
    </row>
    <row r="759" spans="1:4" x14ac:dyDescent="0.35">
      <c r="A759">
        <v>148</v>
      </c>
      <c r="B759" t="s">
        <v>631</v>
      </c>
      <c r="C759" t="s">
        <v>5</v>
      </c>
      <c r="D759" t="s">
        <v>6</v>
      </c>
    </row>
    <row r="760" spans="1:4" x14ac:dyDescent="0.35">
      <c r="A760">
        <v>149</v>
      </c>
      <c r="B760" t="s">
        <v>632</v>
      </c>
      <c r="C760" t="s">
        <v>231</v>
      </c>
      <c r="D760" t="s">
        <v>6</v>
      </c>
    </row>
    <row r="761" spans="1:4" x14ac:dyDescent="0.35">
      <c r="A761">
        <v>149</v>
      </c>
      <c r="B761" t="s">
        <v>633</v>
      </c>
      <c r="C761" t="s">
        <v>164</v>
      </c>
      <c r="D761" t="s">
        <v>13</v>
      </c>
    </row>
    <row r="762" spans="1:4" x14ac:dyDescent="0.35">
      <c r="A762">
        <v>149</v>
      </c>
      <c r="B762" t="s">
        <v>634</v>
      </c>
      <c r="C762" t="s">
        <v>231</v>
      </c>
      <c r="D762" t="s">
        <v>6</v>
      </c>
    </row>
    <row r="763" spans="1:4" x14ac:dyDescent="0.35">
      <c r="A763">
        <v>149</v>
      </c>
      <c r="B763" t="s">
        <v>635</v>
      </c>
      <c r="C763" t="s">
        <v>231</v>
      </c>
      <c r="D763" t="s">
        <v>6</v>
      </c>
    </row>
    <row r="764" spans="1:4" x14ac:dyDescent="0.35">
      <c r="A764">
        <v>149</v>
      </c>
      <c r="B764" t="s">
        <v>635</v>
      </c>
      <c r="C764" t="s">
        <v>164</v>
      </c>
      <c r="D764" t="s">
        <v>13</v>
      </c>
    </row>
    <row r="765" spans="1:4" x14ac:dyDescent="0.35">
      <c r="A765">
        <v>149</v>
      </c>
      <c r="B765" t="s">
        <v>636</v>
      </c>
      <c r="C765" t="s">
        <v>231</v>
      </c>
      <c r="D765" t="s">
        <v>6</v>
      </c>
    </row>
    <row r="766" spans="1:4" x14ac:dyDescent="0.35">
      <c r="A766">
        <v>150</v>
      </c>
      <c r="B766" t="s">
        <v>637</v>
      </c>
      <c r="C766" t="s">
        <v>189</v>
      </c>
      <c r="D766" t="s">
        <v>6</v>
      </c>
    </row>
    <row r="767" spans="1:4" x14ac:dyDescent="0.35">
      <c r="A767">
        <v>150</v>
      </c>
      <c r="B767" t="s">
        <v>638</v>
      </c>
      <c r="C767" t="s">
        <v>189</v>
      </c>
      <c r="D767" t="s">
        <v>6</v>
      </c>
    </row>
    <row r="768" spans="1:4" x14ac:dyDescent="0.35">
      <c r="A768">
        <v>150</v>
      </c>
      <c r="B768" t="s">
        <v>639</v>
      </c>
      <c r="C768" t="s">
        <v>189</v>
      </c>
      <c r="D768" t="s">
        <v>6</v>
      </c>
    </row>
    <row r="769" spans="1:4" x14ac:dyDescent="0.35">
      <c r="A769">
        <v>150</v>
      </c>
      <c r="B769" t="s">
        <v>640</v>
      </c>
      <c r="C769" t="s">
        <v>189</v>
      </c>
      <c r="D769" t="s">
        <v>6</v>
      </c>
    </row>
    <row r="770" spans="1:4" x14ac:dyDescent="0.35">
      <c r="A770">
        <v>150</v>
      </c>
      <c r="B770" t="s">
        <v>641</v>
      </c>
      <c r="C770" t="s">
        <v>189</v>
      </c>
      <c r="D770" t="s">
        <v>6</v>
      </c>
    </row>
    <row r="771" spans="1:4" x14ac:dyDescent="0.35">
      <c r="A771">
        <v>150</v>
      </c>
      <c r="B771" t="s">
        <v>642</v>
      </c>
      <c r="C771" t="s">
        <v>189</v>
      </c>
      <c r="D771" t="s">
        <v>6</v>
      </c>
    </row>
    <row r="772" spans="1:4" x14ac:dyDescent="0.35">
      <c r="A772">
        <v>150</v>
      </c>
      <c r="B772" t="s">
        <v>643</v>
      </c>
      <c r="C772" t="s">
        <v>189</v>
      </c>
      <c r="D772" t="s">
        <v>6</v>
      </c>
    </row>
    <row r="773" spans="1:4" x14ac:dyDescent="0.35">
      <c r="A773">
        <v>150</v>
      </c>
      <c r="B773" t="s">
        <v>644</v>
      </c>
      <c r="C773" t="s">
        <v>189</v>
      </c>
      <c r="D773" t="s">
        <v>6</v>
      </c>
    </row>
    <row r="774" spans="1:4" x14ac:dyDescent="0.35">
      <c r="A774">
        <v>150</v>
      </c>
      <c r="B774" t="s">
        <v>645</v>
      </c>
      <c r="C774" t="s">
        <v>189</v>
      </c>
      <c r="D774" t="s">
        <v>6</v>
      </c>
    </row>
    <row r="775" spans="1:4" x14ac:dyDescent="0.35">
      <c r="A775">
        <v>151</v>
      </c>
      <c r="B775" t="s">
        <v>356</v>
      </c>
      <c r="C775" t="s">
        <v>231</v>
      </c>
      <c r="D775" t="s">
        <v>6</v>
      </c>
    </row>
    <row r="776" spans="1:4" x14ac:dyDescent="0.35">
      <c r="A776">
        <v>151</v>
      </c>
      <c r="B776" t="s">
        <v>545</v>
      </c>
      <c r="C776" t="s">
        <v>231</v>
      </c>
      <c r="D776" t="s">
        <v>6</v>
      </c>
    </row>
    <row r="777" spans="1:4" x14ac:dyDescent="0.35">
      <c r="A777">
        <v>151</v>
      </c>
      <c r="B777" t="s">
        <v>357</v>
      </c>
      <c r="C777" t="s">
        <v>231</v>
      </c>
      <c r="D777" t="s">
        <v>6</v>
      </c>
    </row>
    <row r="778" spans="1:4" x14ac:dyDescent="0.35">
      <c r="A778">
        <v>151</v>
      </c>
      <c r="B778" t="s">
        <v>276</v>
      </c>
      <c r="C778" t="s">
        <v>16</v>
      </c>
      <c r="D778" t="s">
        <v>13</v>
      </c>
    </row>
    <row r="779" spans="1:4" x14ac:dyDescent="0.35">
      <c r="A779">
        <v>151</v>
      </c>
      <c r="B779" t="s">
        <v>277</v>
      </c>
      <c r="C779" t="s">
        <v>16</v>
      </c>
      <c r="D779" t="s">
        <v>13</v>
      </c>
    </row>
    <row r="780" spans="1:4" x14ac:dyDescent="0.35">
      <c r="A780">
        <v>151</v>
      </c>
      <c r="B780" t="s">
        <v>360</v>
      </c>
      <c r="C780" t="s">
        <v>5</v>
      </c>
      <c r="D780" t="s">
        <v>6</v>
      </c>
    </row>
    <row r="781" spans="1:4" x14ac:dyDescent="0.35">
      <c r="A781">
        <v>151</v>
      </c>
      <c r="B781" t="s">
        <v>360</v>
      </c>
      <c r="C781" t="s">
        <v>231</v>
      </c>
      <c r="D781" t="s">
        <v>6</v>
      </c>
    </row>
    <row r="782" spans="1:4" x14ac:dyDescent="0.35">
      <c r="A782">
        <v>152</v>
      </c>
      <c r="B782" t="s">
        <v>646</v>
      </c>
      <c r="C782" t="s">
        <v>189</v>
      </c>
      <c r="D782" t="s">
        <v>6</v>
      </c>
    </row>
    <row r="783" spans="1:4" x14ac:dyDescent="0.35">
      <c r="A783">
        <v>152</v>
      </c>
      <c r="B783" t="s">
        <v>647</v>
      </c>
      <c r="C783" t="s">
        <v>189</v>
      </c>
      <c r="D783" t="s">
        <v>6</v>
      </c>
    </row>
    <row r="784" spans="1:4" x14ac:dyDescent="0.35">
      <c r="A784">
        <v>152</v>
      </c>
      <c r="B784" t="s">
        <v>648</v>
      </c>
      <c r="C784" t="s">
        <v>189</v>
      </c>
      <c r="D784" t="s">
        <v>6</v>
      </c>
    </row>
    <row r="785" spans="1:4" x14ac:dyDescent="0.35">
      <c r="A785">
        <v>152</v>
      </c>
      <c r="B785" t="s">
        <v>649</v>
      </c>
      <c r="C785" t="s">
        <v>19</v>
      </c>
      <c r="D785" t="s">
        <v>13</v>
      </c>
    </row>
    <row r="786" spans="1:4" x14ac:dyDescent="0.35">
      <c r="A786">
        <v>152</v>
      </c>
      <c r="B786" t="s">
        <v>650</v>
      </c>
      <c r="C786" t="s">
        <v>189</v>
      </c>
      <c r="D786" t="s">
        <v>6</v>
      </c>
    </row>
    <row r="787" spans="1:4" x14ac:dyDescent="0.35">
      <c r="A787">
        <v>152</v>
      </c>
      <c r="B787" t="s">
        <v>651</v>
      </c>
      <c r="C787" t="s">
        <v>93</v>
      </c>
      <c r="D787" t="s">
        <v>13</v>
      </c>
    </row>
    <row r="788" spans="1:4" x14ac:dyDescent="0.35">
      <c r="A788">
        <v>152</v>
      </c>
      <c r="B788" t="s">
        <v>652</v>
      </c>
      <c r="C788" t="s">
        <v>93</v>
      </c>
      <c r="D788" t="s">
        <v>13</v>
      </c>
    </row>
    <row r="789" spans="1:4" x14ac:dyDescent="0.35">
      <c r="A789">
        <v>152</v>
      </c>
      <c r="B789" t="s">
        <v>653</v>
      </c>
      <c r="C789" t="s">
        <v>189</v>
      </c>
      <c r="D789" t="s">
        <v>6</v>
      </c>
    </row>
    <row r="790" spans="1:4" x14ac:dyDescent="0.35">
      <c r="A790">
        <v>152</v>
      </c>
      <c r="B790" t="s">
        <v>654</v>
      </c>
      <c r="C790" t="s">
        <v>189</v>
      </c>
      <c r="D790" t="s">
        <v>6</v>
      </c>
    </row>
    <row r="791" spans="1:4" x14ac:dyDescent="0.35">
      <c r="A791">
        <v>152</v>
      </c>
      <c r="B791" t="s">
        <v>655</v>
      </c>
      <c r="C791" t="s">
        <v>189</v>
      </c>
      <c r="D791" t="s">
        <v>6</v>
      </c>
    </row>
    <row r="792" spans="1:4" x14ac:dyDescent="0.35">
      <c r="A792">
        <v>152</v>
      </c>
      <c r="B792" t="s">
        <v>656</v>
      </c>
      <c r="C792" t="s">
        <v>189</v>
      </c>
      <c r="D792" t="s">
        <v>6</v>
      </c>
    </row>
    <row r="793" spans="1:4" x14ac:dyDescent="0.35">
      <c r="A793">
        <v>152</v>
      </c>
      <c r="B793" t="s">
        <v>657</v>
      </c>
      <c r="C793" t="s">
        <v>189</v>
      </c>
      <c r="D793" t="s">
        <v>6</v>
      </c>
    </row>
    <row r="794" spans="1:4" x14ac:dyDescent="0.35">
      <c r="A794">
        <v>152</v>
      </c>
      <c r="B794" t="s">
        <v>658</v>
      </c>
      <c r="C794" t="s">
        <v>93</v>
      </c>
      <c r="D794" t="s">
        <v>13</v>
      </c>
    </row>
    <row r="795" spans="1:4" x14ac:dyDescent="0.35">
      <c r="A795">
        <v>152</v>
      </c>
      <c r="B795" t="s">
        <v>659</v>
      </c>
      <c r="C795" t="s">
        <v>189</v>
      </c>
      <c r="D795" t="s">
        <v>6</v>
      </c>
    </row>
    <row r="796" spans="1:4" x14ac:dyDescent="0.35">
      <c r="A796">
        <v>152</v>
      </c>
      <c r="B796" t="s">
        <v>660</v>
      </c>
      <c r="C796" t="s">
        <v>189</v>
      </c>
      <c r="D796" t="s">
        <v>6</v>
      </c>
    </row>
    <row r="797" spans="1:4" x14ac:dyDescent="0.35">
      <c r="A797">
        <v>152</v>
      </c>
      <c r="B797" t="s">
        <v>661</v>
      </c>
      <c r="C797" t="s">
        <v>189</v>
      </c>
      <c r="D797" t="s">
        <v>6</v>
      </c>
    </row>
    <row r="798" spans="1:4" x14ac:dyDescent="0.35">
      <c r="A798">
        <v>152</v>
      </c>
      <c r="B798" t="s">
        <v>662</v>
      </c>
      <c r="C798" t="s">
        <v>189</v>
      </c>
      <c r="D798" t="s">
        <v>6</v>
      </c>
    </row>
    <row r="799" spans="1:4" x14ac:dyDescent="0.35">
      <c r="A799">
        <v>153</v>
      </c>
      <c r="B799" t="s">
        <v>663</v>
      </c>
      <c r="C799" t="s">
        <v>45</v>
      </c>
      <c r="D799" t="s">
        <v>6</v>
      </c>
    </row>
    <row r="800" spans="1:4" x14ac:dyDescent="0.35">
      <c r="A800">
        <v>153</v>
      </c>
      <c r="B800" t="s">
        <v>664</v>
      </c>
      <c r="C800" t="s">
        <v>45</v>
      </c>
      <c r="D800" t="s">
        <v>6</v>
      </c>
    </row>
    <row r="801" spans="1:4" x14ac:dyDescent="0.35">
      <c r="A801">
        <v>153</v>
      </c>
      <c r="B801" t="s">
        <v>534</v>
      </c>
      <c r="C801" t="s">
        <v>45</v>
      </c>
      <c r="D801" t="s">
        <v>6</v>
      </c>
    </row>
    <row r="802" spans="1:4" x14ac:dyDescent="0.35">
      <c r="A802">
        <v>153</v>
      </c>
      <c r="B802" t="s">
        <v>665</v>
      </c>
      <c r="C802" t="s">
        <v>45</v>
      </c>
      <c r="D802" t="s">
        <v>6</v>
      </c>
    </row>
    <row r="803" spans="1:4" x14ac:dyDescent="0.35">
      <c r="A803">
        <v>153</v>
      </c>
      <c r="B803" t="s">
        <v>666</v>
      </c>
      <c r="C803" t="s">
        <v>667</v>
      </c>
      <c r="D803" t="s">
        <v>13</v>
      </c>
    </row>
    <row r="804" spans="1:4" x14ac:dyDescent="0.35">
      <c r="A804">
        <v>153</v>
      </c>
      <c r="B804" t="s">
        <v>668</v>
      </c>
      <c r="C804" t="s">
        <v>19</v>
      </c>
      <c r="D804" t="s">
        <v>13</v>
      </c>
    </row>
    <row r="805" spans="1:4" x14ac:dyDescent="0.35">
      <c r="A805">
        <v>153</v>
      </c>
      <c r="B805" t="s">
        <v>669</v>
      </c>
      <c r="C805" t="s">
        <v>19</v>
      </c>
      <c r="D805" t="s">
        <v>13</v>
      </c>
    </row>
    <row r="806" spans="1:4" x14ac:dyDescent="0.35">
      <c r="A806">
        <v>153</v>
      </c>
      <c r="B806" t="s">
        <v>670</v>
      </c>
      <c r="C806" t="s">
        <v>72</v>
      </c>
      <c r="D806" t="s">
        <v>13</v>
      </c>
    </row>
    <row r="807" spans="1:4" x14ac:dyDescent="0.35">
      <c r="A807">
        <v>153</v>
      </c>
      <c r="B807" t="s">
        <v>671</v>
      </c>
      <c r="C807" t="s">
        <v>35</v>
      </c>
      <c r="D807" t="s">
        <v>13</v>
      </c>
    </row>
    <row r="808" spans="1:4" x14ac:dyDescent="0.35">
      <c r="A808">
        <v>154</v>
      </c>
      <c r="B808" t="s">
        <v>672</v>
      </c>
      <c r="C808" t="s">
        <v>72</v>
      </c>
      <c r="D808" t="s">
        <v>13</v>
      </c>
    </row>
    <row r="809" spans="1:4" x14ac:dyDescent="0.35">
      <c r="A809">
        <v>154</v>
      </c>
      <c r="B809" t="s">
        <v>673</v>
      </c>
      <c r="C809" t="s">
        <v>72</v>
      </c>
      <c r="D809" t="s">
        <v>13</v>
      </c>
    </row>
    <row r="810" spans="1:4" x14ac:dyDescent="0.35">
      <c r="A810">
        <v>154</v>
      </c>
      <c r="B810" t="s">
        <v>674</v>
      </c>
      <c r="C810" t="s">
        <v>72</v>
      </c>
      <c r="D810" t="s">
        <v>13</v>
      </c>
    </row>
    <row r="811" spans="1:4" x14ac:dyDescent="0.35">
      <c r="A811">
        <v>154</v>
      </c>
      <c r="B811" t="s">
        <v>675</v>
      </c>
      <c r="C811" t="s">
        <v>72</v>
      </c>
      <c r="D811" t="s">
        <v>13</v>
      </c>
    </row>
    <row r="812" spans="1:4" x14ac:dyDescent="0.35">
      <c r="A812">
        <v>155</v>
      </c>
      <c r="B812" t="s">
        <v>293</v>
      </c>
      <c r="C812" t="s">
        <v>101</v>
      </c>
      <c r="D812" t="s">
        <v>6</v>
      </c>
    </row>
    <row r="813" spans="1:4" x14ac:dyDescent="0.35">
      <c r="A813">
        <v>155</v>
      </c>
      <c r="B813" t="s">
        <v>294</v>
      </c>
      <c r="C813" t="s">
        <v>101</v>
      </c>
      <c r="D813" t="s">
        <v>6</v>
      </c>
    </row>
    <row r="814" spans="1:4" x14ac:dyDescent="0.35">
      <c r="A814">
        <v>155</v>
      </c>
      <c r="B814" t="s">
        <v>276</v>
      </c>
      <c r="C814" t="s">
        <v>16</v>
      </c>
      <c r="D814" t="s">
        <v>13</v>
      </c>
    </row>
    <row r="815" spans="1:4" x14ac:dyDescent="0.35">
      <c r="A815">
        <v>156</v>
      </c>
      <c r="B815" t="s">
        <v>299</v>
      </c>
      <c r="C815" t="s">
        <v>101</v>
      </c>
      <c r="D815" t="s">
        <v>6</v>
      </c>
    </row>
    <row r="816" spans="1:4" x14ac:dyDescent="0.35">
      <c r="A816">
        <v>156</v>
      </c>
      <c r="B816" t="s">
        <v>301</v>
      </c>
      <c r="C816" t="s">
        <v>101</v>
      </c>
      <c r="D816" t="s">
        <v>6</v>
      </c>
    </row>
    <row r="817" spans="1:4" x14ac:dyDescent="0.35">
      <c r="A817">
        <v>156</v>
      </c>
      <c r="B817" t="s">
        <v>450</v>
      </c>
      <c r="C817" t="s">
        <v>93</v>
      </c>
      <c r="D817" t="s">
        <v>13</v>
      </c>
    </row>
    <row r="818" spans="1:4" x14ac:dyDescent="0.35">
      <c r="A818">
        <v>156</v>
      </c>
      <c r="B818" t="s">
        <v>439</v>
      </c>
      <c r="C818" t="s">
        <v>48</v>
      </c>
      <c r="D818" t="s">
        <v>13</v>
      </c>
    </row>
    <row r="819" spans="1:4" x14ac:dyDescent="0.35">
      <c r="A819">
        <v>156</v>
      </c>
      <c r="B819" t="s">
        <v>454</v>
      </c>
      <c r="C819" t="s">
        <v>48</v>
      </c>
      <c r="D819" t="s">
        <v>13</v>
      </c>
    </row>
    <row r="820" spans="1:4" x14ac:dyDescent="0.35">
      <c r="A820">
        <v>156</v>
      </c>
      <c r="B820" t="s">
        <v>420</v>
      </c>
      <c r="C820" t="s">
        <v>101</v>
      </c>
      <c r="D820" t="s">
        <v>6</v>
      </c>
    </row>
    <row r="821" spans="1:4" x14ac:dyDescent="0.35">
      <c r="A821">
        <v>157</v>
      </c>
      <c r="B821" t="s">
        <v>676</v>
      </c>
      <c r="C821" t="s">
        <v>677</v>
      </c>
      <c r="D821" t="s">
        <v>13</v>
      </c>
    </row>
    <row r="822" spans="1:4" x14ac:dyDescent="0.35">
      <c r="A822">
        <v>157</v>
      </c>
      <c r="B822" t="s">
        <v>676</v>
      </c>
      <c r="C822" t="s">
        <v>164</v>
      </c>
      <c r="D822" t="s">
        <v>13</v>
      </c>
    </row>
    <row r="823" spans="1:4" x14ac:dyDescent="0.35">
      <c r="A823">
        <v>157</v>
      </c>
      <c r="B823" t="s">
        <v>678</v>
      </c>
      <c r="C823" t="s">
        <v>164</v>
      </c>
      <c r="D823" t="s">
        <v>13</v>
      </c>
    </row>
    <row r="824" spans="1:4" x14ac:dyDescent="0.35">
      <c r="A824">
        <v>157</v>
      </c>
      <c r="B824" t="s">
        <v>679</v>
      </c>
      <c r="C824" t="s">
        <v>677</v>
      </c>
      <c r="D824" t="s">
        <v>13</v>
      </c>
    </row>
    <row r="825" spans="1:4" x14ac:dyDescent="0.35">
      <c r="A825">
        <v>157</v>
      </c>
      <c r="B825" t="s">
        <v>680</v>
      </c>
      <c r="C825" t="s">
        <v>164</v>
      </c>
      <c r="D825" t="s">
        <v>13</v>
      </c>
    </row>
    <row r="826" spans="1:4" x14ac:dyDescent="0.35">
      <c r="A826">
        <v>157</v>
      </c>
      <c r="B826" t="s">
        <v>681</v>
      </c>
      <c r="C826" t="s">
        <v>45</v>
      </c>
      <c r="D826" t="s">
        <v>6</v>
      </c>
    </row>
    <row r="827" spans="1:4" x14ac:dyDescent="0.35">
      <c r="A827">
        <v>158</v>
      </c>
      <c r="B827" t="s">
        <v>682</v>
      </c>
      <c r="C827" t="s">
        <v>231</v>
      </c>
      <c r="D827" t="s">
        <v>6</v>
      </c>
    </row>
    <row r="828" spans="1:4" x14ac:dyDescent="0.35">
      <c r="A828">
        <v>158</v>
      </c>
      <c r="B828" t="s">
        <v>683</v>
      </c>
      <c r="C828" t="s">
        <v>231</v>
      </c>
      <c r="D828" t="s">
        <v>6</v>
      </c>
    </row>
    <row r="829" spans="1:4" x14ac:dyDescent="0.35">
      <c r="A829">
        <v>158</v>
      </c>
      <c r="B829" t="s">
        <v>684</v>
      </c>
      <c r="C829" t="s">
        <v>231</v>
      </c>
      <c r="D829" t="s">
        <v>6</v>
      </c>
    </row>
    <row r="830" spans="1:4" x14ac:dyDescent="0.35">
      <c r="A830">
        <v>158</v>
      </c>
      <c r="B830" t="s">
        <v>685</v>
      </c>
      <c r="C830" t="s">
        <v>19</v>
      </c>
      <c r="D830" t="s">
        <v>13</v>
      </c>
    </row>
    <row r="831" spans="1:4" x14ac:dyDescent="0.35">
      <c r="A831">
        <v>158</v>
      </c>
      <c r="B831" t="s">
        <v>686</v>
      </c>
      <c r="C831" t="s">
        <v>231</v>
      </c>
      <c r="D831" t="s">
        <v>6</v>
      </c>
    </row>
    <row r="832" spans="1:4" x14ac:dyDescent="0.35">
      <c r="A832">
        <v>158</v>
      </c>
      <c r="B832" t="s">
        <v>687</v>
      </c>
      <c r="C832" t="s">
        <v>231</v>
      </c>
      <c r="D832" t="s">
        <v>6</v>
      </c>
    </row>
    <row r="833" spans="1:4" x14ac:dyDescent="0.35">
      <c r="A833">
        <v>159</v>
      </c>
      <c r="B833" t="s">
        <v>688</v>
      </c>
      <c r="C833" t="s">
        <v>45</v>
      </c>
      <c r="D833" t="s">
        <v>6</v>
      </c>
    </row>
    <row r="834" spans="1:4" x14ac:dyDescent="0.35">
      <c r="A834">
        <v>160</v>
      </c>
      <c r="B834" t="s">
        <v>412</v>
      </c>
      <c r="C834" t="s">
        <v>189</v>
      </c>
      <c r="D834" t="s">
        <v>6</v>
      </c>
    </row>
    <row r="835" spans="1:4" x14ac:dyDescent="0.35">
      <c r="A835">
        <v>160</v>
      </c>
      <c r="B835" t="s">
        <v>356</v>
      </c>
      <c r="C835" t="s">
        <v>231</v>
      </c>
      <c r="D835" t="s">
        <v>6</v>
      </c>
    </row>
    <row r="836" spans="1:4" x14ac:dyDescent="0.35">
      <c r="A836">
        <v>160</v>
      </c>
      <c r="B836" t="s">
        <v>293</v>
      </c>
      <c r="C836" t="s">
        <v>101</v>
      </c>
      <c r="D836" t="s">
        <v>6</v>
      </c>
    </row>
    <row r="837" spans="1:4" x14ac:dyDescent="0.35">
      <c r="A837">
        <v>160</v>
      </c>
      <c r="B837" t="s">
        <v>413</v>
      </c>
      <c r="C837" t="s">
        <v>189</v>
      </c>
      <c r="D837" t="s">
        <v>6</v>
      </c>
    </row>
    <row r="838" spans="1:4" x14ac:dyDescent="0.35">
      <c r="A838">
        <v>160</v>
      </c>
      <c r="B838" t="s">
        <v>357</v>
      </c>
      <c r="C838" t="s">
        <v>231</v>
      </c>
      <c r="D838" t="s">
        <v>6</v>
      </c>
    </row>
    <row r="839" spans="1:4" x14ac:dyDescent="0.35">
      <c r="A839">
        <v>160</v>
      </c>
      <c r="B839" t="s">
        <v>294</v>
      </c>
      <c r="C839" t="s">
        <v>101</v>
      </c>
      <c r="D839" t="s">
        <v>6</v>
      </c>
    </row>
    <row r="840" spans="1:4" x14ac:dyDescent="0.35">
      <c r="A840">
        <v>160</v>
      </c>
      <c r="B840" t="s">
        <v>689</v>
      </c>
      <c r="C840" t="s">
        <v>78</v>
      </c>
      <c r="D840" t="s">
        <v>13</v>
      </c>
    </row>
    <row r="841" spans="1:4" x14ac:dyDescent="0.35">
      <c r="A841">
        <v>160</v>
      </c>
      <c r="B841" t="s">
        <v>690</v>
      </c>
      <c r="C841" t="s">
        <v>5</v>
      </c>
      <c r="D841" t="s">
        <v>6</v>
      </c>
    </row>
    <row r="842" spans="1:4" x14ac:dyDescent="0.35">
      <c r="A842">
        <v>160</v>
      </c>
      <c r="B842" t="s">
        <v>359</v>
      </c>
      <c r="C842" t="s">
        <v>231</v>
      </c>
      <c r="D842" t="s">
        <v>6</v>
      </c>
    </row>
    <row r="843" spans="1:4" x14ac:dyDescent="0.35">
      <c r="A843">
        <v>160</v>
      </c>
      <c r="B843" t="s">
        <v>691</v>
      </c>
      <c r="C843" t="s">
        <v>5</v>
      </c>
      <c r="D843" t="s">
        <v>6</v>
      </c>
    </row>
    <row r="844" spans="1:4" x14ac:dyDescent="0.35">
      <c r="A844">
        <v>160</v>
      </c>
      <c r="B844" t="s">
        <v>417</v>
      </c>
      <c r="C844" t="s">
        <v>5</v>
      </c>
      <c r="D844" t="s">
        <v>6</v>
      </c>
    </row>
    <row r="845" spans="1:4" x14ac:dyDescent="0.35">
      <c r="A845">
        <v>160</v>
      </c>
      <c r="B845" t="s">
        <v>692</v>
      </c>
      <c r="C845" t="s">
        <v>5</v>
      </c>
      <c r="D845" t="s">
        <v>6</v>
      </c>
    </row>
    <row r="846" spans="1:4" x14ac:dyDescent="0.35">
      <c r="A846">
        <v>160</v>
      </c>
      <c r="B846" t="s">
        <v>693</v>
      </c>
      <c r="C846" t="s">
        <v>231</v>
      </c>
      <c r="D846" t="s">
        <v>6</v>
      </c>
    </row>
    <row r="847" spans="1:4" x14ac:dyDescent="0.35">
      <c r="A847">
        <v>160</v>
      </c>
      <c r="B847" t="s">
        <v>312</v>
      </c>
      <c r="C847" t="s">
        <v>5</v>
      </c>
      <c r="D847" t="s">
        <v>6</v>
      </c>
    </row>
    <row r="848" spans="1:4" x14ac:dyDescent="0.35">
      <c r="A848">
        <v>160</v>
      </c>
      <c r="B848" t="s">
        <v>694</v>
      </c>
      <c r="C848" t="s">
        <v>5</v>
      </c>
      <c r="D848" t="s">
        <v>6</v>
      </c>
    </row>
    <row r="849" spans="1:4" x14ac:dyDescent="0.35">
      <c r="A849">
        <v>160</v>
      </c>
      <c r="B849" t="s">
        <v>695</v>
      </c>
      <c r="C849" t="s">
        <v>5</v>
      </c>
      <c r="D849" t="s">
        <v>6</v>
      </c>
    </row>
    <row r="850" spans="1:4" x14ac:dyDescent="0.35">
      <c r="A850">
        <v>160</v>
      </c>
      <c r="B850" t="s">
        <v>406</v>
      </c>
      <c r="C850" t="s">
        <v>189</v>
      </c>
      <c r="D850" t="s">
        <v>6</v>
      </c>
    </row>
    <row r="851" spans="1:4" x14ac:dyDescent="0.35">
      <c r="A851">
        <v>160</v>
      </c>
      <c r="B851" t="s">
        <v>406</v>
      </c>
      <c r="C851" t="s">
        <v>231</v>
      </c>
      <c r="D851" t="s">
        <v>6</v>
      </c>
    </row>
    <row r="852" spans="1:4" x14ac:dyDescent="0.35">
      <c r="A852">
        <v>160</v>
      </c>
      <c r="B852" t="s">
        <v>291</v>
      </c>
      <c r="C852" t="s">
        <v>45</v>
      </c>
      <c r="D852" t="s">
        <v>6</v>
      </c>
    </row>
    <row r="853" spans="1:4" x14ac:dyDescent="0.35">
      <c r="A853">
        <v>160</v>
      </c>
      <c r="B853" t="s">
        <v>360</v>
      </c>
      <c r="C853" t="s">
        <v>231</v>
      </c>
      <c r="D853" t="s">
        <v>6</v>
      </c>
    </row>
    <row r="854" spans="1:4" x14ac:dyDescent="0.35">
      <c r="A854">
        <v>160</v>
      </c>
      <c r="B854" t="s">
        <v>360</v>
      </c>
      <c r="C854" t="s">
        <v>5</v>
      </c>
      <c r="D854" t="s">
        <v>6</v>
      </c>
    </row>
    <row r="855" spans="1:4" x14ac:dyDescent="0.35">
      <c r="A855">
        <v>160</v>
      </c>
      <c r="B855" t="s">
        <v>350</v>
      </c>
      <c r="C855" t="s">
        <v>45</v>
      </c>
      <c r="D855" t="s">
        <v>6</v>
      </c>
    </row>
    <row r="856" spans="1:4" x14ac:dyDescent="0.35">
      <c r="A856">
        <v>160</v>
      </c>
      <c r="B856" t="s">
        <v>696</v>
      </c>
      <c r="C856" t="s">
        <v>5</v>
      </c>
      <c r="D856" t="s">
        <v>6</v>
      </c>
    </row>
    <row r="857" spans="1:4" x14ac:dyDescent="0.35">
      <c r="A857">
        <v>160</v>
      </c>
      <c r="B857" t="s">
        <v>697</v>
      </c>
      <c r="C857" t="s">
        <v>22</v>
      </c>
      <c r="D857" t="s">
        <v>13</v>
      </c>
    </row>
    <row r="858" spans="1:4" x14ac:dyDescent="0.35">
      <c r="A858">
        <v>161</v>
      </c>
      <c r="B858" t="s">
        <v>698</v>
      </c>
      <c r="C858" t="s">
        <v>45</v>
      </c>
      <c r="D858" t="s">
        <v>6</v>
      </c>
    </row>
    <row r="859" spans="1:4" x14ac:dyDescent="0.35">
      <c r="A859">
        <v>161</v>
      </c>
      <c r="B859" t="s">
        <v>699</v>
      </c>
      <c r="C859" t="s">
        <v>93</v>
      </c>
      <c r="D859" t="s">
        <v>13</v>
      </c>
    </row>
    <row r="860" spans="1:4" x14ac:dyDescent="0.35">
      <c r="A860">
        <v>161</v>
      </c>
      <c r="B860" t="s">
        <v>700</v>
      </c>
      <c r="C860" t="s">
        <v>93</v>
      </c>
      <c r="D860" t="s">
        <v>13</v>
      </c>
    </row>
    <row r="861" spans="1:4" x14ac:dyDescent="0.35">
      <c r="A861">
        <v>161</v>
      </c>
      <c r="B861" t="s">
        <v>701</v>
      </c>
      <c r="C861" t="s">
        <v>45</v>
      </c>
      <c r="D861" t="s">
        <v>6</v>
      </c>
    </row>
    <row r="862" spans="1:4" x14ac:dyDescent="0.35">
      <c r="A862">
        <v>162</v>
      </c>
      <c r="B862" t="s">
        <v>702</v>
      </c>
      <c r="C862" t="s">
        <v>19</v>
      </c>
      <c r="D862" t="s">
        <v>13</v>
      </c>
    </row>
    <row r="863" spans="1:4" x14ac:dyDescent="0.35">
      <c r="A863">
        <v>162</v>
      </c>
      <c r="B863" t="s">
        <v>703</v>
      </c>
      <c r="C863" t="s">
        <v>45</v>
      </c>
      <c r="D863" t="s">
        <v>6</v>
      </c>
    </row>
    <row r="864" spans="1:4" x14ac:dyDescent="0.35">
      <c r="A864">
        <v>162</v>
      </c>
      <c r="B864" t="s">
        <v>704</v>
      </c>
      <c r="C864" t="s">
        <v>19</v>
      </c>
      <c r="D864" t="s">
        <v>13</v>
      </c>
    </row>
    <row r="865" spans="1:4" x14ac:dyDescent="0.35">
      <c r="A865">
        <v>162</v>
      </c>
      <c r="B865" t="s">
        <v>705</v>
      </c>
      <c r="C865" t="s">
        <v>19</v>
      </c>
      <c r="D865" t="s">
        <v>13</v>
      </c>
    </row>
    <row r="866" spans="1:4" x14ac:dyDescent="0.35">
      <c r="A866">
        <v>163</v>
      </c>
      <c r="B866" t="s">
        <v>706</v>
      </c>
      <c r="C866" t="s">
        <v>72</v>
      </c>
      <c r="D866" t="s">
        <v>13</v>
      </c>
    </row>
    <row r="867" spans="1:4" x14ac:dyDescent="0.35">
      <c r="A867">
        <v>163</v>
      </c>
      <c r="B867" t="s">
        <v>707</v>
      </c>
      <c r="C867" t="s">
        <v>72</v>
      </c>
      <c r="D867" t="s">
        <v>13</v>
      </c>
    </row>
    <row r="868" spans="1:4" x14ac:dyDescent="0.35">
      <c r="A868">
        <v>163</v>
      </c>
      <c r="B868" t="s">
        <v>707</v>
      </c>
      <c r="C868" t="s">
        <v>172</v>
      </c>
      <c r="D868" t="s">
        <v>6</v>
      </c>
    </row>
    <row r="869" spans="1:4" x14ac:dyDescent="0.35">
      <c r="A869">
        <v>163</v>
      </c>
      <c r="B869" t="s">
        <v>708</v>
      </c>
      <c r="C869" t="s">
        <v>72</v>
      </c>
      <c r="D869" t="s">
        <v>13</v>
      </c>
    </row>
    <row r="870" spans="1:4" x14ac:dyDescent="0.35">
      <c r="A870">
        <v>163</v>
      </c>
      <c r="B870" t="s">
        <v>709</v>
      </c>
      <c r="C870" t="s">
        <v>72</v>
      </c>
      <c r="D870" t="s">
        <v>13</v>
      </c>
    </row>
    <row r="871" spans="1:4" x14ac:dyDescent="0.35">
      <c r="A871">
        <v>163</v>
      </c>
      <c r="B871" t="s">
        <v>710</v>
      </c>
      <c r="C871" t="s">
        <v>72</v>
      </c>
      <c r="D871" t="s">
        <v>13</v>
      </c>
    </row>
    <row r="872" spans="1:4" x14ac:dyDescent="0.35">
      <c r="A872">
        <v>163</v>
      </c>
      <c r="B872" t="s">
        <v>711</v>
      </c>
      <c r="C872" t="s">
        <v>72</v>
      </c>
      <c r="D872" t="s">
        <v>13</v>
      </c>
    </row>
    <row r="873" spans="1:4" x14ac:dyDescent="0.35">
      <c r="A873">
        <v>164</v>
      </c>
      <c r="B873" t="s">
        <v>712</v>
      </c>
      <c r="C873" t="s">
        <v>19</v>
      </c>
      <c r="D873" t="s">
        <v>13</v>
      </c>
    </row>
    <row r="874" spans="1:4" x14ac:dyDescent="0.35">
      <c r="A874">
        <v>164</v>
      </c>
      <c r="B874" t="s">
        <v>713</v>
      </c>
      <c r="C874" t="s">
        <v>19</v>
      </c>
      <c r="D874" t="s">
        <v>13</v>
      </c>
    </row>
    <row r="875" spans="1:4" x14ac:dyDescent="0.35">
      <c r="A875">
        <v>164</v>
      </c>
      <c r="B875" t="s">
        <v>714</v>
      </c>
      <c r="C875" t="s">
        <v>19</v>
      </c>
      <c r="D875" t="s">
        <v>13</v>
      </c>
    </row>
    <row r="876" spans="1:4" x14ac:dyDescent="0.35">
      <c r="A876">
        <v>165</v>
      </c>
      <c r="B876" t="s">
        <v>715</v>
      </c>
      <c r="C876" t="s">
        <v>72</v>
      </c>
      <c r="D876" t="s">
        <v>13</v>
      </c>
    </row>
    <row r="877" spans="1:4" x14ac:dyDescent="0.35">
      <c r="A877">
        <v>165</v>
      </c>
      <c r="B877" t="s">
        <v>716</v>
      </c>
      <c r="C877" t="s">
        <v>72</v>
      </c>
      <c r="D877" t="s">
        <v>13</v>
      </c>
    </row>
    <row r="878" spans="1:4" x14ac:dyDescent="0.35">
      <c r="A878">
        <v>165</v>
      </c>
      <c r="B878" t="s">
        <v>717</v>
      </c>
      <c r="C878" t="s">
        <v>72</v>
      </c>
      <c r="D878" t="s">
        <v>13</v>
      </c>
    </row>
    <row r="879" spans="1:4" x14ac:dyDescent="0.35">
      <c r="A879">
        <v>166</v>
      </c>
      <c r="B879" t="s">
        <v>718</v>
      </c>
      <c r="C879" t="s">
        <v>45</v>
      </c>
      <c r="D879" t="s">
        <v>6</v>
      </c>
    </row>
    <row r="880" spans="1:4" x14ac:dyDescent="0.35">
      <c r="A880">
        <v>166</v>
      </c>
      <c r="B880" t="s">
        <v>719</v>
      </c>
      <c r="C880" t="s">
        <v>45</v>
      </c>
      <c r="D880" t="s">
        <v>6</v>
      </c>
    </row>
    <row r="881" spans="1:4" x14ac:dyDescent="0.35">
      <c r="A881">
        <v>166</v>
      </c>
      <c r="B881" t="s">
        <v>720</v>
      </c>
      <c r="C881" t="s">
        <v>45</v>
      </c>
      <c r="D881" t="s">
        <v>6</v>
      </c>
    </row>
    <row r="882" spans="1:4" x14ac:dyDescent="0.35">
      <c r="A882">
        <v>166</v>
      </c>
      <c r="B882" t="s">
        <v>443</v>
      </c>
      <c r="C882" t="s">
        <v>45</v>
      </c>
      <c r="D882" t="s">
        <v>6</v>
      </c>
    </row>
    <row r="883" spans="1:4" x14ac:dyDescent="0.35">
      <c r="A883">
        <v>166</v>
      </c>
      <c r="B883" t="s">
        <v>721</v>
      </c>
      <c r="C883" t="s">
        <v>35</v>
      </c>
      <c r="D883" t="s">
        <v>13</v>
      </c>
    </row>
    <row r="884" spans="1:4" x14ac:dyDescent="0.35">
      <c r="A884">
        <v>166</v>
      </c>
      <c r="B884" t="s">
        <v>721</v>
      </c>
      <c r="C884" t="s">
        <v>48</v>
      </c>
      <c r="D884" t="s">
        <v>13</v>
      </c>
    </row>
    <row r="885" spans="1:4" x14ac:dyDescent="0.35">
      <c r="A885">
        <v>166</v>
      </c>
      <c r="B885" t="s">
        <v>439</v>
      </c>
      <c r="C885" t="s">
        <v>48</v>
      </c>
      <c r="D885" t="s">
        <v>13</v>
      </c>
    </row>
    <row r="886" spans="1:4" x14ac:dyDescent="0.35">
      <c r="A886">
        <v>166</v>
      </c>
      <c r="B886" t="s">
        <v>722</v>
      </c>
      <c r="C886" t="s">
        <v>45</v>
      </c>
      <c r="D886" t="s">
        <v>6</v>
      </c>
    </row>
    <row r="887" spans="1:4" x14ac:dyDescent="0.35">
      <c r="A887">
        <v>166</v>
      </c>
      <c r="B887" t="s">
        <v>723</v>
      </c>
      <c r="C887" t="s">
        <v>48</v>
      </c>
      <c r="D887" t="s">
        <v>13</v>
      </c>
    </row>
    <row r="888" spans="1:4" x14ac:dyDescent="0.35">
      <c r="A888">
        <v>166</v>
      </c>
      <c r="B888" t="s">
        <v>348</v>
      </c>
      <c r="C888" t="s">
        <v>45</v>
      </c>
      <c r="D888" t="s">
        <v>6</v>
      </c>
    </row>
    <row r="889" spans="1:4" x14ac:dyDescent="0.35">
      <c r="A889">
        <v>166</v>
      </c>
      <c r="B889" t="s">
        <v>698</v>
      </c>
      <c r="C889" t="s">
        <v>45</v>
      </c>
      <c r="D889" t="s">
        <v>6</v>
      </c>
    </row>
    <row r="890" spans="1:4" x14ac:dyDescent="0.35">
      <c r="A890">
        <v>166</v>
      </c>
      <c r="B890" t="s">
        <v>440</v>
      </c>
      <c r="C890" t="s">
        <v>48</v>
      </c>
      <c r="D890" t="s">
        <v>13</v>
      </c>
    </row>
    <row r="891" spans="1:4" x14ac:dyDescent="0.35">
      <c r="A891">
        <v>166</v>
      </c>
      <c r="B891" t="s">
        <v>724</v>
      </c>
      <c r="C891" t="s">
        <v>48</v>
      </c>
      <c r="D891" t="s">
        <v>13</v>
      </c>
    </row>
    <row r="892" spans="1:4" x14ac:dyDescent="0.35">
      <c r="A892">
        <v>166</v>
      </c>
      <c r="B892" t="s">
        <v>291</v>
      </c>
      <c r="C892" t="s">
        <v>45</v>
      </c>
      <c r="D892" t="s">
        <v>6</v>
      </c>
    </row>
    <row r="893" spans="1:4" x14ac:dyDescent="0.35">
      <c r="A893">
        <v>166</v>
      </c>
      <c r="B893" t="s">
        <v>725</v>
      </c>
      <c r="C893" t="s">
        <v>45</v>
      </c>
      <c r="D893" t="s">
        <v>6</v>
      </c>
    </row>
    <row r="894" spans="1:4" x14ac:dyDescent="0.35">
      <c r="A894">
        <v>166</v>
      </c>
      <c r="B894" t="s">
        <v>726</v>
      </c>
      <c r="C894" t="s">
        <v>45</v>
      </c>
      <c r="D894" t="s">
        <v>6</v>
      </c>
    </row>
    <row r="895" spans="1:4" x14ac:dyDescent="0.35">
      <c r="A895">
        <v>166</v>
      </c>
      <c r="B895" t="s">
        <v>350</v>
      </c>
      <c r="C895" t="s">
        <v>45</v>
      </c>
      <c r="D895" t="s">
        <v>6</v>
      </c>
    </row>
    <row r="896" spans="1:4" x14ac:dyDescent="0.35">
      <c r="A896">
        <v>166</v>
      </c>
      <c r="B896" t="s">
        <v>701</v>
      </c>
      <c r="C896" t="s">
        <v>45</v>
      </c>
      <c r="D896" t="s">
        <v>6</v>
      </c>
    </row>
    <row r="897" spans="1:4" x14ac:dyDescent="0.35">
      <c r="A897">
        <v>166</v>
      </c>
      <c r="B897" t="s">
        <v>727</v>
      </c>
      <c r="C897" t="s">
        <v>45</v>
      </c>
      <c r="D897" t="s">
        <v>6</v>
      </c>
    </row>
    <row r="898" spans="1:4" x14ac:dyDescent="0.35">
      <c r="A898">
        <v>167</v>
      </c>
      <c r="B898" t="s">
        <v>728</v>
      </c>
      <c r="C898" t="s">
        <v>19</v>
      </c>
      <c r="D898" t="s">
        <v>13</v>
      </c>
    </row>
    <row r="899" spans="1:4" x14ac:dyDescent="0.35">
      <c r="A899">
        <v>167</v>
      </c>
      <c r="B899" t="s">
        <v>729</v>
      </c>
      <c r="C899" t="s">
        <v>19</v>
      </c>
      <c r="D899" t="s">
        <v>13</v>
      </c>
    </row>
    <row r="900" spans="1:4" x14ac:dyDescent="0.35">
      <c r="A900">
        <v>168</v>
      </c>
      <c r="B900" t="s">
        <v>227</v>
      </c>
      <c r="C900" t="s">
        <v>157</v>
      </c>
      <c r="D900" t="s">
        <v>6</v>
      </c>
    </row>
    <row r="901" spans="1:4" x14ac:dyDescent="0.35">
      <c r="A901">
        <v>168</v>
      </c>
      <c r="B901" t="s">
        <v>228</v>
      </c>
      <c r="C901" t="s">
        <v>157</v>
      </c>
      <c r="D901" t="s">
        <v>6</v>
      </c>
    </row>
    <row r="902" spans="1:4" x14ac:dyDescent="0.35">
      <c r="A902">
        <v>168</v>
      </c>
      <c r="B902" t="s">
        <v>730</v>
      </c>
      <c r="C902" t="s">
        <v>231</v>
      </c>
      <c r="D902" t="s">
        <v>6</v>
      </c>
    </row>
    <row r="903" spans="1:4" x14ac:dyDescent="0.35">
      <c r="A903">
        <v>168</v>
      </c>
      <c r="B903" t="s">
        <v>230</v>
      </c>
      <c r="C903" t="s">
        <v>231</v>
      </c>
      <c r="D903" t="s">
        <v>6</v>
      </c>
    </row>
    <row r="904" spans="1:4" x14ac:dyDescent="0.35">
      <c r="A904">
        <v>168</v>
      </c>
      <c r="B904" t="s">
        <v>230</v>
      </c>
      <c r="C904" t="s">
        <v>157</v>
      </c>
      <c r="D904" t="s">
        <v>6</v>
      </c>
    </row>
    <row r="905" spans="1:4" x14ac:dyDescent="0.35">
      <c r="A905">
        <v>169</v>
      </c>
      <c r="B905" t="s">
        <v>412</v>
      </c>
      <c r="C905" t="s">
        <v>189</v>
      </c>
      <c r="D905" t="s">
        <v>6</v>
      </c>
    </row>
    <row r="906" spans="1:4" x14ac:dyDescent="0.35">
      <c r="A906">
        <v>169</v>
      </c>
      <c r="B906" t="s">
        <v>357</v>
      </c>
      <c r="C906" t="s">
        <v>231</v>
      </c>
      <c r="D906" t="s">
        <v>6</v>
      </c>
    </row>
    <row r="907" spans="1:4" x14ac:dyDescent="0.35">
      <c r="A907">
        <v>169</v>
      </c>
      <c r="B907" t="s">
        <v>406</v>
      </c>
      <c r="C907" t="s">
        <v>231</v>
      </c>
      <c r="D907" t="s">
        <v>6</v>
      </c>
    </row>
    <row r="908" spans="1:4" x14ac:dyDescent="0.35">
      <c r="A908">
        <v>169</v>
      </c>
      <c r="B908" t="s">
        <v>406</v>
      </c>
      <c r="C908" t="s">
        <v>189</v>
      </c>
      <c r="D908" t="s">
        <v>6</v>
      </c>
    </row>
    <row r="909" spans="1:4" x14ac:dyDescent="0.35">
      <c r="A909">
        <v>169</v>
      </c>
      <c r="B909" t="s">
        <v>360</v>
      </c>
      <c r="C909" t="s">
        <v>231</v>
      </c>
      <c r="D909" t="s">
        <v>6</v>
      </c>
    </row>
    <row r="910" spans="1:4" x14ac:dyDescent="0.35">
      <c r="A910">
        <v>170</v>
      </c>
      <c r="B910" t="s">
        <v>731</v>
      </c>
      <c r="C910" t="s">
        <v>22</v>
      </c>
      <c r="D910" t="s">
        <v>13</v>
      </c>
    </row>
    <row r="911" spans="1:4" x14ac:dyDescent="0.35">
      <c r="A911">
        <v>170</v>
      </c>
      <c r="B911" t="s">
        <v>24</v>
      </c>
      <c r="C911" t="s">
        <v>22</v>
      </c>
      <c r="D911" t="s">
        <v>13</v>
      </c>
    </row>
    <row r="912" spans="1:4" x14ac:dyDescent="0.35">
      <c r="A912">
        <v>170</v>
      </c>
      <c r="B912" t="s">
        <v>27</v>
      </c>
      <c r="C912" t="s">
        <v>22</v>
      </c>
      <c r="D912" t="s">
        <v>13</v>
      </c>
    </row>
    <row r="913" spans="1:4" x14ac:dyDescent="0.35">
      <c r="A913">
        <v>170</v>
      </c>
      <c r="B913" t="s">
        <v>732</v>
      </c>
      <c r="C913" t="s">
        <v>22</v>
      </c>
      <c r="D913" t="s">
        <v>13</v>
      </c>
    </row>
    <row r="914" spans="1:4" x14ac:dyDescent="0.35">
      <c r="A914">
        <v>171</v>
      </c>
      <c r="B914" t="s">
        <v>733</v>
      </c>
      <c r="C914" t="s">
        <v>64</v>
      </c>
      <c r="D914" t="s">
        <v>13</v>
      </c>
    </row>
    <row r="915" spans="1:4" x14ac:dyDescent="0.35">
      <c r="A915">
        <v>171</v>
      </c>
      <c r="B915" t="s">
        <v>734</v>
      </c>
      <c r="C915" t="s">
        <v>64</v>
      </c>
      <c r="D915" t="s">
        <v>13</v>
      </c>
    </row>
    <row r="916" spans="1:4" x14ac:dyDescent="0.35">
      <c r="A916">
        <v>171</v>
      </c>
      <c r="B916" t="s">
        <v>735</v>
      </c>
      <c r="C916" t="s">
        <v>64</v>
      </c>
      <c r="D916" t="s">
        <v>13</v>
      </c>
    </row>
    <row r="917" spans="1:4" x14ac:dyDescent="0.35">
      <c r="A917">
        <v>172</v>
      </c>
      <c r="B917" t="s">
        <v>736</v>
      </c>
      <c r="C917" t="s">
        <v>48</v>
      </c>
      <c r="D917" t="s">
        <v>13</v>
      </c>
    </row>
    <row r="918" spans="1:4" x14ac:dyDescent="0.35">
      <c r="A918">
        <v>172</v>
      </c>
      <c r="B918" t="s">
        <v>736</v>
      </c>
      <c r="C918" t="s">
        <v>45</v>
      </c>
      <c r="D918" t="s">
        <v>6</v>
      </c>
    </row>
    <row r="919" spans="1:4" x14ac:dyDescent="0.35">
      <c r="A919">
        <v>172</v>
      </c>
      <c r="B919" t="s">
        <v>737</v>
      </c>
      <c r="C919" t="s">
        <v>48</v>
      </c>
      <c r="D919" t="s">
        <v>13</v>
      </c>
    </row>
    <row r="920" spans="1:4" x14ac:dyDescent="0.35">
      <c r="A920">
        <v>172</v>
      </c>
      <c r="B920" t="s">
        <v>738</v>
      </c>
      <c r="C920" t="s">
        <v>48</v>
      </c>
      <c r="D920" t="s">
        <v>13</v>
      </c>
    </row>
    <row r="921" spans="1:4" x14ac:dyDescent="0.35">
      <c r="A921">
        <v>173</v>
      </c>
      <c r="B921" t="s">
        <v>739</v>
      </c>
      <c r="C921" t="s">
        <v>245</v>
      </c>
      <c r="D921" t="s">
        <v>13</v>
      </c>
    </row>
    <row r="922" spans="1:4" x14ac:dyDescent="0.35">
      <c r="A922">
        <v>173</v>
      </c>
      <c r="B922" t="s">
        <v>739</v>
      </c>
      <c r="C922" t="s">
        <v>231</v>
      </c>
      <c r="D922" t="s">
        <v>6</v>
      </c>
    </row>
    <row r="923" spans="1:4" x14ac:dyDescent="0.35">
      <c r="A923">
        <v>173</v>
      </c>
      <c r="B923" t="s">
        <v>740</v>
      </c>
      <c r="C923" t="s">
        <v>231</v>
      </c>
      <c r="D923" t="s">
        <v>6</v>
      </c>
    </row>
    <row r="924" spans="1:4" x14ac:dyDescent="0.35">
      <c r="A924">
        <v>173</v>
      </c>
      <c r="B924" t="s">
        <v>590</v>
      </c>
      <c r="C924" t="s">
        <v>22</v>
      </c>
      <c r="D924" t="s">
        <v>13</v>
      </c>
    </row>
    <row r="925" spans="1:4" x14ac:dyDescent="0.35">
      <c r="A925">
        <v>173</v>
      </c>
      <c r="B925" t="s">
        <v>741</v>
      </c>
      <c r="C925" t="s">
        <v>245</v>
      </c>
      <c r="D925" t="s">
        <v>13</v>
      </c>
    </row>
    <row r="926" spans="1:4" x14ac:dyDescent="0.35">
      <c r="A926">
        <v>173</v>
      </c>
      <c r="B926" t="s">
        <v>742</v>
      </c>
      <c r="C926" t="s">
        <v>231</v>
      </c>
      <c r="D926" t="s">
        <v>6</v>
      </c>
    </row>
    <row r="927" spans="1:4" x14ac:dyDescent="0.35">
      <c r="A927">
        <v>173</v>
      </c>
      <c r="B927" t="s">
        <v>580</v>
      </c>
      <c r="C927" t="s">
        <v>231</v>
      </c>
      <c r="D927" t="s">
        <v>6</v>
      </c>
    </row>
    <row r="928" spans="1:4" x14ac:dyDescent="0.35">
      <c r="A928">
        <v>174</v>
      </c>
      <c r="B928" t="s">
        <v>743</v>
      </c>
      <c r="C928" t="s">
        <v>5</v>
      </c>
      <c r="D928" t="s">
        <v>6</v>
      </c>
    </row>
    <row r="929" spans="1:4" x14ac:dyDescent="0.35">
      <c r="A929">
        <v>174</v>
      </c>
      <c r="B929" t="s">
        <v>744</v>
      </c>
      <c r="C929" t="s">
        <v>5</v>
      </c>
      <c r="D929" t="s">
        <v>6</v>
      </c>
    </row>
    <row r="930" spans="1:4" x14ac:dyDescent="0.35">
      <c r="A930">
        <v>174</v>
      </c>
      <c r="B930" t="s">
        <v>745</v>
      </c>
      <c r="C930" t="s">
        <v>5</v>
      </c>
      <c r="D930" t="s">
        <v>6</v>
      </c>
    </row>
    <row r="931" spans="1:4" x14ac:dyDescent="0.35">
      <c r="A931">
        <v>174</v>
      </c>
      <c r="B931" t="s">
        <v>311</v>
      </c>
      <c r="C931" t="s">
        <v>5</v>
      </c>
      <c r="D931" t="s">
        <v>6</v>
      </c>
    </row>
    <row r="932" spans="1:4" x14ac:dyDescent="0.35">
      <c r="A932">
        <v>174</v>
      </c>
      <c r="B932" t="s">
        <v>8</v>
      </c>
      <c r="C932" t="s">
        <v>5</v>
      </c>
      <c r="D932" t="s">
        <v>6</v>
      </c>
    </row>
    <row r="933" spans="1:4" x14ac:dyDescent="0.35">
      <c r="A933">
        <v>175</v>
      </c>
      <c r="B933" t="s">
        <v>746</v>
      </c>
      <c r="C933" t="s">
        <v>352</v>
      </c>
      <c r="D933" t="s">
        <v>13</v>
      </c>
    </row>
    <row r="934" spans="1:4" x14ac:dyDescent="0.35">
      <c r="A934">
        <v>175</v>
      </c>
      <c r="B934" t="s">
        <v>747</v>
      </c>
      <c r="C934" t="s">
        <v>352</v>
      </c>
      <c r="D934" t="s">
        <v>13</v>
      </c>
    </row>
    <row r="935" spans="1:4" x14ac:dyDescent="0.35">
      <c r="A935">
        <v>175</v>
      </c>
      <c r="B935" t="s">
        <v>748</v>
      </c>
      <c r="C935" t="s">
        <v>352</v>
      </c>
      <c r="D935" t="s">
        <v>13</v>
      </c>
    </row>
    <row r="936" spans="1:4" x14ac:dyDescent="0.35">
      <c r="A936">
        <v>175</v>
      </c>
      <c r="B936" t="s">
        <v>749</v>
      </c>
      <c r="C936" t="s">
        <v>352</v>
      </c>
      <c r="D936" t="s">
        <v>13</v>
      </c>
    </row>
    <row r="937" spans="1:4" x14ac:dyDescent="0.35">
      <c r="A937">
        <v>176</v>
      </c>
      <c r="B937" t="s">
        <v>750</v>
      </c>
      <c r="C937" t="s">
        <v>45</v>
      </c>
      <c r="D937" t="s">
        <v>6</v>
      </c>
    </row>
    <row r="938" spans="1:4" x14ac:dyDescent="0.35">
      <c r="A938">
        <v>176</v>
      </c>
      <c r="B938" t="s">
        <v>442</v>
      </c>
      <c r="C938" t="s">
        <v>45</v>
      </c>
      <c r="D938" t="s">
        <v>6</v>
      </c>
    </row>
    <row r="939" spans="1:4" x14ac:dyDescent="0.35">
      <c r="A939">
        <v>176</v>
      </c>
      <c r="B939" t="s">
        <v>539</v>
      </c>
      <c r="C939" t="s">
        <v>19</v>
      </c>
      <c r="D939" t="s">
        <v>13</v>
      </c>
    </row>
    <row r="940" spans="1:4" x14ac:dyDescent="0.35">
      <c r="A940">
        <v>176</v>
      </c>
      <c r="B940" t="s">
        <v>291</v>
      </c>
      <c r="C940" t="s">
        <v>45</v>
      </c>
      <c r="D940" t="s">
        <v>6</v>
      </c>
    </row>
    <row r="941" spans="1:4" x14ac:dyDescent="0.35">
      <c r="A941">
        <v>176</v>
      </c>
      <c r="B941" t="s">
        <v>751</v>
      </c>
      <c r="C941" t="s">
        <v>19</v>
      </c>
      <c r="D941" t="s">
        <v>13</v>
      </c>
    </row>
    <row r="942" spans="1:4" x14ac:dyDescent="0.35">
      <c r="A942">
        <v>177</v>
      </c>
      <c r="B942" t="s">
        <v>752</v>
      </c>
      <c r="C942" t="s">
        <v>19</v>
      </c>
      <c r="D942" t="s">
        <v>13</v>
      </c>
    </row>
    <row r="943" spans="1:4" x14ac:dyDescent="0.35">
      <c r="A943">
        <v>177</v>
      </c>
      <c r="B943" t="s">
        <v>753</v>
      </c>
      <c r="C943" t="s">
        <v>517</v>
      </c>
      <c r="D943" t="s">
        <v>13</v>
      </c>
    </row>
    <row r="944" spans="1:4" x14ac:dyDescent="0.35">
      <c r="A944">
        <v>178</v>
      </c>
      <c r="B944" t="s">
        <v>754</v>
      </c>
      <c r="C944" t="s">
        <v>40</v>
      </c>
      <c r="D944" t="s">
        <v>13</v>
      </c>
    </row>
    <row r="945" spans="1:4" x14ac:dyDescent="0.35">
      <c r="A945">
        <v>178</v>
      </c>
      <c r="B945" t="s">
        <v>755</v>
      </c>
      <c r="C945" t="s">
        <v>40</v>
      </c>
      <c r="D945" t="s">
        <v>13</v>
      </c>
    </row>
    <row r="946" spans="1:4" x14ac:dyDescent="0.35">
      <c r="A946">
        <v>178</v>
      </c>
      <c r="B946" t="s">
        <v>756</v>
      </c>
      <c r="C946" t="s">
        <v>40</v>
      </c>
      <c r="D946" t="s">
        <v>13</v>
      </c>
    </row>
    <row r="947" spans="1:4" x14ac:dyDescent="0.35">
      <c r="A947">
        <v>179</v>
      </c>
      <c r="B947" t="s">
        <v>757</v>
      </c>
      <c r="C947" t="s">
        <v>45</v>
      </c>
      <c r="D947" t="s">
        <v>6</v>
      </c>
    </row>
    <row r="948" spans="1:4" x14ac:dyDescent="0.35">
      <c r="A948">
        <v>179</v>
      </c>
      <c r="B948" t="s">
        <v>758</v>
      </c>
      <c r="C948" t="s">
        <v>45</v>
      </c>
      <c r="D948" t="s">
        <v>6</v>
      </c>
    </row>
    <row r="949" spans="1:4" x14ac:dyDescent="0.35">
      <c r="A949">
        <v>180</v>
      </c>
      <c r="B949" t="s">
        <v>759</v>
      </c>
      <c r="C949" t="s">
        <v>189</v>
      </c>
      <c r="D949" t="s">
        <v>6</v>
      </c>
    </row>
    <row r="950" spans="1:4" x14ac:dyDescent="0.35">
      <c r="A950">
        <v>180</v>
      </c>
      <c r="B950" t="s">
        <v>760</v>
      </c>
      <c r="C950" t="s">
        <v>16</v>
      </c>
      <c r="D950" t="s">
        <v>13</v>
      </c>
    </row>
    <row r="951" spans="1:4" x14ac:dyDescent="0.35">
      <c r="A951">
        <v>180</v>
      </c>
      <c r="B951" t="s">
        <v>761</v>
      </c>
      <c r="C951" t="s">
        <v>22</v>
      </c>
      <c r="D951" t="s">
        <v>13</v>
      </c>
    </row>
    <row r="952" spans="1:4" x14ac:dyDescent="0.35">
      <c r="A952">
        <v>180</v>
      </c>
      <c r="B952" t="s">
        <v>762</v>
      </c>
      <c r="C952" t="s">
        <v>16</v>
      </c>
      <c r="D952" t="s">
        <v>13</v>
      </c>
    </row>
    <row r="953" spans="1:4" x14ac:dyDescent="0.35">
      <c r="A953">
        <v>180</v>
      </c>
      <c r="B953" t="s">
        <v>763</v>
      </c>
      <c r="C953" t="s">
        <v>101</v>
      </c>
      <c r="D953" t="s">
        <v>6</v>
      </c>
    </row>
    <row r="954" spans="1:4" x14ac:dyDescent="0.35">
      <c r="A954">
        <v>181</v>
      </c>
      <c r="B954" t="s">
        <v>764</v>
      </c>
      <c r="C954" t="s">
        <v>101</v>
      </c>
      <c r="D954" t="s">
        <v>6</v>
      </c>
    </row>
    <row r="955" spans="1:4" x14ac:dyDescent="0.35">
      <c r="A955">
        <v>181</v>
      </c>
      <c r="B955" t="s">
        <v>623</v>
      </c>
      <c r="C955" t="s">
        <v>101</v>
      </c>
      <c r="D955" t="s">
        <v>6</v>
      </c>
    </row>
    <row r="956" spans="1:4" x14ac:dyDescent="0.35">
      <c r="A956">
        <v>181</v>
      </c>
      <c r="B956" t="s">
        <v>765</v>
      </c>
      <c r="C956" t="s">
        <v>101</v>
      </c>
      <c r="D956" t="s">
        <v>6</v>
      </c>
    </row>
    <row r="957" spans="1:4" x14ac:dyDescent="0.35">
      <c r="A957">
        <v>181</v>
      </c>
      <c r="B957" t="s">
        <v>766</v>
      </c>
      <c r="C957" t="s">
        <v>101</v>
      </c>
      <c r="D957" t="s">
        <v>6</v>
      </c>
    </row>
    <row r="958" spans="1:4" x14ac:dyDescent="0.35">
      <c r="A958">
        <v>181</v>
      </c>
      <c r="B958" t="s">
        <v>304</v>
      </c>
      <c r="C958" t="s">
        <v>101</v>
      </c>
      <c r="D958" t="s">
        <v>6</v>
      </c>
    </row>
    <row r="959" spans="1:4" x14ac:dyDescent="0.35">
      <c r="A959">
        <v>181</v>
      </c>
      <c r="B959" t="s">
        <v>305</v>
      </c>
      <c r="C959" t="s">
        <v>101</v>
      </c>
      <c r="D959" t="s">
        <v>6</v>
      </c>
    </row>
    <row r="960" spans="1:4" x14ac:dyDescent="0.35">
      <c r="A960">
        <v>181</v>
      </c>
      <c r="B960" t="s">
        <v>767</v>
      </c>
      <c r="C960" t="s">
        <v>101</v>
      </c>
      <c r="D960" t="s">
        <v>6</v>
      </c>
    </row>
    <row r="961" spans="1:4" x14ac:dyDescent="0.35">
      <c r="A961">
        <v>181</v>
      </c>
      <c r="B961" t="s">
        <v>625</v>
      </c>
      <c r="C961" t="s">
        <v>101</v>
      </c>
      <c r="D961" t="s">
        <v>6</v>
      </c>
    </row>
    <row r="962" spans="1:4" x14ac:dyDescent="0.35">
      <c r="A962">
        <v>181</v>
      </c>
      <c r="B962" t="s">
        <v>768</v>
      </c>
      <c r="C962" t="s">
        <v>101</v>
      </c>
      <c r="D962" t="s">
        <v>6</v>
      </c>
    </row>
    <row r="963" spans="1:4" x14ac:dyDescent="0.35">
      <c r="A963">
        <v>182</v>
      </c>
      <c r="B963" t="s">
        <v>769</v>
      </c>
      <c r="C963" t="s">
        <v>35</v>
      </c>
      <c r="D963" t="s">
        <v>13</v>
      </c>
    </row>
    <row r="964" spans="1:4" x14ac:dyDescent="0.35">
      <c r="A964">
        <v>182</v>
      </c>
      <c r="B964" t="s">
        <v>770</v>
      </c>
      <c r="C964" t="s">
        <v>35</v>
      </c>
      <c r="D964" t="s">
        <v>13</v>
      </c>
    </row>
    <row r="965" spans="1:4" x14ac:dyDescent="0.35">
      <c r="A965">
        <v>182</v>
      </c>
      <c r="B965" t="s">
        <v>771</v>
      </c>
      <c r="C965" t="s">
        <v>35</v>
      </c>
      <c r="D965" t="s">
        <v>13</v>
      </c>
    </row>
    <row r="966" spans="1:4" x14ac:dyDescent="0.35">
      <c r="A966">
        <v>182</v>
      </c>
      <c r="B966" t="s">
        <v>772</v>
      </c>
      <c r="C966" t="s">
        <v>56</v>
      </c>
      <c r="D966" t="s">
        <v>13</v>
      </c>
    </row>
    <row r="967" spans="1:4" x14ac:dyDescent="0.35">
      <c r="A967">
        <v>182</v>
      </c>
      <c r="B967" t="s">
        <v>772</v>
      </c>
      <c r="C967" t="s">
        <v>352</v>
      </c>
      <c r="D967" t="s">
        <v>13</v>
      </c>
    </row>
    <row r="968" spans="1:4" x14ac:dyDescent="0.35">
      <c r="A968">
        <v>182</v>
      </c>
      <c r="B968" t="s">
        <v>773</v>
      </c>
      <c r="C968" t="s">
        <v>172</v>
      </c>
      <c r="D968" t="s">
        <v>6</v>
      </c>
    </row>
    <row r="969" spans="1:4" x14ac:dyDescent="0.35">
      <c r="A969">
        <v>182</v>
      </c>
      <c r="B969" t="s">
        <v>774</v>
      </c>
      <c r="C969" t="s">
        <v>35</v>
      </c>
      <c r="D969" t="s">
        <v>13</v>
      </c>
    </row>
    <row r="970" spans="1:4" x14ac:dyDescent="0.35">
      <c r="A970">
        <v>182</v>
      </c>
      <c r="B970" t="s">
        <v>775</v>
      </c>
      <c r="C970" t="s">
        <v>35</v>
      </c>
      <c r="D970" t="s">
        <v>13</v>
      </c>
    </row>
    <row r="971" spans="1:4" x14ac:dyDescent="0.35">
      <c r="A971">
        <v>182</v>
      </c>
      <c r="B971" t="s">
        <v>776</v>
      </c>
      <c r="C971" t="s">
        <v>35</v>
      </c>
      <c r="D971" t="s">
        <v>13</v>
      </c>
    </row>
    <row r="972" spans="1:4" x14ac:dyDescent="0.35">
      <c r="A972">
        <v>183</v>
      </c>
      <c r="B972" t="s">
        <v>777</v>
      </c>
      <c r="C972" t="s">
        <v>19</v>
      </c>
      <c r="D972" t="s">
        <v>13</v>
      </c>
    </row>
    <row r="973" spans="1:4" x14ac:dyDescent="0.35">
      <c r="A973">
        <v>183</v>
      </c>
      <c r="B973" t="s">
        <v>778</v>
      </c>
      <c r="C973" t="s">
        <v>19</v>
      </c>
      <c r="D973" t="s">
        <v>13</v>
      </c>
    </row>
    <row r="974" spans="1:4" x14ac:dyDescent="0.35">
      <c r="A974">
        <v>183</v>
      </c>
      <c r="B974" t="s">
        <v>779</v>
      </c>
      <c r="C974" t="s">
        <v>19</v>
      </c>
      <c r="D974" t="s">
        <v>13</v>
      </c>
    </row>
    <row r="975" spans="1:4" x14ac:dyDescent="0.35">
      <c r="A975">
        <v>183</v>
      </c>
      <c r="B975" t="s">
        <v>780</v>
      </c>
      <c r="C975" t="s">
        <v>5</v>
      </c>
      <c r="D975" t="s">
        <v>6</v>
      </c>
    </row>
    <row r="976" spans="1:4" x14ac:dyDescent="0.35">
      <c r="A976">
        <v>183</v>
      </c>
      <c r="B976" t="s">
        <v>781</v>
      </c>
      <c r="C976" t="s">
        <v>19</v>
      </c>
      <c r="D976" t="s">
        <v>13</v>
      </c>
    </row>
    <row r="977" spans="1:4" x14ac:dyDescent="0.35">
      <c r="A977">
        <v>183</v>
      </c>
      <c r="B977" t="s">
        <v>782</v>
      </c>
      <c r="C977" t="s">
        <v>19</v>
      </c>
      <c r="D977" t="s">
        <v>13</v>
      </c>
    </row>
    <row r="978" spans="1:4" x14ac:dyDescent="0.35">
      <c r="A978">
        <v>183</v>
      </c>
      <c r="B978" t="s">
        <v>783</v>
      </c>
      <c r="C978" t="s">
        <v>19</v>
      </c>
      <c r="D978" t="s">
        <v>13</v>
      </c>
    </row>
    <row r="979" spans="1:4" x14ac:dyDescent="0.35">
      <c r="A979">
        <v>183</v>
      </c>
      <c r="B979" t="s">
        <v>784</v>
      </c>
      <c r="C979" t="s">
        <v>5</v>
      </c>
      <c r="D979" t="s">
        <v>6</v>
      </c>
    </row>
    <row r="980" spans="1:4" x14ac:dyDescent="0.35">
      <c r="A980">
        <v>183</v>
      </c>
      <c r="B980" t="s">
        <v>785</v>
      </c>
      <c r="C980" t="s">
        <v>19</v>
      </c>
      <c r="D980" t="s">
        <v>13</v>
      </c>
    </row>
    <row r="981" spans="1:4" x14ac:dyDescent="0.35">
      <c r="A981">
        <v>183</v>
      </c>
      <c r="B981" t="s">
        <v>786</v>
      </c>
      <c r="C981" t="s">
        <v>19</v>
      </c>
      <c r="D981" t="s">
        <v>13</v>
      </c>
    </row>
    <row r="982" spans="1:4" x14ac:dyDescent="0.35">
      <c r="A982">
        <v>183</v>
      </c>
      <c r="B982" t="s">
        <v>787</v>
      </c>
      <c r="C982" t="s">
        <v>19</v>
      </c>
      <c r="D982" t="s">
        <v>13</v>
      </c>
    </row>
    <row r="983" spans="1:4" x14ac:dyDescent="0.35">
      <c r="A983">
        <v>183</v>
      </c>
      <c r="B983" t="s">
        <v>788</v>
      </c>
      <c r="C983" t="s">
        <v>5</v>
      </c>
      <c r="D983" t="s">
        <v>6</v>
      </c>
    </row>
    <row r="984" spans="1:4" x14ac:dyDescent="0.35">
      <c r="A984">
        <v>184</v>
      </c>
      <c r="B984" t="s">
        <v>789</v>
      </c>
      <c r="C984" t="s">
        <v>16</v>
      </c>
      <c r="D984" t="s">
        <v>13</v>
      </c>
    </row>
    <row r="985" spans="1:4" x14ac:dyDescent="0.35">
      <c r="A985">
        <v>184</v>
      </c>
      <c r="B985" t="s">
        <v>790</v>
      </c>
      <c r="C985" t="s">
        <v>16</v>
      </c>
      <c r="D985" t="s">
        <v>13</v>
      </c>
    </row>
    <row r="986" spans="1:4" x14ac:dyDescent="0.35">
      <c r="A986">
        <v>184</v>
      </c>
      <c r="B986" t="s">
        <v>791</v>
      </c>
      <c r="C986" t="s">
        <v>16</v>
      </c>
      <c r="D986" t="s">
        <v>13</v>
      </c>
    </row>
    <row r="987" spans="1:4" x14ac:dyDescent="0.35">
      <c r="A987">
        <v>184</v>
      </c>
      <c r="B987" t="s">
        <v>792</v>
      </c>
      <c r="C987" t="s">
        <v>16</v>
      </c>
      <c r="D987" t="s">
        <v>13</v>
      </c>
    </row>
    <row r="988" spans="1:4" x14ac:dyDescent="0.35">
      <c r="A988">
        <v>185</v>
      </c>
      <c r="B988" t="s">
        <v>301</v>
      </c>
      <c r="C988" t="s">
        <v>101</v>
      </c>
      <c r="D988" t="s">
        <v>6</v>
      </c>
    </row>
    <row r="989" spans="1:4" x14ac:dyDescent="0.35">
      <c r="A989">
        <v>185</v>
      </c>
      <c r="B989" t="s">
        <v>293</v>
      </c>
      <c r="C989" t="s">
        <v>101</v>
      </c>
      <c r="D989" t="s">
        <v>6</v>
      </c>
    </row>
    <row r="990" spans="1:4" x14ac:dyDescent="0.35">
      <c r="A990">
        <v>185</v>
      </c>
      <c r="B990" t="s">
        <v>616</v>
      </c>
      <c r="C990" t="s">
        <v>93</v>
      </c>
      <c r="D990" t="s">
        <v>13</v>
      </c>
    </row>
    <row r="991" spans="1:4" x14ac:dyDescent="0.35">
      <c r="A991">
        <v>185</v>
      </c>
      <c r="B991" t="s">
        <v>793</v>
      </c>
      <c r="C991" t="s">
        <v>101</v>
      </c>
      <c r="D991" t="s">
        <v>6</v>
      </c>
    </row>
    <row r="992" spans="1:4" x14ac:dyDescent="0.35">
      <c r="A992">
        <v>185</v>
      </c>
      <c r="B992" t="s">
        <v>294</v>
      </c>
      <c r="C992" t="s">
        <v>101</v>
      </c>
      <c r="D992" t="s">
        <v>6</v>
      </c>
    </row>
    <row r="993" spans="1:4" x14ac:dyDescent="0.35">
      <c r="A993">
        <v>185</v>
      </c>
      <c r="B993" t="s">
        <v>420</v>
      </c>
      <c r="C993" t="s">
        <v>101</v>
      </c>
      <c r="D993" t="s">
        <v>6</v>
      </c>
    </row>
    <row r="994" spans="1:4" x14ac:dyDescent="0.35">
      <c r="A994">
        <v>186</v>
      </c>
      <c r="B994" t="s">
        <v>794</v>
      </c>
      <c r="C994" t="s">
        <v>48</v>
      </c>
      <c r="D994" t="s">
        <v>13</v>
      </c>
    </row>
    <row r="995" spans="1:4" x14ac:dyDescent="0.35">
      <c r="A995">
        <v>187</v>
      </c>
      <c r="B995" t="s">
        <v>175</v>
      </c>
      <c r="C995" t="s">
        <v>16</v>
      </c>
      <c r="D995" t="s">
        <v>13</v>
      </c>
    </row>
    <row r="996" spans="1:4" x14ac:dyDescent="0.35">
      <c r="A996">
        <v>187</v>
      </c>
      <c r="B996" t="s">
        <v>795</v>
      </c>
      <c r="C996" t="s">
        <v>16</v>
      </c>
      <c r="D996" t="s">
        <v>13</v>
      </c>
    </row>
    <row r="997" spans="1:4" x14ac:dyDescent="0.35">
      <c r="A997">
        <v>187</v>
      </c>
      <c r="B997" t="s">
        <v>796</v>
      </c>
      <c r="C997" t="s">
        <v>797</v>
      </c>
      <c r="D997" t="s">
        <v>6</v>
      </c>
    </row>
    <row r="998" spans="1:4" x14ac:dyDescent="0.35">
      <c r="A998">
        <v>188</v>
      </c>
      <c r="B998" t="s">
        <v>798</v>
      </c>
      <c r="C998" t="s">
        <v>72</v>
      </c>
      <c r="D998" t="s">
        <v>13</v>
      </c>
    </row>
    <row r="999" spans="1:4" x14ac:dyDescent="0.35">
      <c r="A999">
        <v>188</v>
      </c>
      <c r="B999" t="s">
        <v>799</v>
      </c>
      <c r="C999" t="s">
        <v>72</v>
      </c>
      <c r="D999" t="s">
        <v>13</v>
      </c>
    </row>
    <row r="1000" spans="1:4" x14ac:dyDescent="0.35">
      <c r="A1000">
        <v>188</v>
      </c>
      <c r="B1000" t="s">
        <v>800</v>
      </c>
      <c r="C1000" t="s">
        <v>5</v>
      </c>
      <c r="D1000" t="s">
        <v>6</v>
      </c>
    </row>
    <row r="1001" spans="1:4" x14ac:dyDescent="0.35">
      <c r="A1001">
        <v>188</v>
      </c>
      <c r="B1001" t="s">
        <v>801</v>
      </c>
      <c r="C1001" t="s">
        <v>5</v>
      </c>
      <c r="D1001" t="s">
        <v>6</v>
      </c>
    </row>
    <row r="1002" spans="1:4" x14ac:dyDescent="0.35">
      <c r="A1002">
        <v>188</v>
      </c>
      <c r="B1002" t="s">
        <v>802</v>
      </c>
      <c r="C1002" t="s">
        <v>72</v>
      </c>
      <c r="D1002" t="s">
        <v>13</v>
      </c>
    </row>
    <row r="1003" spans="1:4" x14ac:dyDescent="0.35">
      <c r="A1003">
        <v>188</v>
      </c>
      <c r="B1003" t="s">
        <v>803</v>
      </c>
      <c r="C1003" t="s">
        <v>72</v>
      </c>
      <c r="D1003" t="s">
        <v>13</v>
      </c>
    </row>
    <row r="1004" spans="1:4" x14ac:dyDescent="0.35">
      <c r="A1004">
        <v>188</v>
      </c>
      <c r="B1004" t="s">
        <v>804</v>
      </c>
      <c r="C1004" t="s">
        <v>72</v>
      </c>
      <c r="D1004" t="s">
        <v>13</v>
      </c>
    </row>
    <row r="1005" spans="1:4" x14ac:dyDescent="0.35">
      <c r="A1005">
        <v>188</v>
      </c>
      <c r="B1005" t="s">
        <v>805</v>
      </c>
      <c r="C1005" t="s">
        <v>72</v>
      </c>
      <c r="D1005" t="s">
        <v>13</v>
      </c>
    </row>
    <row r="1006" spans="1:4" x14ac:dyDescent="0.35">
      <c r="A1006">
        <v>188</v>
      </c>
      <c r="B1006" t="s">
        <v>806</v>
      </c>
      <c r="C1006" t="s">
        <v>72</v>
      </c>
      <c r="D1006" t="s">
        <v>13</v>
      </c>
    </row>
    <row r="1007" spans="1:4" x14ac:dyDescent="0.35">
      <c r="A1007">
        <v>188</v>
      </c>
      <c r="B1007" t="s">
        <v>807</v>
      </c>
      <c r="C1007" t="s">
        <v>72</v>
      </c>
      <c r="D1007" t="s">
        <v>13</v>
      </c>
    </row>
    <row r="1008" spans="1:4" x14ac:dyDescent="0.35">
      <c r="A1008">
        <v>188</v>
      </c>
      <c r="B1008" t="s">
        <v>808</v>
      </c>
      <c r="C1008" t="s">
        <v>72</v>
      </c>
      <c r="D1008" t="s">
        <v>13</v>
      </c>
    </row>
    <row r="1009" spans="1:4" x14ac:dyDescent="0.35">
      <c r="A1009">
        <v>189</v>
      </c>
      <c r="B1009" t="s">
        <v>809</v>
      </c>
      <c r="C1009" t="s">
        <v>48</v>
      </c>
      <c r="D1009" t="s">
        <v>13</v>
      </c>
    </row>
    <row r="1010" spans="1:4" x14ac:dyDescent="0.35">
      <c r="A1010">
        <v>189</v>
      </c>
      <c r="B1010" t="s">
        <v>579</v>
      </c>
      <c r="C1010" t="s">
        <v>231</v>
      </c>
      <c r="D1010" t="s">
        <v>6</v>
      </c>
    </row>
    <row r="1011" spans="1:4" x14ac:dyDescent="0.35">
      <c r="A1011">
        <v>189</v>
      </c>
      <c r="B1011" t="s">
        <v>580</v>
      </c>
      <c r="C1011" t="s">
        <v>231</v>
      </c>
      <c r="D1011" t="s">
        <v>6</v>
      </c>
    </row>
    <row r="1012" spans="1:4" x14ac:dyDescent="0.35">
      <c r="A1012">
        <v>190</v>
      </c>
      <c r="B1012" t="s">
        <v>810</v>
      </c>
      <c r="C1012" t="s">
        <v>19</v>
      </c>
      <c r="D1012" t="s">
        <v>13</v>
      </c>
    </row>
    <row r="1013" spans="1:4" x14ac:dyDescent="0.35">
      <c r="A1013">
        <v>190</v>
      </c>
      <c r="B1013" t="s">
        <v>811</v>
      </c>
      <c r="C1013" t="s">
        <v>72</v>
      </c>
      <c r="D1013" t="s">
        <v>13</v>
      </c>
    </row>
    <row r="1014" spans="1:4" x14ac:dyDescent="0.35">
      <c r="A1014">
        <v>190</v>
      </c>
      <c r="B1014" t="s">
        <v>812</v>
      </c>
      <c r="C1014" t="s">
        <v>72</v>
      </c>
      <c r="D1014" t="s">
        <v>13</v>
      </c>
    </row>
    <row r="1015" spans="1:4" x14ac:dyDescent="0.35">
      <c r="A1015">
        <v>191</v>
      </c>
      <c r="B1015" t="s">
        <v>581</v>
      </c>
      <c r="C1015" t="s">
        <v>157</v>
      </c>
      <c r="D1015" t="s">
        <v>6</v>
      </c>
    </row>
    <row r="1016" spans="1:4" x14ac:dyDescent="0.35">
      <c r="A1016">
        <v>191</v>
      </c>
      <c r="B1016" t="s">
        <v>582</v>
      </c>
      <c r="C1016" t="s">
        <v>157</v>
      </c>
      <c r="D1016" t="s">
        <v>6</v>
      </c>
    </row>
    <row r="1017" spans="1:4" x14ac:dyDescent="0.35">
      <c r="A1017">
        <v>191</v>
      </c>
      <c r="B1017" t="s">
        <v>813</v>
      </c>
      <c r="C1017" t="s">
        <v>157</v>
      </c>
      <c r="D1017" t="s">
        <v>6</v>
      </c>
    </row>
    <row r="1018" spans="1:4" x14ac:dyDescent="0.35">
      <c r="A1018">
        <v>192</v>
      </c>
      <c r="B1018" t="s">
        <v>328</v>
      </c>
      <c r="C1018" t="s">
        <v>93</v>
      </c>
      <c r="D1018" t="s">
        <v>13</v>
      </c>
    </row>
    <row r="1019" spans="1:4" x14ac:dyDescent="0.35">
      <c r="A1019">
        <v>192</v>
      </c>
      <c r="B1019" t="s">
        <v>328</v>
      </c>
      <c r="C1019" t="s">
        <v>157</v>
      </c>
      <c r="D1019" t="s">
        <v>6</v>
      </c>
    </row>
    <row r="1020" spans="1:4" x14ac:dyDescent="0.35">
      <c r="A1020">
        <v>192</v>
      </c>
      <c r="B1020" t="s">
        <v>814</v>
      </c>
      <c r="C1020" t="s">
        <v>19</v>
      </c>
      <c r="D1020" t="s">
        <v>13</v>
      </c>
    </row>
    <row r="1021" spans="1:4" x14ac:dyDescent="0.35">
      <c r="A1021">
        <v>192</v>
      </c>
      <c r="B1021" t="s">
        <v>329</v>
      </c>
      <c r="C1021" t="s">
        <v>157</v>
      </c>
      <c r="D1021" t="s">
        <v>6</v>
      </c>
    </row>
    <row r="1022" spans="1:4" x14ac:dyDescent="0.35">
      <c r="A1022">
        <v>192</v>
      </c>
      <c r="B1022" t="s">
        <v>330</v>
      </c>
      <c r="C1022" t="s">
        <v>157</v>
      </c>
      <c r="D1022" t="s">
        <v>6</v>
      </c>
    </row>
    <row r="1023" spans="1:4" x14ac:dyDescent="0.35">
      <c r="A1023">
        <v>192</v>
      </c>
      <c r="B1023" t="s">
        <v>330</v>
      </c>
      <c r="C1023" t="s">
        <v>19</v>
      </c>
      <c r="D1023" t="s">
        <v>13</v>
      </c>
    </row>
    <row r="1024" spans="1:4" x14ac:dyDescent="0.35">
      <c r="A1024">
        <v>193</v>
      </c>
      <c r="B1024" t="s">
        <v>815</v>
      </c>
      <c r="C1024" t="s">
        <v>101</v>
      </c>
      <c r="D1024" t="s">
        <v>6</v>
      </c>
    </row>
    <row r="1025" spans="1:4" x14ac:dyDescent="0.35">
      <c r="A1025">
        <v>193</v>
      </c>
      <c r="B1025" t="s">
        <v>816</v>
      </c>
      <c r="C1025" t="s">
        <v>261</v>
      </c>
      <c r="D1025" t="s">
        <v>13</v>
      </c>
    </row>
    <row r="1026" spans="1:4" x14ac:dyDescent="0.35">
      <c r="A1026">
        <v>193</v>
      </c>
      <c r="B1026" t="s">
        <v>490</v>
      </c>
      <c r="C1026" t="s">
        <v>101</v>
      </c>
      <c r="D1026" t="s">
        <v>6</v>
      </c>
    </row>
    <row r="1027" spans="1:4" x14ac:dyDescent="0.35">
      <c r="A1027">
        <v>193</v>
      </c>
      <c r="B1027" t="s">
        <v>817</v>
      </c>
      <c r="C1027" t="s">
        <v>261</v>
      </c>
      <c r="D1027" t="s">
        <v>13</v>
      </c>
    </row>
    <row r="1028" spans="1:4" x14ac:dyDescent="0.35">
      <c r="A1028">
        <v>194</v>
      </c>
      <c r="B1028" t="s">
        <v>818</v>
      </c>
      <c r="C1028" t="s">
        <v>72</v>
      </c>
      <c r="D1028" t="s">
        <v>13</v>
      </c>
    </row>
    <row r="1029" spans="1:4" x14ac:dyDescent="0.35">
      <c r="A1029">
        <v>194</v>
      </c>
      <c r="B1029" t="s">
        <v>81</v>
      </c>
      <c r="C1029" t="s">
        <v>72</v>
      </c>
      <c r="D1029" t="s">
        <v>13</v>
      </c>
    </row>
    <row r="1030" spans="1:4" x14ac:dyDescent="0.35">
      <c r="A1030">
        <v>194</v>
      </c>
      <c r="B1030" t="s">
        <v>82</v>
      </c>
      <c r="C1030" t="s">
        <v>72</v>
      </c>
      <c r="D1030" t="s">
        <v>13</v>
      </c>
    </row>
    <row r="1031" spans="1:4" x14ac:dyDescent="0.35">
      <c r="A1031">
        <v>194</v>
      </c>
      <c r="B1031" t="s">
        <v>84</v>
      </c>
      <c r="C1031" t="s">
        <v>72</v>
      </c>
      <c r="D1031" t="s">
        <v>13</v>
      </c>
    </row>
    <row r="1032" spans="1:4" x14ac:dyDescent="0.35">
      <c r="A1032">
        <v>195</v>
      </c>
      <c r="B1032" t="s">
        <v>623</v>
      </c>
      <c r="C1032" t="s">
        <v>101</v>
      </c>
      <c r="D1032" t="s">
        <v>6</v>
      </c>
    </row>
    <row r="1033" spans="1:4" x14ac:dyDescent="0.35">
      <c r="A1033">
        <v>195</v>
      </c>
      <c r="B1033" t="s">
        <v>819</v>
      </c>
      <c r="C1033" t="s">
        <v>101</v>
      </c>
      <c r="D1033" t="s">
        <v>6</v>
      </c>
    </row>
    <row r="1034" spans="1:4" x14ac:dyDescent="0.35">
      <c r="A1034">
        <v>195</v>
      </c>
      <c r="B1034" t="s">
        <v>820</v>
      </c>
      <c r="C1034" t="s">
        <v>352</v>
      </c>
      <c r="D1034" t="s">
        <v>13</v>
      </c>
    </row>
    <row r="1035" spans="1:4" x14ac:dyDescent="0.35">
      <c r="A1035">
        <v>195</v>
      </c>
      <c r="B1035" t="s">
        <v>821</v>
      </c>
      <c r="C1035" t="s">
        <v>352</v>
      </c>
      <c r="D1035" t="s">
        <v>13</v>
      </c>
    </row>
    <row r="1036" spans="1:4" x14ac:dyDescent="0.35">
      <c r="A1036">
        <v>195</v>
      </c>
      <c r="B1036" t="s">
        <v>767</v>
      </c>
      <c r="C1036" t="s">
        <v>101</v>
      </c>
      <c r="D1036" t="s">
        <v>6</v>
      </c>
    </row>
    <row r="1037" spans="1:4" x14ac:dyDescent="0.35">
      <c r="A1037">
        <v>195</v>
      </c>
      <c r="B1037" t="s">
        <v>822</v>
      </c>
      <c r="C1037" t="s">
        <v>101</v>
      </c>
      <c r="D1037" t="s">
        <v>6</v>
      </c>
    </row>
    <row r="1038" spans="1:4" x14ac:dyDescent="0.35">
      <c r="A1038">
        <v>195</v>
      </c>
      <c r="B1038" t="s">
        <v>768</v>
      </c>
      <c r="C1038" t="s">
        <v>101</v>
      </c>
      <c r="D1038" t="s">
        <v>6</v>
      </c>
    </row>
    <row r="1039" spans="1:4" x14ac:dyDescent="0.35">
      <c r="A1039">
        <v>196</v>
      </c>
      <c r="B1039" t="s">
        <v>357</v>
      </c>
      <c r="C1039" t="s">
        <v>231</v>
      </c>
      <c r="D1039" t="s">
        <v>6</v>
      </c>
    </row>
    <row r="1040" spans="1:4" x14ac:dyDescent="0.35">
      <c r="A1040">
        <v>196</v>
      </c>
      <c r="B1040" t="s">
        <v>823</v>
      </c>
      <c r="C1040" t="s">
        <v>231</v>
      </c>
      <c r="D1040" t="s">
        <v>6</v>
      </c>
    </row>
    <row r="1041" spans="1:4" x14ac:dyDescent="0.35">
      <c r="A1041">
        <v>196</v>
      </c>
      <c r="B1041" t="s">
        <v>824</v>
      </c>
      <c r="C1041" t="s">
        <v>231</v>
      </c>
      <c r="D1041" t="s">
        <v>6</v>
      </c>
    </row>
    <row r="1042" spans="1:4" x14ac:dyDescent="0.35">
      <c r="A1042">
        <v>197</v>
      </c>
      <c r="B1042" t="s">
        <v>443</v>
      </c>
      <c r="C1042" t="s">
        <v>45</v>
      </c>
      <c r="D1042" t="s">
        <v>6</v>
      </c>
    </row>
    <row r="1043" spans="1:4" x14ac:dyDescent="0.35">
      <c r="A1043">
        <v>197</v>
      </c>
      <c r="B1043" t="s">
        <v>444</v>
      </c>
      <c r="C1043" t="s">
        <v>35</v>
      </c>
      <c r="D1043" t="s">
        <v>13</v>
      </c>
    </row>
    <row r="1044" spans="1:4" x14ac:dyDescent="0.35">
      <c r="A1044">
        <v>197</v>
      </c>
      <c r="B1044" t="s">
        <v>825</v>
      </c>
      <c r="C1044" t="s">
        <v>45</v>
      </c>
      <c r="D1044" t="s">
        <v>6</v>
      </c>
    </row>
    <row r="1045" spans="1:4" x14ac:dyDescent="0.35">
      <c r="A1045">
        <v>197</v>
      </c>
      <c r="B1045" t="s">
        <v>826</v>
      </c>
      <c r="C1045" t="s">
        <v>45</v>
      </c>
      <c r="D1045" t="s">
        <v>6</v>
      </c>
    </row>
    <row r="1046" spans="1:4" x14ac:dyDescent="0.35">
      <c r="A1046">
        <v>197</v>
      </c>
      <c r="B1046" t="s">
        <v>350</v>
      </c>
      <c r="C1046" t="s">
        <v>45</v>
      </c>
      <c r="D1046" t="s">
        <v>6</v>
      </c>
    </row>
    <row r="1047" spans="1:4" x14ac:dyDescent="0.35">
      <c r="A1047">
        <v>197</v>
      </c>
      <c r="B1047" t="s">
        <v>827</v>
      </c>
      <c r="C1047" t="s">
        <v>45</v>
      </c>
      <c r="D1047" t="s">
        <v>6</v>
      </c>
    </row>
    <row r="1048" spans="1:4" x14ac:dyDescent="0.35">
      <c r="A1048">
        <v>197</v>
      </c>
      <c r="B1048" t="s">
        <v>828</v>
      </c>
      <c r="C1048" t="s">
        <v>45</v>
      </c>
      <c r="D1048" t="s">
        <v>6</v>
      </c>
    </row>
    <row r="1049" spans="1:4" x14ac:dyDescent="0.35">
      <c r="A1049">
        <v>198</v>
      </c>
      <c r="B1049" t="s">
        <v>829</v>
      </c>
      <c r="C1049" t="s">
        <v>45</v>
      </c>
      <c r="D1049" t="s">
        <v>6</v>
      </c>
    </row>
    <row r="1050" spans="1:4" x14ac:dyDescent="0.35">
      <c r="A1050">
        <v>198</v>
      </c>
      <c r="B1050" t="s">
        <v>830</v>
      </c>
      <c r="C1050" t="s">
        <v>45</v>
      </c>
      <c r="D1050" t="s">
        <v>6</v>
      </c>
    </row>
    <row r="1051" spans="1:4" x14ac:dyDescent="0.35">
      <c r="A1051">
        <v>198</v>
      </c>
      <c r="B1051" t="s">
        <v>831</v>
      </c>
      <c r="C1051" t="s">
        <v>45</v>
      </c>
      <c r="D1051" t="s">
        <v>6</v>
      </c>
    </row>
    <row r="1052" spans="1:4" x14ac:dyDescent="0.35">
      <c r="A1052">
        <v>198</v>
      </c>
      <c r="B1052" t="s">
        <v>832</v>
      </c>
      <c r="C1052" t="s">
        <v>16</v>
      </c>
      <c r="D1052" t="s">
        <v>13</v>
      </c>
    </row>
    <row r="1053" spans="1:4" x14ac:dyDescent="0.35">
      <c r="A1053">
        <v>199</v>
      </c>
      <c r="B1053" t="s">
        <v>833</v>
      </c>
      <c r="C1053" t="s">
        <v>231</v>
      </c>
      <c r="D1053" t="s">
        <v>6</v>
      </c>
    </row>
    <row r="1054" spans="1:4" x14ac:dyDescent="0.35">
      <c r="A1054">
        <v>199</v>
      </c>
      <c r="B1054" t="s">
        <v>834</v>
      </c>
      <c r="C1054" t="s">
        <v>231</v>
      </c>
      <c r="D1054" t="s">
        <v>6</v>
      </c>
    </row>
    <row r="1055" spans="1:4" x14ac:dyDescent="0.35">
      <c r="A1055">
        <v>199</v>
      </c>
      <c r="B1055" t="s">
        <v>835</v>
      </c>
      <c r="C1055" t="s">
        <v>352</v>
      </c>
      <c r="D1055" t="s">
        <v>13</v>
      </c>
    </row>
    <row r="1056" spans="1:4" x14ac:dyDescent="0.35">
      <c r="A1056">
        <v>199</v>
      </c>
      <c r="B1056" t="s">
        <v>836</v>
      </c>
      <c r="C1056" t="s">
        <v>231</v>
      </c>
      <c r="D1056" t="s">
        <v>6</v>
      </c>
    </row>
    <row r="1057" spans="1:4" x14ac:dyDescent="0.35">
      <c r="A1057">
        <v>199</v>
      </c>
      <c r="B1057" t="s">
        <v>837</v>
      </c>
      <c r="C1057" t="s">
        <v>231</v>
      </c>
      <c r="D1057" t="s">
        <v>6</v>
      </c>
    </row>
    <row r="1058" spans="1:4" x14ac:dyDescent="0.35">
      <c r="A1058">
        <v>200</v>
      </c>
      <c r="B1058" t="s">
        <v>838</v>
      </c>
      <c r="C1058" t="s">
        <v>189</v>
      </c>
      <c r="D1058" t="s">
        <v>6</v>
      </c>
    </row>
    <row r="1059" spans="1:4" x14ac:dyDescent="0.35">
      <c r="A1059">
        <v>200</v>
      </c>
      <c r="B1059" t="s">
        <v>839</v>
      </c>
      <c r="C1059" t="s">
        <v>189</v>
      </c>
      <c r="D1059" t="s">
        <v>6</v>
      </c>
    </row>
    <row r="1060" spans="1:4" x14ac:dyDescent="0.35">
      <c r="A1060">
        <v>200</v>
      </c>
      <c r="B1060" t="s">
        <v>840</v>
      </c>
      <c r="C1060" t="s">
        <v>189</v>
      </c>
      <c r="D1060" t="s">
        <v>6</v>
      </c>
    </row>
    <row r="1061" spans="1:4" x14ac:dyDescent="0.35">
      <c r="A1061">
        <v>200</v>
      </c>
      <c r="B1061" t="s">
        <v>841</v>
      </c>
      <c r="C1061" t="s">
        <v>189</v>
      </c>
      <c r="D1061" t="s">
        <v>6</v>
      </c>
    </row>
    <row r="1062" spans="1:4" x14ac:dyDescent="0.35">
      <c r="A1062">
        <v>201</v>
      </c>
      <c r="B1062" t="s">
        <v>842</v>
      </c>
      <c r="C1062" t="s">
        <v>5</v>
      </c>
      <c r="D1062" t="s">
        <v>6</v>
      </c>
    </row>
    <row r="1063" spans="1:4" x14ac:dyDescent="0.35">
      <c r="A1063">
        <v>201</v>
      </c>
      <c r="B1063" t="s">
        <v>843</v>
      </c>
      <c r="C1063" t="s">
        <v>5</v>
      </c>
      <c r="D1063" t="s">
        <v>6</v>
      </c>
    </row>
    <row r="1064" spans="1:4" x14ac:dyDescent="0.35">
      <c r="A1064">
        <v>202</v>
      </c>
      <c r="B1064" t="s">
        <v>844</v>
      </c>
      <c r="C1064" t="s">
        <v>48</v>
      </c>
      <c r="D1064" t="s">
        <v>13</v>
      </c>
    </row>
    <row r="1065" spans="1:4" x14ac:dyDescent="0.35">
      <c r="A1065">
        <v>202</v>
      </c>
      <c r="B1065" t="s">
        <v>845</v>
      </c>
      <c r="C1065" t="s">
        <v>846</v>
      </c>
      <c r="D1065" t="s">
        <v>13</v>
      </c>
    </row>
    <row r="1066" spans="1:4" x14ac:dyDescent="0.35">
      <c r="A1066">
        <v>202</v>
      </c>
      <c r="B1066" t="s">
        <v>845</v>
      </c>
      <c r="C1066" t="s">
        <v>48</v>
      </c>
      <c r="D1066" t="s">
        <v>13</v>
      </c>
    </row>
    <row r="1067" spans="1:4" x14ac:dyDescent="0.35">
      <c r="A1067">
        <v>202</v>
      </c>
      <c r="B1067" t="s">
        <v>847</v>
      </c>
      <c r="C1067" t="s">
        <v>48</v>
      </c>
      <c r="D1067" t="s">
        <v>13</v>
      </c>
    </row>
    <row r="1068" spans="1:4" x14ac:dyDescent="0.35">
      <c r="A1068">
        <v>202</v>
      </c>
      <c r="B1068" t="s">
        <v>848</v>
      </c>
      <c r="C1068" t="s">
        <v>48</v>
      </c>
      <c r="D1068" t="s">
        <v>13</v>
      </c>
    </row>
    <row r="1069" spans="1:4" x14ac:dyDescent="0.35">
      <c r="A1069">
        <v>202</v>
      </c>
      <c r="B1069" t="s">
        <v>849</v>
      </c>
      <c r="C1069" t="s">
        <v>48</v>
      </c>
      <c r="D1069" t="s">
        <v>13</v>
      </c>
    </row>
    <row r="1070" spans="1:4" x14ac:dyDescent="0.35">
      <c r="A1070">
        <v>203</v>
      </c>
      <c r="B1070" t="s">
        <v>613</v>
      </c>
      <c r="C1070" t="s">
        <v>93</v>
      </c>
      <c r="D1070" t="s">
        <v>13</v>
      </c>
    </row>
    <row r="1071" spans="1:4" x14ac:dyDescent="0.35">
      <c r="A1071">
        <v>203</v>
      </c>
      <c r="B1071" t="s">
        <v>614</v>
      </c>
      <c r="C1071" t="s">
        <v>93</v>
      </c>
      <c r="D1071" t="s">
        <v>13</v>
      </c>
    </row>
    <row r="1072" spans="1:4" x14ac:dyDescent="0.35">
      <c r="A1072">
        <v>203</v>
      </c>
      <c r="B1072" t="s">
        <v>614</v>
      </c>
      <c r="C1072" t="s">
        <v>48</v>
      </c>
      <c r="D1072" t="s">
        <v>13</v>
      </c>
    </row>
    <row r="1073" spans="1:4" x14ac:dyDescent="0.35">
      <c r="A1073">
        <v>203</v>
      </c>
      <c r="B1073" t="s">
        <v>615</v>
      </c>
      <c r="C1073" t="s">
        <v>93</v>
      </c>
      <c r="D1073" t="s">
        <v>13</v>
      </c>
    </row>
    <row r="1074" spans="1:4" x14ac:dyDescent="0.35">
      <c r="A1074">
        <v>203</v>
      </c>
      <c r="B1074" t="s">
        <v>616</v>
      </c>
      <c r="C1074" t="s">
        <v>93</v>
      </c>
      <c r="D1074" t="s">
        <v>13</v>
      </c>
    </row>
    <row r="1075" spans="1:4" x14ac:dyDescent="0.35">
      <c r="A1075">
        <v>203</v>
      </c>
      <c r="B1075" t="s">
        <v>617</v>
      </c>
      <c r="C1075" t="s">
        <v>93</v>
      </c>
      <c r="D1075" t="s">
        <v>13</v>
      </c>
    </row>
    <row r="1076" spans="1:4" x14ac:dyDescent="0.35">
      <c r="A1076">
        <v>203</v>
      </c>
      <c r="B1076" t="s">
        <v>230</v>
      </c>
      <c r="C1076" t="s">
        <v>231</v>
      </c>
      <c r="D1076" t="s">
        <v>6</v>
      </c>
    </row>
    <row r="1077" spans="1:4" x14ac:dyDescent="0.35">
      <c r="A1077">
        <v>204</v>
      </c>
      <c r="B1077" t="s">
        <v>850</v>
      </c>
      <c r="C1077" t="s">
        <v>157</v>
      </c>
      <c r="D1077" t="s">
        <v>6</v>
      </c>
    </row>
    <row r="1078" spans="1:4" x14ac:dyDescent="0.35">
      <c r="A1078">
        <v>204</v>
      </c>
      <c r="B1078" t="s">
        <v>851</v>
      </c>
      <c r="C1078" t="s">
        <v>157</v>
      </c>
      <c r="D1078" t="s">
        <v>6</v>
      </c>
    </row>
    <row r="1079" spans="1:4" x14ac:dyDescent="0.35">
      <c r="A1079">
        <v>204</v>
      </c>
      <c r="B1079" t="s">
        <v>852</v>
      </c>
      <c r="C1079" t="s">
        <v>157</v>
      </c>
      <c r="D1079" t="s">
        <v>6</v>
      </c>
    </row>
    <row r="1080" spans="1:4" x14ac:dyDescent="0.35">
      <c r="A1080">
        <v>205</v>
      </c>
      <c r="B1080" t="s">
        <v>853</v>
      </c>
      <c r="C1080" t="s">
        <v>231</v>
      </c>
      <c r="D1080" t="s">
        <v>6</v>
      </c>
    </row>
    <row r="1081" spans="1:4" x14ac:dyDescent="0.35">
      <c r="A1081">
        <v>205</v>
      </c>
      <c r="B1081" t="s">
        <v>243</v>
      </c>
      <c r="C1081" t="s">
        <v>231</v>
      </c>
      <c r="D1081" t="s">
        <v>6</v>
      </c>
    </row>
    <row r="1082" spans="1:4" x14ac:dyDescent="0.35">
      <c r="A1082">
        <v>206</v>
      </c>
      <c r="B1082" t="s">
        <v>854</v>
      </c>
      <c r="C1082" t="s">
        <v>5</v>
      </c>
      <c r="D1082" t="s">
        <v>6</v>
      </c>
    </row>
    <row r="1083" spans="1:4" x14ac:dyDescent="0.35">
      <c r="A1083">
        <v>206</v>
      </c>
      <c r="B1083" t="s">
        <v>855</v>
      </c>
      <c r="C1083" t="s">
        <v>22</v>
      </c>
      <c r="D1083" t="s">
        <v>13</v>
      </c>
    </row>
    <row r="1084" spans="1:4" x14ac:dyDescent="0.35">
      <c r="A1084">
        <v>206</v>
      </c>
      <c r="B1084" t="s">
        <v>856</v>
      </c>
      <c r="C1084" t="s">
        <v>22</v>
      </c>
      <c r="D1084" t="s">
        <v>13</v>
      </c>
    </row>
    <row r="1085" spans="1:4" x14ac:dyDescent="0.35">
      <c r="A1085">
        <v>206</v>
      </c>
      <c r="B1085" t="s">
        <v>857</v>
      </c>
      <c r="C1085" t="s">
        <v>22</v>
      </c>
      <c r="D1085" t="s">
        <v>13</v>
      </c>
    </row>
    <row r="1086" spans="1:4" x14ac:dyDescent="0.35">
      <c r="A1086">
        <v>206</v>
      </c>
      <c r="B1086" t="s">
        <v>858</v>
      </c>
      <c r="C1086" t="s">
        <v>22</v>
      </c>
      <c r="D1086" t="s">
        <v>13</v>
      </c>
    </row>
    <row r="1087" spans="1:4" x14ac:dyDescent="0.35">
      <c r="A1087">
        <v>207</v>
      </c>
      <c r="B1087" t="s">
        <v>859</v>
      </c>
      <c r="C1087" t="s">
        <v>16</v>
      </c>
      <c r="D1087" t="s">
        <v>13</v>
      </c>
    </row>
    <row r="1088" spans="1:4" x14ac:dyDescent="0.35">
      <c r="A1088">
        <v>207</v>
      </c>
      <c r="B1088" t="s">
        <v>860</v>
      </c>
      <c r="C1088" t="s">
        <v>45</v>
      </c>
      <c r="D1088" t="s">
        <v>6</v>
      </c>
    </row>
    <row r="1089" spans="1:4" x14ac:dyDescent="0.35">
      <c r="A1089">
        <v>207</v>
      </c>
      <c r="B1089" t="s">
        <v>861</v>
      </c>
      <c r="C1089" t="s">
        <v>16</v>
      </c>
      <c r="D1089" t="s">
        <v>13</v>
      </c>
    </row>
    <row r="1090" spans="1:4" x14ac:dyDescent="0.35">
      <c r="A1090">
        <v>207</v>
      </c>
      <c r="B1090" t="s">
        <v>861</v>
      </c>
      <c r="C1090" t="s">
        <v>45</v>
      </c>
      <c r="D1090" t="s">
        <v>6</v>
      </c>
    </row>
    <row r="1091" spans="1:4" x14ac:dyDescent="0.35">
      <c r="A1091">
        <v>207</v>
      </c>
      <c r="B1091" t="s">
        <v>862</v>
      </c>
      <c r="C1091" t="s">
        <v>45</v>
      </c>
      <c r="D1091" t="s">
        <v>6</v>
      </c>
    </row>
    <row r="1092" spans="1:4" x14ac:dyDescent="0.35">
      <c r="A1092">
        <v>208</v>
      </c>
      <c r="B1092" t="s">
        <v>863</v>
      </c>
      <c r="C1092" t="s">
        <v>164</v>
      </c>
      <c r="D1092" t="s">
        <v>13</v>
      </c>
    </row>
    <row r="1093" spans="1:4" x14ac:dyDescent="0.35">
      <c r="A1093">
        <v>208</v>
      </c>
      <c r="B1093" t="s">
        <v>864</v>
      </c>
      <c r="C1093" t="s">
        <v>865</v>
      </c>
      <c r="D1093" t="s">
        <v>13</v>
      </c>
    </row>
    <row r="1094" spans="1:4" x14ac:dyDescent="0.35">
      <c r="A1094">
        <v>208</v>
      </c>
      <c r="B1094" t="s">
        <v>866</v>
      </c>
      <c r="C1094" t="s">
        <v>164</v>
      </c>
      <c r="D1094" t="s">
        <v>13</v>
      </c>
    </row>
    <row r="1095" spans="1:4" x14ac:dyDescent="0.35">
      <c r="A1095">
        <v>208</v>
      </c>
      <c r="B1095" t="s">
        <v>867</v>
      </c>
      <c r="C1095" t="s">
        <v>164</v>
      </c>
      <c r="D1095" t="s">
        <v>13</v>
      </c>
    </row>
    <row r="1096" spans="1:4" x14ac:dyDescent="0.35">
      <c r="A1096">
        <v>208</v>
      </c>
      <c r="B1096" t="s">
        <v>867</v>
      </c>
      <c r="C1096" t="s">
        <v>865</v>
      </c>
      <c r="D1096" t="s">
        <v>13</v>
      </c>
    </row>
    <row r="1097" spans="1:4" x14ac:dyDescent="0.35">
      <c r="A1097">
        <v>208</v>
      </c>
      <c r="B1097" t="s">
        <v>868</v>
      </c>
      <c r="C1097" t="s">
        <v>865</v>
      </c>
      <c r="D1097" t="s">
        <v>13</v>
      </c>
    </row>
    <row r="1098" spans="1:4" x14ac:dyDescent="0.35">
      <c r="A1098">
        <v>208</v>
      </c>
      <c r="B1098" t="s">
        <v>869</v>
      </c>
      <c r="C1098" t="s">
        <v>865</v>
      </c>
      <c r="D1098" t="s">
        <v>13</v>
      </c>
    </row>
    <row r="1099" spans="1:4" x14ac:dyDescent="0.35">
      <c r="A1099">
        <v>208</v>
      </c>
      <c r="B1099" t="s">
        <v>869</v>
      </c>
      <c r="C1099" t="s">
        <v>164</v>
      </c>
      <c r="D1099" t="s">
        <v>13</v>
      </c>
    </row>
    <row r="1100" spans="1:4" x14ac:dyDescent="0.35">
      <c r="A1100">
        <v>209</v>
      </c>
      <c r="B1100" t="s">
        <v>870</v>
      </c>
      <c r="C1100" t="s">
        <v>72</v>
      </c>
      <c r="D1100" t="s">
        <v>13</v>
      </c>
    </row>
    <row r="1101" spans="1:4" x14ac:dyDescent="0.35">
      <c r="A1101">
        <v>209</v>
      </c>
      <c r="B1101" t="s">
        <v>871</v>
      </c>
      <c r="C1101" t="s">
        <v>72</v>
      </c>
      <c r="D1101" t="s">
        <v>13</v>
      </c>
    </row>
    <row r="1102" spans="1:4" x14ac:dyDescent="0.35">
      <c r="A1102">
        <v>209</v>
      </c>
      <c r="B1102" t="s">
        <v>872</v>
      </c>
      <c r="C1102" t="s">
        <v>72</v>
      </c>
      <c r="D1102" t="s">
        <v>13</v>
      </c>
    </row>
    <row r="1103" spans="1:4" x14ac:dyDescent="0.35">
      <c r="A1103">
        <v>209</v>
      </c>
      <c r="B1103" t="s">
        <v>873</v>
      </c>
      <c r="C1103" t="s">
        <v>72</v>
      </c>
      <c r="D1103" t="s">
        <v>13</v>
      </c>
    </row>
    <row r="1104" spans="1:4" x14ac:dyDescent="0.35">
      <c r="A1104">
        <v>209</v>
      </c>
      <c r="B1104" t="s">
        <v>874</v>
      </c>
      <c r="C1104" t="s">
        <v>72</v>
      </c>
      <c r="D1104" t="s">
        <v>13</v>
      </c>
    </row>
    <row r="1105" spans="1:4" x14ac:dyDescent="0.35">
      <c r="A1105">
        <v>210</v>
      </c>
      <c r="B1105" t="s">
        <v>875</v>
      </c>
      <c r="C1105" t="s">
        <v>72</v>
      </c>
      <c r="D1105" t="s">
        <v>13</v>
      </c>
    </row>
    <row r="1106" spans="1:4" x14ac:dyDescent="0.35">
      <c r="A1106">
        <v>210</v>
      </c>
      <c r="B1106" t="s">
        <v>876</v>
      </c>
      <c r="C1106" t="s">
        <v>45</v>
      </c>
      <c r="D1106" t="s">
        <v>6</v>
      </c>
    </row>
    <row r="1107" spans="1:4" x14ac:dyDescent="0.35">
      <c r="A1107">
        <v>210</v>
      </c>
      <c r="B1107" t="s">
        <v>877</v>
      </c>
      <c r="C1107" t="s">
        <v>45</v>
      </c>
      <c r="D1107" t="s">
        <v>6</v>
      </c>
    </row>
    <row r="1108" spans="1:4" x14ac:dyDescent="0.35">
      <c r="A1108">
        <v>210</v>
      </c>
      <c r="B1108" t="s">
        <v>878</v>
      </c>
      <c r="C1108" t="s">
        <v>45</v>
      </c>
      <c r="D1108" t="s">
        <v>6</v>
      </c>
    </row>
    <row r="1109" spans="1:4" x14ac:dyDescent="0.35">
      <c r="A1109">
        <v>210</v>
      </c>
      <c r="B1109" t="s">
        <v>879</v>
      </c>
      <c r="C1109" t="s">
        <v>72</v>
      </c>
      <c r="D1109" t="s">
        <v>13</v>
      </c>
    </row>
    <row r="1110" spans="1:4" x14ac:dyDescent="0.35">
      <c r="A1110">
        <v>210</v>
      </c>
      <c r="B1110" t="s">
        <v>880</v>
      </c>
      <c r="C1110" t="s">
        <v>45</v>
      </c>
      <c r="D1110" t="s">
        <v>6</v>
      </c>
    </row>
    <row r="1111" spans="1:4" x14ac:dyDescent="0.35">
      <c r="A1111">
        <v>210</v>
      </c>
      <c r="B1111" t="s">
        <v>881</v>
      </c>
      <c r="C1111" t="s">
        <v>45</v>
      </c>
      <c r="D1111" t="s">
        <v>6</v>
      </c>
    </row>
    <row r="1112" spans="1:4" x14ac:dyDescent="0.35">
      <c r="A1112">
        <v>210</v>
      </c>
      <c r="B1112" t="s">
        <v>882</v>
      </c>
      <c r="C1112" t="s">
        <v>45</v>
      </c>
      <c r="D1112" t="s">
        <v>6</v>
      </c>
    </row>
    <row r="1113" spans="1:4" x14ac:dyDescent="0.35">
      <c r="A1113">
        <v>211</v>
      </c>
      <c r="B1113" t="s">
        <v>883</v>
      </c>
      <c r="C1113" t="s">
        <v>5</v>
      </c>
      <c r="D1113" t="s">
        <v>6</v>
      </c>
    </row>
    <row r="1114" spans="1:4" x14ac:dyDescent="0.35">
      <c r="A1114">
        <v>211</v>
      </c>
      <c r="B1114" t="s">
        <v>884</v>
      </c>
      <c r="C1114" t="s">
        <v>5</v>
      </c>
      <c r="D1114" t="s">
        <v>6</v>
      </c>
    </row>
    <row r="1115" spans="1:4" x14ac:dyDescent="0.35">
      <c r="A1115">
        <v>212</v>
      </c>
      <c r="B1115" t="s">
        <v>885</v>
      </c>
      <c r="C1115" t="s">
        <v>19</v>
      </c>
      <c r="D1115" t="s">
        <v>13</v>
      </c>
    </row>
    <row r="1116" spans="1:4" x14ac:dyDescent="0.35">
      <c r="A1116">
        <v>212</v>
      </c>
      <c r="B1116" t="s">
        <v>704</v>
      </c>
      <c r="C1116" t="s">
        <v>19</v>
      </c>
      <c r="D1116" t="s">
        <v>13</v>
      </c>
    </row>
    <row r="1117" spans="1:4" x14ac:dyDescent="0.35">
      <c r="A1117">
        <v>212</v>
      </c>
      <c r="B1117" t="s">
        <v>598</v>
      </c>
      <c r="C1117" t="s">
        <v>19</v>
      </c>
      <c r="D1117" t="s">
        <v>13</v>
      </c>
    </row>
    <row r="1118" spans="1:4" x14ac:dyDescent="0.35">
      <c r="A1118">
        <v>212</v>
      </c>
      <c r="B1118" t="s">
        <v>600</v>
      </c>
      <c r="C1118" t="s">
        <v>45</v>
      </c>
      <c r="D1118" t="s">
        <v>6</v>
      </c>
    </row>
    <row r="1119" spans="1:4" x14ac:dyDescent="0.35">
      <c r="A1119">
        <v>212</v>
      </c>
      <c r="B1119" t="s">
        <v>886</v>
      </c>
      <c r="C1119" t="s">
        <v>19</v>
      </c>
      <c r="D1119" t="s">
        <v>13</v>
      </c>
    </row>
    <row r="1120" spans="1:4" x14ac:dyDescent="0.35">
      <c r="A1120">
        <v>212</v>
      </c>
      <c r="B1120" t="s">
        <v>887</v>
      </c>
      <c r="C1120" t="s">
        <v>19</v>
      </c>
      <c r="D1120" t="s">
        <v>13</v>
      </c>
    </row>
    <row r="1121" spans="1:4" x14ac:dyDescent="0.35">
      <c r="A1121">
        <v>213</v>
      </c>
      <c r="B1121" t="s">
        <v>888</v>
      </c>
      <c r="C1121" t="s">
        <v>341</v>
      </c>
      <c r="D1121" t="s">
        <v>13</v>
      </c>
    </row>
    <row r="1122" spans="1:4" x14ac:dyDescent="0.35">
      <c r="A1122">
        <v>213</v>
      </c>
      <c r="B1122" t="s">
        <v>513</v>
      </c>
      <c r="C1122" t="s">
        <v>172</v>
      </c>
      <c r="D1122" t="s">
        <v>6</v>
      </c>
    </row>
    <row r="1123" spans="1:4" x14ac:dyDescent="0.35">
      <c r="A1123">
        <v>213</v>
      </c>
      <c r="B1123" t="s">
        <v>516</v>
      </c>
      <c r="C1123" t="s">
        <v>35</v>
      </c>
      <c r="D1123" t="s">
        <v>13</v>
      </c>
    </row>
    <row r="1124" spans="1:4" x14ac:dyDescent="0.35">
      <c r="A1124">
        <v>213</v>
      </c>
      <c r="B1124" t="s">
        <v>516</v>
      </c>
      <c r="C1124" t="s">
        <v>517</v>
      </c>
      <c r="D1124" t="s">
        <v>13</v>
      </c>
    </row>
    <row r="1125" spans="1:4" x14ac:dyDescent="0.35">
      <c r="A1125">
        <v>213</v>
      </c>
      <c r="B1125" t="s">
        <v>889</v>
      </c>
      <c r="C1125" t="s">
        <v>56</v>
      </c>
      <c r="D1125" t="s">
        <v>13</v>
      </c>
    </row>
    <row r="1126" spans="1:4" x14ac:dyDescent="0.35">
      <c r="A1126">
        <v>213</v>
      </c>
      <c r="B1126" t="s">
        <v>890</v>
      </c>
      <c r="C1126" t="s">
        <v>56</v>
      </c>
      <c r="D1126" t="s">
        <v>13</v>
      </c>
    </row>
    <row r="1127" spans="1:4" x14ac:dyDescent="0.35">
      <c r="A1127">
        <v>213</v>
      </c>
      <c r="B1127" t="s">
        <v>890</v>
      </c>
      <c r="C1127" t="s">
        <v>352</v>
      </c>
      <c r="D1127" t="s">
        <v>13</v>
      </c>
    </row>
    <row r="1128" spans="1:4" x14ac:dyDescent="0.35">
      <c r="A1128">
        <v>213</v>
      </c>
      <c r="B1128" t="s">
        <v>891</v>
      </c>
      <c r="C1128" t="s">
        <v>189</v>
      </c>
      <c r="D1128" t="s">
        <v>6</v>
      </c>
    </row>
    <row r="1129" spans="1:4" x14ac:dyDescent="0.35">
      <c r="A1129">
        <v>213</v>
      </c>
      <c r="B1129" t="s">
        <v>520</v>
      </c>
      <c r="C1129" t="s">
        <v>517</v>
      </c>
      <c r="D1129" t="s">
        <v>13</v>
      </c>
    </row>
    <row r="1130" spans="1:4" x14ac:dyDescent="0.35">
      <c r="A1130">
        <v>213</v>
      </c>
      <c r="B1130" t="s">
        <v>892</v>
      </c>
      <c r="C1130" t="s">
        <v>93</v>
      </c>
      <c r="D1130" t="s">
        <v>13</v>
      </c>
    </row>
    <row r="1131" spans="1:4" x14ac:dyDescent="0.35">
      <c r="A1131">
        <v>213</v>
      </c>
      <c r="B1131" t="s">
        <v>893</v>
      </c>
      <c r="C1131" t="s">
        <v>64</v>
      </c>
      <c r="D1131" t="s">
        <v>13</v>
      </c>
    </row>
    <row r="1132" spans="1:4" x14ac:dyDescent="0.35">
      <c r="A1132">
        <v>213</v>
      </c>
      <c r="B1132" t="s">
        <v>893</v>
      </c>
      <c r="C1132" t="s">
        <v>56</v>
      </c>
      <c r="D1132" t="s">
        <v>13</v>
      </c>
    </row>
    <row r="1133" spans="1:4" x14ac:dyDescent="0.35">
      <c r="A1133">
        <v>213</v>
      </c>
      <c r="B1133" t="s">
        <v>894</v>
      </c>
      <c r="C1133" t="s">
        <v>25</v>
      </c>
      <c r="D1133" t="s">
        <v>13</v>
      </c>
    </row>
    <row r="1134" spans="1:4" x14ac:dyDescent="0.35">
      <c r="A1134">
        <v>213</v>
      </c>
      <c r="B1134" t="s">
        <v>895</v>
      </c>
      <c r="C1134" t="s">
        <v>517</v>
      </c>
      <c r="D1134" t="s">
        <v>13</v>
      </c>
    </row>
    <row r="1135" spans="1:4" x14ac:dyDescent="0.35">
      <c r="A1135">
        <v>213</v>
      </c>
      <c r="B1135" t="s">
        <v>523</v>
      </c>
      <c r="C1135" t="s">
        <v>172</v>
      </c>
      <c r="D1135" t="s">
        <v>6</v>
      </c>
    </row>
    <row r="1136" spans="1:4" x14ac:dyDescent="0.35">
      <c r="A1136">
        <v>214</v>
      </c>
      <c r="B1136" t="s">
        <v>896</v>
      </c>
      <c r="C1136" t="s">
        <v>93</v>
      </c>
      <c r="D1136" t="s">
        <v>13</v>
      </c>
    </row>
    <row r="1137" spans="1:4" x14ac:dyDescent="0.35">
      <c r="A1137">
        <v>214</v>
      </c>
      <c r="B1137" t="s">
        <v>896</v>
      </c>
      <c r="C1137" t="s">
        <v>19</v>
      </c>
      <c r="D1137" t="s">
        <v>13</v>
      </c>
    </row>
    <row r="1138" spans="1:4" x14ac:dyDescent="0.35">
      <c r="A1138">
        <v>214</v>
      </c>
      <c r="B1138" t="s">
        <v>897</v>
      </c>
      <c r="C1138" t="s">
        <v>19</v>
      </c>
      <c r="D1138" t="s">
        <v>13</v>
      </c>
    </row>
    <row r="1139" spans="1:4" x14ac:dyDescent="0.35">
      <c r="A1139">
        <v>214</v>
      </c>
      <c r="B1139" t="s">
        <v>898</v>
      </c>
      <c r="C1139" t="s">
        <v>19</v>
      </c>
      <c r="D1139" t="s">
        <v>13</v>
      </c>
    </row>
    <row r="1140" spans="1:4" x14ac:dyDescent="0.35">
      <c r="A1140">
        <v>215</v>
      </c>
      <c r="B1140" t="s">
        <v>301</v>
      </c>
      <c r="C1140" t="s">
        <v>101</v>
      </c>
      <c r="D1140" t="s">
        <v>6</v>
      </c>
    </row>
    <row r="1141" spans="1:4" x14ac:dyDescent="0.35">
      <c r="A1141">
        <v>215</v>
      </c>
      <c r="B1141" t="s">
        <v>899</v>
      </c>
      <c r="C1141" t="s">
        <v>16</v>
      </c>
      <c r="D1141" t="s">
        <v>13</v>
      </c>
    </row>
    <row r="1142" spans="1:4" x14ac:dyDescent="0.35">
      <c r="A1142">
        <v>215</v>
      </c>
      <c r="B1142" t="s">
        <v>899</v>
      </c>
      <c r="C1142" t="s">
        <v>101</v>
      </c>
      <c r="D1142" t="s">
        <v>6</v>
      </c>
    </row>
    <row r="1143" spans="1:4" x14ac:dyDescent="0.35">
      <c r="A1143">
        <v>215</v>
      </c>
      <c r="B1143" t="s">
        <v>167</v>
      </c>
      <c r="C1143" t="s">
        <v>16</v>
      </c>
      <c r="D1143" t="s">
        <v>13</v>
      </c>
    </row>
    <row r="1144" spans="1:4" x14ac:dyDescent="0.35">
      <c r="A1144">
        <v>215</v>
      </c>
      <c r="B1144" t="s">
        <v>386</v>
      </c>
      <c r="C1144" t="s">
        <v>101</v>
      </c>
      <c r="D1144" t="s">
        <v>6</v>
      </c>
    </row>
    <row r="1145" spans="1:4" x14ac:dyDescent="0.35">
      <c r="A1145">
        <v>215</v>
      </c>
      <c r="B1145" t="s">
        <v>900</v>
      </c>
      <c r="C1145" t="s">
        <v>72</v>
      </c>
      <c r="D1145" t="s">
        <v>13</v>
      </c>
    </row>
    <row r="1146" spans="1:4" x14ac:dyDescent="0.35">
      <c r="A1146">
        <v>215</v>
      </c>
      <c r="B1146" t="s">
        <v>286</v>
      </c>
      <c r="C1146" t="s">
        <v>16</v>
      </c>
      <c r="D1146" t="s">
        <v>13</v>
      </c>
    </row>
    <row r="1147" spans="1:4" x14ac:dyDescent="0.35">
      <c r="A1147">
        <v>215</v>
      </c>
      <c r="B1147" t="s">
        <v>420</v>
      </c>
      <c r="C1147" t="s">
        <v>101</v>
      </c>
      <c r="D1147" t="s">
        <v>6</v>
      </c>
    </row>
    <row r="1148" spans="1:4" x14ac:dyDescent="0.35">
      <c r="A1148">
        <v>216</v>
      </c>
      <c r="B1148" t="s">
        <v>885</v>
      </c>
      <c r="C1148" t="s">
        <v>19</v>
      </c>
      <c r="D1148" t="s">
        <v>13</v>
      </c>
    </row>
    <row r="1149" spans="1:4" x14ac:dyDescent="0.35">
      <c r="A1149">
        <v>216</v>
      </c>
      <c r="B1149" t="s">
        <v>901</v>
      </c>
      <c r="C1149" t="s">
        <v>19</v>
      </c>
      <c r="D1149" t="s">
        <v>13</v>
      </c>
    </row>
    <row r="1150" spans="1:4" x14ac:dyDescent="0.35">
      <c r="A1150">
        <v>216</v>
      </c>
      <c r="B1150" t="s">
        <v>902</v>
      </c>
      <c r="C1150" t="s">
        <v>19</v>
      </c>
      <c r="D1150" t="s">
        <v>13</v>
      </c>
    </row>
    <row r="1151" spans="1:4" x14ac:dyDescent="0.35">
      <c r="A1151">
        <v>216</v>
      </c>
      <c r="B1151" t="s">
        <v>903</v>
      </c>
      <c r="C1151" t="s">
        <v>19</v>
      </c>
      <c r="D1151" t="s">
        <v>13</v>
      </c>
    </row>
    <row r="1152" spans="1:4" x14ac:dyDescent="0.35">
      <c r="A1152">
        <v>217</v>
      </c>
      <c r="B1152" t="s">
        <v>904</v>
      </c>
      <c r="C1152" t="s">
        <v>189</v>
      </c>
      <c r="D1152" t="s">
        <v>6</v>
      </c>
    </row>
    <row r="1153" spans="1:4" x14ac:dyDescent="0.35">
      <c r="A1153">
        <v>217</v>
      </c>
      <c r="B1153" t="s">
        <v>905</v>
      </c>
      <c r="C1153" t="s">
        <v>16</v>
      </c>
      <c r="D1153" t="s">
        <v>13</v>
      </c>
    </row>
    <row r="1154" spans="1:4" x14ac:dyDescent="0.35">
      <c r="A1154">
        <v>217</v>
      </c>
      <c r="B1154" t="s">
        <v>906</v>
      </c>
      <c r="C1154" t="s">
        <v>16</v>
      </c>
      <c r="D1154" t="s">
        <v>13</v>
      </c>
    </row>
    <row r="1155" spans="1:4" x14ac:dyDescent="0.35">
      <c r="A1155">
        <v>217</v>
      </c>
      <c r="B1155" t="s">
        <v>907</v>
      </c>
      <c r="C1155" t="s">
        <v>16</v>
      </c>
      <c r="D1155" t="s">
        <v>13</v>
      </c>
    </row>
    <row r="1156" spans="1:4" x14ac:dyDescent="0.35">
      <c r="A1156">
        <v>218</v>
      </c>
      <c r="B1156" t="s">
        <v>908</v>
      </c>
      <c r="C1156" t="s">
        <v>189</v>
      </c>
      <c r="D1156" t="s">
        <v>6</v>
      </c>
    </row>
    <row r="1157" spans="1:4" x14ac:dyDescent="0.35">
      <c r="A1157">
        <v>218</v>
      </c>
      <c r="B1157" t="s">
        <v>904</v>
      </c>
      <c r="C1157" t="s">
        <v>189</v>
      </c>
      <c r="D1157" t="s">
        <v>6</v>
      </c>
    </row>
    <row r="1158" spans="1:4" x14ac:dyDescent="0.35">
      <c r="A1158">
        <v>218</v>
      </c>
      <c r="B1158" t="s">
        <v>909</v>
      </c>
      <c r="C1158" t="s">
        <v>16</v>
      </c>
      <c r="D1158" t="s">
        <v>13</v>
      </c>
    </row>
    <row r="1159" spans="1:4" x14ac:dyDescent="0.35">
      <c r="A1159">
        <v>218</v>
      </c>
      <c r="B1159" t="s">
        <v>175</v>
      </c>
      <c r="C1159" t="s">
        <v>16</v>
      </c>
      <c r="D1159" t="s">
        <v>13</v>
      </c>
    </row>
    <row r="1160" spans="1:4" x14ac:dyDescent="0.35">
      <c r="A1160">
        <v>218</v>
      </c>
      <c r="B1160" t="s">
        <v>905</v>
      </c>
      <c r="C1160" t="s">
        <v>16</v>
      </c>
      <c r="D1160" t="s">
        <v>13</v>
      </c>
    </row>
    <row r="1161" spans="1:4" x14ac:dyDescent="0.35">
      <c r="A1161">
        <v>218</v>
      </c>
      <c r="B1161" t="s">
        <v>906</v>
      </c>
      <c r="C1161" t="s">
        <v>16</v>
      </c>
      <c r="D1161" t="s">
        <v>13</v>
      </c>
    </row>
    <row r="1162" spans="1:4" x14ac:dyDescent="0.35">
      <c r="A1162">
        <v>218</v>
      </c>
      <c r="B1162" t="s">
        <v>910</v>
      </c>
      <c r="C1162" t="s">
        <v>16</v>
      </c>
      <c r="D1162" t="s">
        <v>13</v>
      </c>
    </row>
    <row r="1163" spans="1:4" x14ac:dyDescent="0.35">
      <c r="A1163">
        <v>219</v>
      </c>
      <c r="B1163" t="s">
        <v>911</v>
      </c>
      <c r="C1163" t="s">
        <v>19</v>
      </c>
      <c r="D1163" t="s">
        <v>13</v>
      </c>
    </row>
    <row r="1164" spans="1:4" x14ac:dyDescent="0.35">
      <c r="A1164">
        <v>219</v>
      </c>
      <c r="B1164" t="s">
        <v>912</v>
      </c>
      <c r="C1164" t="s">
        <v>72</v>
      </c>
      <c r="D1164" t="s">
        <v>13</v>
      </c>
    </row>
    <row r="1165" spans="1:4" x14ac:dyDescent="0.35">
      <c r="A1165">
        <v>219</v>
      </c>
      <c r="B1165" t="s">
        <v>913</v>
      </c>
      <c r="C1165" t="s">
        <v>72</v>
      </c>
      <c r="D1165" t="s">
        <v>13</v>
      </c>
    </row>
    <row r="1166" spans="1:4" x14ac:dyDescent="0.35">
      <c r="A1166">
        <v>219</v>
      </c>
      <c r="B1166" t="s">
        <v>914</v>
      </c>
      <c r="C1166" t="s">
        <v>72</v>
      </c>
      <c r="D1166" t="s">
        <v>13</v>
      </c>
    </row>
    <row r="1167" spans="1:4" x14ac:dyDescent="0.35">
      <c r="A1167">
        <v>219</v>
      </c>
      <c r="B1167" t="s">
        <v>915</v>
      </c>
      <c r="C1167" t="s">
        <v>72</v>
      </c>
      <c r="D1167" t="s">
        <v>13</v>
      </c>
    </row>
    <row r="1168" spans="1:4" x14ac:dyDescent="0.35">
      <c r="A1168">
        <v>219</v>
      </c>
      <c r="B1168" t="s">
        <v>346</v>
      </c>
      <c r="C1168" t="s">
        <v>72</v>
      </c>
      <c r="D1168" t="s">
        <v>13</v>
      </c>
    </row>
    <row r="1169" spans="1:4" x14ac:dyDescent="0.35">
      <c r="A1169">
        <v>219</v>
      </c>
      <c r="B1169" t="s">
        <v>916</v>
      </c>
      <c r="C1169" t="s">
        <v>72</v>
      </c>
      <c r="D1169" t="s">
        <v>13</v>
      </c>
    </row>
    <row r="1170" spans="1:4" x14ac:dyDescent="0.35">
      <c r="A1170">
        <v>220</v>
      </c>
      <c r="B1170" t="s">
        <v>917</v>
      </c>
      <c r="C1170" t="s">
        <v>189</v>
      </c>
      <c r="D1170" t="s">
        <v>6</v>
      </c>
    </row>
    <row r="1171" spans="1:4" x14ac:dyDescent="0.35">
      <c r="A1171">
        <v>220</v>
      </c>
      <c r="B1171" t="s">
        <v>918</v>
      </c>
      <c r="C1171" t="s">
        <v>189</v>
      </c>
      <c r="D1171" t="s">
        <v>6</v>
      </c>
    </row>
    <row r="1172" spans="1:4" x14ac:dyDescent="0.35">
      <c r="A1172">
        <v>220</v>
      </c>
      <c r="B1172" t="s">
        <v>919</v>
      </c>
      <c r="C1172" t="s">
        <v>189</v>
      </c>
      <c r="D1172" t="s">
        <v>6</v>
      </c>
    </row>
    <row r="1173" spans="1:4" x14ac:dyDescent="0.35">
      <c r="A1173">
        <v>220</v>
      </c>
      <c r="B1173" t="s">
        <v>920</v>
      </c>
      <c r="C1173" t="s">
        <v>189</v>
      </c>
      <c r="D1173" t="s">
        <v>6</v>
      </c>
    </row>
    <row r="1174" spans="1:4" x14ac:dyDescent="0.35">
      <c r="A1174">
        <v>220</v>
      </c>
      <c r="B1174" t="s">
        <v>921</v>
      </c>
      <c r="C1174" t="s">
        <v>189</v>
      </c>
      <c r="D1174" t="s">
        <v>6</v>
      </c>
    </row>
    <row r="1175" spans="1:4" x14ac:dyDescent="0.35">
      <c r="A1175">
        <v>221</v>
      </c>
      <c r="B1175" t="s">
        <v>922</v>
      </c>
      <c r="C1175" t="s">
        <v>48</v>
      </c>
      <c r="D1175" t="s">
        <v>13</v>
      </c>
    </row>
    <row r="1176" spans="1:4" x14ac:dyDescent="0.35">
      <c r="A1176">
        <v>221</v>
      </c>
      <c r="B1176" t="s">
        <v>923</v>
      </c>
      <c r="C1176" t="s">
        <v>48</v>
      </c>
      <c r="D1176" t="s">
        <v>13</v>
      </c>
    </row>
    <row r="1177" spans="1:4" x14ac:dyDescent="0.35">
      <c r="A1177">
        <v>221</v>
      </c>
      <c r="B1177" t="s">
        <v>924</v>
      </c>
      <c r="C1177" t="s">
        <v>56</v>
      </c>
      <c r="D1177" t="s">
        <v>13</v>
      </c>
    </row>
    <row r="1178" spans="1:4" x14ac:dyDescent="0.35">
      <c r="A1178">
        <v>222</v>
      </c>
      <c r="B1178" t="s">
        <v>465</v>
      </c>
      <c r="C1178" t="s">
        <v>22</v>
      </c>
      <c r="D1178" t="s">
        <v>13</v>
      </c>
    </row>
    <row r="1179" spans="1:4" x14ac:dyDescent="0.35">
      <c r="A1179">
        <v>222</v>
      </c>
      <c r="B1179" t="s">
        <v>925</v>
      </c>
      <c r="C1179" t="s">
        <v>22</v>
      </c>
      <c r="D1179" t="s">
        <v>13</v>
      </c>
    </row>
    <row r="1180" spans="1:4" x14ac:dyDescent="0.35">
      <c r="A1180">
        <v>222</v>
      </c>
      <c r="B1180" t="s">
        <v>926</v>
      </c>
      <c r="C1180" t="s">
        <v>22</v>
      </c>
      <c r="D1180" t="s">
        <v>13</v>
      </c>
    </row>
    <row r="1181" spans="1:4" x14ac:dyDescent="0.35">
      <c r="A1181">
        <v>223</v>
      </c>
      <c r="B1181" t="s">
        <v>927</v>
      </c>
      <c r="C1181" t="s">
        <v>5</v>
      </c>
      <c r="D1181" t="s">
        <v>6</v>
      </c>
    </row>
    <row r="1182" spans="1:4" x14ac:dyDescent="0.35">
      <c r="A1182">
        <v>223</v>
      </c>
      <c r="B1182" t="s">
        <v>927</v>
      </c>
      <c r="C1182" t="s">
        <v>25</v>
      </c>
      <c r="D1182" t="s">
        <v>13</v>
      </c>
    </row>
    <row r="1183" spans="1:4" x14ac:dyDescent="0.35">
      <c r="A1183">
        <v>223</v>
      </c>
      <c r="B1183" t="s">
        <v>928</v>
      </c>
      <c r="C1183" t="s">
        <v>25</v>
      </c>
      <c r="D1183" t="s">
        <v>13</v>
      </c>
    </row>
    <row r="1184" spans="1:4" x14ac:dyDescent="0.35">
      <c r="A1184">
        <v>223</v>
      </c>
      <c r="B1184" t="s">
        <v>929</v>
      </c>
      <c r="C1184" t="s">
        <v>25</v>
      </c>
      <c r="D1184" t="s">
        <v>13</v>
      </c>
    </row>
    <row r="1185" spans="1:4" x14ac:dyDescent="0.35">
      <c r="A1185">
        <v>223</v>
      </c>
      <c r="B1185" t="s">
        <v>930</v>
      </c>
      <c r="C1185" t="s">
        <v>25</v>
      </c>
      <c r="D1185" t="s">
        <v>13</v>
      </c>
    </row>
    <row r="1186" spans="1:4" x14ac:dyDescent="0.35">
      <c r="A1186">
        <v>224</v>
      </c>
      <c r="B1186" t="s">
        <v>931</v>
      </c>
      <c r="C1186" t="s">
        <v>5</v>
      </c>
      <c r="D1186" t="s">
        <v>6</v>
      </c>
    </row>
    <row r="1187" spans="1:4" x14ac:dyDescent="0.35">
      <c r="A1187">
        <v>224</v>
      </c>
      <c r="B1187" t="s">
        <v>932</v>
      </c>
      <c r="C1187" t="s">
        <v>5</v>
      </c>
      <c r="D1187" t="s">
        <v>6</v>
      </c>
    </row>
    <row r="1188" spans="1:4" x14ac:dyDescent="0.35">
      <c r="A1188">
        <v>224</v>
      </c>
      <c r="B1188" t="s">
        <v>216</v>
      </c>
      <c r="C1188" t="s">
        <v>5</v>
      </c>
      <c r="D1188" t="s">
        <v>6</v>
      </c>
    </row>
    <row r="1189" spans="1:4" x14ac:dyDescent="0.35">
      <c r="A1189">
        <v>224</v>
      </c>
      <c r="B1189" t="s">
        <v>933</v>
      </c>
      <c r="C1189" t="s">
        <v>5</v>
      </c>
      <c r="D1189" t="s">
        <v>6</v>
      </c>
    </row>
    <row r="1190" spans="1:4" x14ac:dyDescent="0.35">
      <c r="A1190">
        <v>224</v>
      </c>
      <c r="B1190" t="s">
        <v>934</v>
      </c>
      <c r="C1190" t="s">
        <v>5</v>
      </c>
      <c r="D1190" t="s">
        <v>6</v>
      </c>
    </row>
    <row r="1191" spans="1:4" x14ac:dyDescent="0.35">
      <c r="A1191">
        <v>225</v>
      </c>
      <c r="B1191" t="s">
        <v>935</v>
      </c>
      <c r="C1191" t="s">
        <v>93</v>
      </c>
      <c r="D1191" t="s">
        <v>13</v>
      </c>
    </row>
    <row r="1192" spans="1:4" x14ac:dyDescent="0.35">
      <c r="A1192">
        <v>225</v>
      </c>
      <c r="B1192" t="s">
        <v>212</v>
      </c>
      <c r="C1192" t="s">
        <v>5</v>
      </c>
      <c r="D1192" t="s">
        <v>6</v>
      </c>
    </row>
    <row r="1193" spans="1:4" x14ac:dyDescent="0.35">
      <c r="A1193">
        <v>225</v>
      </c>
      <c r="B1193" t="s">
        <v>936</v>
      </c>
      <c r="C1193" t="s">
        <v>5</v>
      </c>
      <c r="D1193" t="s">
        <v>6</v>
      </c>
    </row>
    <row r="1194" spans="1:4" x14ac:dyDescent="0.35">
      <c r="A1194">
        <v>225</v>
      </c>
      <c r="B1194" t="s">
        <v>937</v>
      </c>
      <c r="C1194" t="s">
        <v>5</v>
      </c>
      <c r="D1194" t="s">
        <v>6</v>
      </c>
    </row>
    <row r="1195" spans="1:4" x14ac:dyDescent="0.35">
      <c r="A1195">
        <v>225</v>
      </c>
      <c r="B1195" t="s">
        <v>938</v>
      </c>
      <c r="C1195" t="s">
        <v>5</v>
      </c>
      <c r="D1195" t="s">
        <v>6</v>
      </c>
    </row>
    <row r="1196" spans="1:4" x14ac:dyDescent="0.35">
      <c r="A1196">
        <v>226</v>
      </c>
      <c r="B1196" t="s">
        <v>939</v>
      </c>
      <c r="C1196" t="s">
        <v>19</v>
      </c>
      <c r="D1196" t="s">
        <v>13</v>
      </c>
    </row>
    <row r="1197" spans="1:4" x14ac:dyDescent="0.35">
      <c r="A1197">
        <v>226</v>
      </c>
      <c r="B1197" t="s">
        <v>940</v>
      </c>
      <c r="C1197" t="s">
        <v>45</v>
      </c>
      <c r="D1197" t="s">
        <v>6</v>
      </c>
    </row>
    <row r="1198" spans="1:4" x14ac:dyDescent="0.35">
      <c r="A1198">
        <v>226</v>
      </c>
      <c r="B1198" t="s">
        <v>941</v>
      </c>
      <c r="C1198" t="s">
        <v>19</v>
      </c>
      <c r="D1198" t="s">
        <v>13</v>
      </c>
    </row>
    <row r="1199" spans="1:4" x14ac:dyDescent="0.35">
      <c r="A1199">
        <v>226</v>
      </c>
      <c r="B1199" t="s">
        <v>942</v>
      </c>
      <c r="C1199" t="s">
        <v>45</v>
      </c>
      <c r="D1199" t="s">
        <v>6</v>
      </c>
    </row>
    <row r="1200" spans="1:4" x14ac:dyDescent="0.35">
      <c r="A1200">
        <v>227</v>
      </c>
      <c r="B1200" t="s">
        <v>943</v>
      </c>
      <c r="C1200" t="s">
        <v>16</v>
      </c>
      <c r="D1200" t="s">
        <v>13</v>
      </c>
    </row>
    <row r="1201" spans="1:4" x14ac:dyDescent="0.35">
      <c r="A1201">
        <v>227</v>
      </c>
      <c r="B1201" t="s">
        <v>944</v>
      </c>
      <c r="C1201" t="s">
        <v>16</v>
      </c>
      <c r="D1201" t="s">
        <v>13</v>
      </c>
    </row>
    <row r="1202" spans="1:4" x14ac:dyDescent="0.35">
      <c r="A1202">
        <v>228</v>
      </c>
      <c r="B1202" t="s">
        <v>945</v>
      </c>
      <c r="C1202" t="s">
        <v>19</v>
      </c>
      <c r="D1202" t="s">
        <v>13</v>
      </c>
    </row>
    <row r="1203" spans="1:4" x14ac:dyDescent="0.35">
      <c r="A1203">
        <v>228</v>
      </c>
      <c r="B1203" t="s">
        <v>946</v>
      </c>
      <c r="C1203" t="s">
        <v>19</v>
      </c>
      <c r="D1203" t="s">
        <v>13</v>
      </c>
    </row>
    <row r="1204" spans="1:4" x14ac:dyDescent="0.35">
      <c r="A1204">
        <v>228</v>
      </c>
      <c r="B1204" t="s">
        <v>373</v>
      </c>
      <c r="C1204" t="s">
        <v>19</v>
      </c>
      <c r="D1204" t="s">
        <v>13</v>
      </c>
    </row>
    <row r="1205" spans="1:4" x14ac:dyDescent="0.35">
      <c r="A1205">
        <v>229</v>
      </c>
      <c r="B1205" t="s">
        <v>947</v>
      </c>
      <c r="C1205" t="s">
        <v>16</v>
      </c>
      <c r="D1205" t="s">
        <v>13</v>
      </c>
    </row>
    <row r="1206" spans="1:4" x14ac:dyDescent="0.35">
      <c r="A1206">
        <v>229</v>
      </c>
      <c r="B1206" t="s">
        <v>948</v>
      </c>
      <c r="C1206" t="s">
        <v>16</v>
      </c>
      <c r="D1206" t="s">
        <v>13</v>
      </c>
    </row>
    <row r="1207" spans="1:4" x14ac:dyDescent="0.35">
      <c r="A1207">
        <v>229</v>
      </c>
      <c r="B1207" t="s">
        <v>949</v>
      </c>
      <c r="C1207" t="s">
        <v>16</v>
      </c>
      <c r="D1207" t="s">
        <v>13</v>
      </c>
    </row>
    <row r="1208" spans="1:4" x14ac:dyDescent="0.35">
      <c r="A1208">
        <v>229</v>
      </c>
      <c r="B1208" t="s">
        <v>950</v>
      </c>
      <c r="C1208" t="s">
        <v>16</v>
      </c>
      <c r="D1208" t="s">
        <v>13</v>
      </c>
    </row>
    <row r="1209" spans="1:4" x14ac:dyDescent="0.35">
      <c r="A1209">
        <v>229</v>
      </c>
      <c r="B1209" t="s">
        <v>951</v>
      </c>
      <c r="C1209" t="s">
        <v>16</v>
      </c>
      <c r="D1209" t="s">
        <v>13</v>
      </c>
    </row>
    <row r="1210" spans="1:4" x14ac:dyDescent="0.35">
      <c r="A1210">
        <v>230</v>
      </c>
      <c r="B1210" t="s">
        <v>616</v>
      </c>
      <c r="C1210" t="s">
        <v>93</v>
      </c>
      <c r="D1210" t="s">
        <v>13</v>
      </c>
    </row>
    <row r="1211" spans="1:4" x14ac:dyDescent="0.35">
      <c r="A1211">
        <v>230</v>
      </c>
      <c r="B1211" t="s">
        <v>617</v>
      </c>
      <c r="C1211" t="s">
        <v>93</v>
      </c>
      <c r="D1211" t="s">
        <v>13</v>
      </c>
    </row>
    <row r="1212" spans="1:4" x14ac:dyDescent="0.35">
      <c r="A1212">
        <v>230</v>
      </c>
      <c r="B1212" t="s">
        <v>952</v>
      </c>
      <c r="C1212" t="s">
        <v>93</v>
      </c>
      <c r="D1212" t="s">
        <v>13</v>
      </c>
    </row>
    <row r="1213" spans="1:4" x14ac:dyDescent="0.35">
      <c r="A1213">
        <v>231</v>
      </c>
      <c r="B1213" t="s">
        <v>577</v>
      </c>
      <c r="C1213" t="s">
        <v>231</v>
      </c>
      <c r="D1213" t="s">
        <v>6</v>
      </c>
    </row>
    <row r="1214" spans="1:4" x14ac:dyDescent="0.35">
      <c r="A1214">
        <v>231</v>
      </c>
      <c r="B1214" t="s">
        <v>579</v>
      </c>
      <c r="C1214" t="s">
        <v>231</v>
      </c>
      <c r="D1214" t="s">
        <v>6</v>
      </c>
    </row>
    <row r="1215" spans="1:4" x14ac:dyDescent="0.35">
      <c r="A1215">
        <v>231</v>
      </c>
      <c r="B1215" t="s">
        <v>580</v>
      </c>
      <c r="C1215" t="s">
        <v>231</v>
      </c>
      <c r="D1215" t="s">
        <v>6</v>
      </c>
    </row>
    <row r="1216" spans="1:4" x14ac:dyDescent="0.35">
      <c r="A1216">
        <v>232</v>
      </c>
      <c r="B1216" t="s">
        <v>953</v>
      </c>
      <c r="C1216" t="s">
        <v>16</v>
      </c>
      <c r="D1216" t="s">
        <v>13</v>
      </c>
    </row>
    <row r="1217" spans="1:4" x14ac:dyDescent="0.35">
      <c r="A1217">
        <v>232</v>
      </c>
      <c r="B1217" t="s">
        <v>954</v>
      </c>
      <c r="C1217" t="s">
        <v>16</v>
      </c>
      <c r="D1217" t="s">
        <v>13</v>
      </c>
    </row>
    <row r="1218" spans="1:4" x14ac:dyDescent="0.35">
      <c r="A1218">
        <v>232</v>
      </c>
      <c r="B1218" t="s">
        <v>955</v>
      </c>
      <c r="C1218" t="s">
        <v>16</v>
      </c>
      <c r="D1218" t="s">
        <v>13</v>
      </c>
    </row>
    <row r="1219" spans="1:4" x14ac:dyDescent="0.35">
      <c r="A1219">
        <v>232</v>
      </c>
      <c r="B1219" t="s">
        <v>956</v>
      </c>
      <c r="C1219" t="s">
        <v>16</v>
      </c>
      <c r="D1219" t="s">
        <v>13</v>
      </c>
    </row>
    <row r="1220" spans="1:4" x14ac:dyDescent="0.35">
      <c r="A1220">
        <v>232</v>
      </c>
      <c r="B1220" t="s">
        <v>957</v>
      </c>
      <c r="C1220" t="s">
        <v>101</v>
      </c>
      <c r="D1220" t="s">
        <v>6</v>
      </c>
    </row>
    <row r="1221" spans="1:4" x14ac:dyDescent="0.35">
      <c r="A1221">
        <v>232</v>
      </c>
      <c r="B1221" t="s">
        <v>958</v>
      </c>
      <c r="C1221" t="s">
        <v>16</v>
      </c>
      <c r="D1221" t="s">
        <v>13</v>
      </c>
    </row>
    <row r="1222" spans="1:4" x14ac:dyDescent="0.35">
      <c r="A1222">
        <v>232</v>
      </c>
      <c r="B1222" t="s">
        <v>959</v>
      </c>
      <c r="C1222" t="s">
        <v>16</v>
      </c>
      <c r="D1222" t="s">
        <v>13</v>
      </c>
    </row>
    <row r="1223" spans="1:4" x14ac:dyDescent="0.35">
      <c r="A1223">
        <v>233</v>
      </c>
      <c r="B1223" t="s">
        <v>960</v>
      </c>
      <c r="C1223" t="s">
        <v>72</v>
      </c>
      <c r="D1223" t="s">
        <v>13</v>
      </c>
    </row>
    <row r="1224" spans="1:4" x14ac:dyDescent="0.35">
      <c r="A1224">
        <v>233</v>
      </c>
      <c r="B1224" t="s">
        <v>961</v>
      </c>
      <c r="C1224" t="s">
        <v>19</v>
      </c>
      <c r="D1224" t="s">
        <v>13</v>
      </c>
    </row>
    <row r="1225" spans="1:4" x14ac:dyDescent="0.35">
      <c r="A1225">
        <v>233</v>
      </c>
      <c r="B1225" t="s">
        <v>962</v>
      </c>
      <c r="C1225" t="s">
        <v>19</v>
      </c>
      <c r="D1225" t="s">
        <v>13</v>
      </c>
    </row>
    <row r="1226" spans="1:4" x14ac:dyDescent="0.35">
      <c r="A1226">
        <v>234</v>
      </c>
      <c r="B1226" t="s">
        <v>963</v>
      </c>
      <c r="C1226" t="s">
        <v>93</v>
      </c>
      <c r="D1226" t="s">
        <v>13</v>
      </c>
    </row>
    <row r="1227" spans="1:4" x14ac:dyDescent="0.35">
      <c r="A1227">
        <v>234</v>
      </c>
      <c r="B1227" t="s">
        <v>357</v>
      </c>
      <c r="C1227" t="s">
        <v>231</v>
      </c>
      <c r="D1227" t="s">
        <v>6</v>
      </c>
    </row>
    <row r="1228" spans="1:4" x14ac:dyDescent="0.35">
      <c r="A1228">
        <v>234</v>
      </c>
      <c r="B1228" t="s">
        <v>964</v>
      </c>
      <c r="C1228" t="s">
        <v>231</v>
      </c>
      <c r="D1228" t="s">
        <v>6</v>
      </c>
    </row>
    <row r="1229" spans="1:4" x14ac:dyDescent="0.35">
      <c r="A1229">
        <v>234</v>
      </c>
      <c r="B1229" t="s">
        <v>964</v>
      </c>
      <c r="C1229" t="s">
        <v>22</v>
      </c>
      <c r="D1229" t="s">
        <v>13</v>
      </c>
    </row>
    <row r="1230" spans="1:4" x14ac:dyDescent="0.35">
      <c r="A1230">
        <v>234</v>
      </c>
      <c r="B1230" t="s">
        <v>965</v>
      </c>
      <c r="C1230" t="s">
        <v>22</v>
      </c>
      <c r="D1230" t="s">
        <v>13</v>
      </c>
    </row>
    <row r="1231" spans="1:4" x14ac:dyDescent="0.35">
      <c r="A1231">
        <v>234</v>
      </c>
      <c r="B1231" t="s">
        <v>360</v>
      </c>
      <c r="C1231" t="s">
        <v>231</v>
      </c>
      <c r="D1231" t="s">
        <v>6</v>
      </c>
    </row>
    <row r="1232" spans="1:4" x14ac:dyDescent="0.35">
      <c r="A1232">
        <v>235</v>
      </c>
      <c r="B1232" t="s">
        <v>966</v>
      </c>
      <c r="C1232" t="s">
        <v>231</v>
      </c>
      <c r="D1232" t="s">
        <v>6</v>
      </c>
    </row>
    <row r="1233" spans="1:4" x14ac:dyDescent="0.35">
      <c r="A1233">
        <v>235</v>
      </c>
      <c r="B1233" t="s">
        <v>967</v>
      </c>
      <c r="C1233" t="s">
        <v>231</v>
      </c>
      <c r="D1233" t="s">
        <v>6</v>
      </c>
    </row>
    <row r="1234" spans="1:4" x14ac:dyDescent="0.35">
      <c r="A1234">
        <v>235</v>
      </c>
      <c r="B1234" t="s">
        <v>968</v>
      </c>
      <c r="C1234" t="s">
        <v>969</v>
      </c>
      <c r="D1234" t="s">
        <v>13</v>
      </c>
    </row>
    <row r="1235" spans="1:4" x14ac:dyDescent="0.35">
      <c r="A1235">
        <v>235</v>
      </c>
      <c r="B1235" t="s">
        <v>968</v>
      </c>
      <c r="C1235" t="s">
        <v>231</v>
      </c>
      <c r="D1235" t="s">
        <v>6</v>
      </c>
    </row>
    <row r="1236" spans="1:4" x14ac:dyDescent="0.35">
      <c r="A1236">
        <v>235</v>
      </c>
      <c r="B1236" t="s">
        <v>970</v>
      </c>
      <c r="C1236" t="s">
        <v>231</v>
      </c>
      <c r="D1236" t="s">
        <v>6</v>
      </c>
    </row>
    <row r="1237" spans="1:4" x14ac:dyDescent="0.35">
      <c r="A1237">
        <v>235</v>
      </c>
      <c r="B1237" t="s">
        <v>580</v>
      </c>
      <c r="C1237" t="s">
        <v>231</v>
      </c>
      <c r="D1237" t="s">
        <v>6</v>
      </c>
    </row>
    <row r="1238" spans="1:4" x14ac:dyDescent="0.35">
      <c r="A1238">
        <v>235</v>
      </c>
      <c r="B1238" t="s">
        <v>971</v>
      </c>
      <c r="C1238" t="s">
        <v>972</v>
      </c>
      <c r="D1238" t="s">
        <v>13</v>
      </c>
    </row>
    <row r="1239" spans="1:4" x14ac:dyDescent="0.35">
      <c r="A1239">
        <v>236</v>
      </c>
      <c r="B1239" t="s">
        <v>973</v>
      </c>
      <c r="C1239" t="s">
        <v>22</v>
      </c>
      <c r="D1239" t="s">
        <v>13</v>
      </c>
    </row>
    <row r="1240" spans="1:4" x14ac:dyDescent="0.35">
      <c r="A1240">
        <v>236</v>
      </c>
      <c r="B1240" t="s">
        <v>974</v>
      </c>
      <c r="C1240" t="s">
        <v>22</v>
      </c>
      <c r="D1240" t="s">
        <v>13</v>
      </c>
    </row>
    <row r="1241" spans="1:4" x14ac:dyDescent="0.35">
      <c r="A1241">
        <v>236</v>
      </c>
      <c r="B1241" t="s">
        <v>974</v>
      </c>
      <c r="C1241" t="s">
        <v>189</v>
      </c>
      <c r="D1241" t="s">
        <v>6</v>
      </c>
    </row>
    <row r="1242" spans="1:4" x14ac:dyDescent="0.35">
      <c r="A1242">
        <v>237</v>
      </c>
      <c r="B1242" t="s">
        <v>535</v>
      </c>
      <c r="C1242" t="s">
        <v>16</v>
      </c>
      <c r="D1242" t="s">
        <v>13</v>
      </c>
    </row>
    <row r="1243" spans="1:4" x14ac:dyDescent="0.35">
      <c r="A1243">
        <v>237</v>
      </c>
      <c r="B1243" t="s">
        <v>67</v>
      </c>
      <c r="C1243" t="s">
        <v>16</v>
      </c>
      <c r="D1243" t="s">
        <v>13</v>
      </c>
    </row>
    <row r="1244" spans="1:4" x14ac:dyDescent="0.35">
      <c r="A1244">
        <v>237</v>
      </c>
      <c r="B1244" t="s">
        <v>975</v>
      </c>
      <c r="C1244" t="s">
        <v>172</v>
      </c>
      <c r="D1244" t="s">
        <v>6</v>
      </c>
    </row>
    <row r="1245" spans="1:4" x14ac:dyDescent="0.35">
      <c r="A1245">
        <v>238</v>
      </c>
      <c r="B1245" t="s">
        <v>976</v>
      </c>
      <c r="C1245" t="s">
        <v>261</v>
      </c>
      <c r="D1245" t="s">
        <v>13</v>
      </c>
    </row>
    <row r="1246" spans="1:4" x14ac:dyDescent="0.35">
      <c r="A1246">
        <v>238</v>
      </c>
      <c r="B1246" t="s">
        <v>977</v>
      </c>
      <c r="C1246" t="s">
        <v>261</v>
      </c>
      <c r="D1246" t="s">
        <v>13</v>
      </c>
    </row>
    <row r="1247" spans="1:4" x14ac:dyDescent="0.35">
      <c r="A1247">
        <v>238</v>
      </c>
      <c r="B1247" t="s">
        <v>978</v>
      </c>
      <c r="C1247" t="s">
        <v>261</v>
      </c>
      <c r="D1247" t="s">
        <v>13</v>
      </c>
    </row>
    <row r="1248" spans="1:4" x14ac:dyDescent="0.35">
      <c r="A1248">
        <v>239</v>
      </c>
      <c r="B1248" t="s">
        <v>979</v>
      </c>
      <c r="C1248" t="s">
        <v>19</v>
      </c>
      <c r="D1248" t="s">
        <v>13</v>
      </c>
    </row>
    <row r="1249" spans="1:4" x14ac:dyDescent="0.35">
      <c r="A1249">
        <v>239</v>
      </c>
      <c r="B1249" t="s">
        <v>980</v>
      </c>
      <c r="C1249" t="s">
        <v>19</v>
      </c>
      <c r="D1249" t="s">
        <v>13</v>
      </c>
    </row>
    <row r="1250" spans="1:4" x14ac:dyDescent="0.35">
      <c r="A1250">
        <v>239</v>
      </c>
      <c r="B1250" t="s">
        <v>981</v>
      </c>
      <c r="C1250" t="s">
        <v>35</v>
      </c>
      <c r="D1250" t="s">
        <v>13</v>
      </c>
    </row>
    <row r="1251" spans="1:4" x14ac:dyDescent="0.35">
      <c r="A1251">
        <v>239</v>
      </c>
      <c r="B1251" t="s">
        <v>982</v>
      </c>
      <c r="C1251" t="s">
        <v>16</v>
      </c>
      <c r="D1251" t="s">
        <v>13</v>
      </c>
    </row>
    <row r="1252" spans="1:4" x14ac:dyDescent="0.35">
      <c r="A1252">
        <v>239</v>
      </c>
      <c r="B1252" t="s">
        <v>983</v>
      </c>
      <c r="C1252" t="s">
        <v>19</v>
      </c>
      <c r="D1252" t="s">
        <v>13</v>
      </c>
    </row>
    <row r="1253" spans="1:4" x14ac:dyDescent="0.35">
      <c r="A1253">
        <v>239</v>
      </c>
      <c r="B1253" t="s">
        <v>984</v>
      </c>
      <c r="C1253" t="s">
        <v>45</v>
      </c>
      <c r="D1253" t="s">
        <v>6</v>
      </c>
    </row>
    <row r="1254" spans="1:4" x14ac:dyDescent="0.35">
      <c r="A1254">
        <v>239</v>
      </c>
      <c r="B1254" t="s">
        <v>985</v>
      </c>
      <c r="C1254" t="s">
        <v>19</v>
      </c>
      <c r="D1254" t="s">
        <v>13</v>
      </c>
    </row>
    <row r="1255" spans="1:4" x14ac:dyDescent="0.35">
      <c r="A1255">
        <v>240</v>
      </c>
      <c r="B1255" t="s">
        <v>986</v>
      </c>
      <c r="C1255" t="s">
        <v>72</v>
      </c>
      <c r="D1255" t="s">
        <v>13</v>
      </c>
    </row>
    <row r="1256" spans="1:4" x14ac:dyDescent="0.35">
      <c r="A1256">
        <v>240</v>
      </c>
      <c r="B1256" t="s">
        <v>987</v>
      </c>
      <c r="C1256" t="s">
        <v>72</v>
      </c>
      <c r="D1256" t="s">
        <v>13</v>
      </c>
    </row>
    <row r="1257" spans="1:4" x14ac:dyDescent="0.35">
      <c r="A1257">
        <v>240</v>
      </c>
      <c r="B1257" t="s">
        <v>988</v>
      </c>
      <c r="C1257" t="s">
        <v>19</v>
      </c>
      <c r="D1257" t="s">
        <v>13</v>
      </c>
    </row>
    <row r="1258" spans="1:4" x14ac:dyDescent="0.35">
      <c r="A1258">
        <v>241</v>
      </c>
      <c r="B1258" t="s">
        <v>989</v>
      </c>
      <c r="C1258" t="s">
        <v>990</v>
      </c>
      <c r="D1258" t="s">
        <v>13</v>
      </c>
    </row>
    <row r="1259" spans="1:4" x14ac:dyDescent="0.35">
      <c r="A1259">
        <v>241</v>
      </c>
      <c r="B1259" t="s">
        <v>991</v>
      </c>
      <c r="C1259" t="s">
        <v>990</v>
      </c>
      <c r="D1259" t="s">
        <v>13</v>
      </c>
    </row>
    <row r="1260" spans="1:4" x14ac:dyDescent="0.35">
      <c r="A1260">
        <v>241</v>
      </c>
      <c r="B1260" t="s">
        <v>992</v>
      </c>
      <c r="C1260" t="s">
        <v>45</v>
      </c>
      <c r="D1260" t="s">
        <v>6</v>
      </c>
    </row>
    <row r="1261" spans="1:4" x14ac:dyDescent="0.35">
      <c r="A1261">
        <v>241</v>
      </c>
      <c r="B1261" t="s">
        <v>993</v>
      </c>
      <c r="C1261" t="s">
        <v>45</v>
      </c>
      <c r="D1261" t="s">
        <v>6</v>
      </c>
    </row>
    <row r="1262" spans="1:4" x14ac:dyDescent="0.35">
      <c r="A1262">
        <v>241</v>
      </c>
      <c r="B1262" t="s">
        <v>994</v>
      </c>
      <c r="C1262" t="s">
        <v>990</v>
      </c>
      <c r="D1262" t="s">
        <v>13</v>
      </c>
    </row>
    <row r="1263" spans="1:4" x14ac:dyDescent="0.35">
      <c r="A1263">
        <v>242</v>
      </c>
      <c r="B1263" t="s">
        <v>995</v>
      </c>
      <c r="C1263" t="s">
        <v>5</v>
      </c>
      <c r="D1263" t="s">
        <v>6</v>
      </c>
    </row>
    <row r="1264" spans="1:4" x14ac:dyDescent="0.35">
      <c r="A1264">
        <v>242</v>
      </c>
      <c r="B1264" t="s">
        <v>996</v>
      </c>
      <c r="C1264" t="s">
        <v>5</v>
      </c>
      <c r="D1264" t="s">
        <v>6</v>
      </c>
    </row>
    <row r="1265" spans="1:4" x14ac:dyDescent="0.35">
      <c r="A1265">
        <v>242</v>
      </c>
      <c r="B1265" t="s">
        <v>997</v>
      </c>
      <c r="C1265" t="s">
        <v>5</v>
      </c>
      <c r="D1265" t="s">
        <v>6</v>
      </c>
    </row>
    <row r="1266" spans="1:4" x14ac:dyDescent="0.35">
      <c r="A1266">
        <v>243</v>
      </c>
      <c r="B1266" t="s">
        <v>925</v>
      </c>
      <c r="C1266" t="s">
        <v>22</v>
      </c>
      <c r="D1266" t="s">
        <v>13</v>
      </c>
    </row>
    <row r="1267" spans="1:4" x14ac:dyDescent="0.35">
      <c r="A1267">
        <v>243</v>
      </c>
      <c r="B1267" t="s">
        <v>256</v>
      </c>
      <c r="C1267" t="s">
        <v>22</v>
      </c>
      <c r="D1267" t="s">
        <v>13</v>
      </c>
    </row>
    <row r="1268" spans="1:4" x14ac:dyDescent="0.35">
      <c r="A1268">
        <v>243</v>
      </c>
      <c r="B1268" t="s">
        <v>257</v>
      </c>
      <c r="C1268" t="s">
        <v>22</v>
      </c>
      <c r="D1268" t="s">
        <v>13</v>
      </c>
    </row>
    <row r="1269" spans="1:4" x14ac:dyDescent="0.35">
      <c r="A1269">
        <v>243</v>
      </c>
      <c r="B1269" t="s">
        <v>259</v>
      </c>
      <c r="C1269" t="s">
        <v>22</v>
      </c>
      <c r="D1269" t="s">
        <v>13</v>
      </c>
    </row>
    <row r="1270" spans="1:4" x14ac:dyDescent="0.35">
      <c r="A1270">
        <v>244</v>
      </c>
      <c r="B1270" t="s">
        <v>998</v>
      </c>
      <c r="C1270" t="s">
        <v>157</v>
      </c>
      <c r="D1270" t="s">
        <v>6</v>
      </c>
    </row>
    <row r="1271" spans="1:4" x14ac:dyDescent="0.35">
      <c r="A1271">
        <v>244</v>
      </c>
      <c r="B1271" t="s">
        <v>999</v>
      </c>
      <c r="C1271" t="s">
        <v>157</v>
      </c>
      <c r="D1271" t="s">
        <v>6</v>
      </c>
    </row>
    <row r="1272" spans="1:4" x14ac:dyDescent="0.35">
      <c r="A1272">
        <v>244</v>
      </c>
      <c r="B1272" t="s">
        <v>1000</v>
      </c>
      <c r="C1272" t="s">
        <v>157</v>
      </c>
      <c r="D1272" t="s">
        <v>6</v>
      </c>
    </row>
    <row r="1273" spans="1:4" x14ac:dyDescent="0.35">
      <c r="A1273">
        <v>244</v>
      </c>
      <c r="B1273" t="s">
        <v>1001</v>
      </c>
      <c r="C1273" t="s">
        <v>98</v>
      </c>
      <c r="D1273" t="s">
        <v>13</v>
      </c>
    </row>
    <row r="1274" spans="1:4" x14ac:dyDescent="0.35">
      <c r="A1274">
        <v>244</v>
      </c>
      <c r="B1274" t="s">
        <v>1001</v>
      </c>
      <c r="C1274" t="s">
        <v>157</v>
      </c>
      <c r="D1274" t="s">
        <v>6</v>
      </c>
    </row>
    <row r="1275" spans="1:4" x14ac:dyDescent="0.35">
      <c r="A1275">
        <v>245</v>
      </c>
      <c r="B1275" t="s">
        <v>1002</v>
      </c>
      <c r="C1275" t="s">
        <v>35</v>
      </c>
      <c r="D1275" t="s">
        <v>13</v>
      </c>
    </row>
    <row r="1276" spans="1:4" x14ac:dyDescent="0.35">
      <c r="A1276">
        <v>245</v>
      </c>
      <c r="B1276" t="s">
        <v>1003</v>
      </c>
      <c r="C1276" t="s">
        <v>35</v>
      </c>
      <c r="D1276" t="s">
        <v>13</v>
      </c>
    </row>
    <row r="1277" spans="1:4" x14ac:dyDescent="0.35">
      <c r="A1277">
        <v>245</v>
      </c>
      <c r="B1277" t="s">
        <v>1004</v>
      </c>
      <c r="C1277" t="s">
        <v>93</v>
      </c>
      <c r="D1277" t="s">
        <v>13</v>
      </c>
    </row>
    <row r="1278" spans="1:4" x14ac:dyDescent="0.35">
      <c r="A1278">
        <v>245</v>
      </c>
      <c r="B1278" t="s">
        <v>1004</v>
      </c>
      <c r="C1278" t="s">
        <v>35</v>
      </c>
      <c r="D1278" t="s">
        <v>13</v>
      </c>
    </row>
    <row r="1279" spans="1:4" x14ac:dyDescent="0.35">
      <c r="A1279">
        <v>245</v>
      </c>
      <c r="B1279" t="s">
        <v>1005</v>
      </c>
      <c r="C1279" t="s">
        <v>35</v>
      </c>
      <c r="D1279" t="s">
        <v>13</v>
      </c>
    </row>
    <row r="1280" spans="1:4" x14ac:dyDescent="0.35">
      <c r="A1280">
        <v>245</v>
      </c>
      <c r="B1280" t="s">
        <v>1006</v>
      </c>
      <c r="C1280" t="s">
        <v>35</v>
      </c>
      <c r="D1280" t="s">
        <v>13</v>
      </c>
    </row>
    <row r="1281" spans="1:4" x14ac:dyDescent="0.35">
      <c r="A1281">
        <v>245</v>
      </c>
      <c r="B1281" t="s">
        <v>1007</v>
      </c>
      <c r="C1281" t="s">
        <v>35</v>
      </c>
      <c r="D1281" t="s">
        <v>13</v>
      </c>
    </row>
    <row r="1282" spans="1:4" x14ac:dyDescent="0.35">
      <c r="A1282">
        <v>246</v>
      </c>
      <c r="B1282" t="s">
        <v>1008</v>
      </c>
      <c r="C1282" t="s">
        <v>72</v>
      </c>
      <c r="D1282" t="s">
        <v>13</v>
      </c>
    </row>
    <row r="1283" spans="1:4" x14ac:dyDescent="0.35">
      <c r="A1283">
        <v>246</v>
      </c>
      <c r="B1283" t="s">
        <v>1009</v>
      </c>
      <c r="C1283" t="s">
        <v>72</v>
      </c>
      <c r="D1283" t="s">
        <v>13</v>
      </c>
    </row>
    <row r="1284" spans="1:4" x14ac:dyDescent="0.35">
      <c r="A1284">
        <v>246</v>
      </c>
      <c r="B1284" t="s">
        <v>1010</v>
      </c>
      <c r="C1284" t="s">
        <v>72</v>
      </c>
      <c r="D1284" t="s">
        <v>13</v>
      </c>
    </row>
    <row r="1285" spans="1:4" x14ac:dyDescent="0.35">
      <c r="A1285">
        <v>246</v>
      </c>
      <c r="B1285" t="s">
        <v>1011</v>
      </c>
      <c r="C1285" t="s">
        <v>72</v>
      </c>
      <c r="D1285" t="s">
        <v>13</v>
      </c>
    </row>
    <row r="1286" spans="1:4" x14ac:dyDescent="0.35">
      <c r="A1286">
        <v>247</v>
      </c>
      <c r="B1286" t="s">
        <v>1012</v>
      </c>
      <c r="C1286" t="s">
        <v>48</v>
      </c>
      <c r="D1286" t="s">
        <v>13</v>
      </c>
    </row>
    <row r="1287" spans="1:4" x14ac:dyDescent="0.35">
      <c r="A1287">
        <v>247</v>
      </c>
      <c r="B1287" t="s">
        <v>1013</v>
      </c>
      <c r="C1287" t="s">
        <v>48</v>
      </c>
      <c r="D1287" t="s">
        <v>13</v>
      </c>
    </row>
    <row r="1288" spans="1:4" x14ac:dyDescent="0.35">
      <c r="A1288">
        <v>248</v>
      </c>
      <c r="B1288" t="s">
        <v>838</v>
      </c>
      <c r="C1288" t="s">
        <v>189</v>
      </c>
      <c r="D1288" t="s">
        <v>6</v>
      </c>
    </row>
    <row r="1289" spans="1:4" x14ac:dyDescent="0.35">
      <c r="A1289">
        <v>248</v>
      </c>
      <c r="B1289" t="s">
        <v>1014</v>
      </c>
      <c r="C1289" t="s">
        <v>189</v>
      </c>
      <c r="D1289" t="s">
        <v>6</v>
      </c>
    </row>
    <row r="1290" spans="1:4" x14ac:dyDescent="0.35">
      <c r="A1290">
        <v>248</v>
      </c>
      <c r="B1290" t="s">
        <v>1015</v>
      </c>
      <c r="C1290" t="s">
        <v>189</v>
      </c>
      <c r="D1290" t="s">
        <v>6</v>
      </c>
    </row>
    <row r="1291" spans="1:4" x14ac:dyDescent="0.35">
      <c r="A1291">
        <v>248</v>
      </c>
      <c r="B1291" t="s">
        <v>1016</v>
      </c>
      <c r="C1291" t="s">
        <v>189</v>
      </c>
      <c r="D1291" t="s">
        <v>6</v>
      </c>
    </row>
    <row r="1292" spans="1:4" x14ac:dyDescent="0.35">
      <c r="A1292">
        <v>249</v>
      </c>
      <c r="B1292" t="s">
        <v>308</v>
      </c>
      <c r="C1292" t="s">
        <v>101</v>
      </c>
      <c r="D1292" t="s">
        <v>6</v>
      </c>
    </row>
    <row r="1293" spans="1:4" x14ac:dyDescent="0.35">
      <c r="A1293">
        <v>250</v>
      </c>
      <c r="B1293" t="s">
        <v>1017</v>
      </c>
      <c r="C1293" t="s">
        <v>16</v>
      </c>
      <c r="D1293" t="s">
        <v>13</v>
      </c>
    </row>
    <row r="1294" spans="1:4" x14ac:dyDescent="0.35">
      <c r="A1294">
        <v>250</v>
      </c>
      <c r="B1294" t="s">
        <v>1018</v>
      </c>
      <c r="C1294" t="s">
        <v>16</v>
      </c>
      <c r="D1294" t="s">
        <v>13</v>
      </c>
    </row>
    <row r="1295" spans="1:4" x14ac:dyDescent="0.35">
      <c r="A1295">
        <v>250</v>
      </c>
      <c r="B1295" t="s">
        <v>1019</v>
      </c>
      <c r="C1295" t="s">
        <v>16</v>
      </c>
      <c r="D1295" t="s">
        <v>13</v>
      </c>
    </row>
    <row r="1296" spans="1:4" x14ac:dyDescent="0.35">
      <c r="A1296">
        <v>251</v>
      </c>
      <c r="B1296" t="s">
        <v>412</v>
      </c>
      <c r="C1296" t="s">
        <v>189</v>
      </c>
      <c r="D1296" t="s">
        <v>6</v>
      </c>
    </row>
    <row r="1297" spans="1:4" x14ac:dyDescent="0.35">
      <c r="A1297">
        <v>251</v>
      </c>
      <c r="B1297" t="s">
        <v>357</v>
      </c>
      <c r="C1297" t="s">
        <v>231</v>
      </c>
      <c r="D1297" t="s">
        <v>6</v>
      </c>
    </row>
    <row r="1298" spans="1:4" x14ac:dyDescent="0.35">
      <c r="A1298">
        <v>251</v>
      </c>
      <c r="B1298" t="s">
        <v>359</v>
      </c>
      <c r="C1298" t="s">
        <v>231</v>
      </c>
      <c r="D1298" t="s">
        <v>6</v>
      </c>
    </row>
    <row r="1299" spans="1:4" x14ac:dyDescent="0.35">
      <c r="A1299">
        <v>251</v>
      </c>
      <c r="B1299" t="s">
        <v>840</v>
      </c>
      <c r="C1299" t="s">
        <v>189</v>
      </c>
      <c r="D1299" t="s">
        <v>6</v>
      </c>
    </row>
    <row r="1300" spans="1:4" x14ac:dyDescent="0.35">
      <c r="A1300">
        <v>251</v>
      </c>
      <c r="B1300" t="s">
        <v>406</v>
      </c>
      <c r="C1300" t="s">
        <v>231</v>
      </c>
      <c r="D1300" t="s">
        <v>6</v>
      </c>
    </row>
    <row r="1301" spans="1:4" x14ac:dyDescent="0.35">
      <c r="A1301">
        <v>251</v>
      </c>
      <c r="B1301" t="s">
        <v>406</v>
      </c>
      <c r="C1301" t="s">
        <v>189</v>
      </c>
      <c r="D1301" t="s">
        <v>6</v>
      </c>
    </row>
    <row r="1302" spans="1:4" x14ac:dyDescent="0.35">
      <c r="A1302">
        <v>251</v>
      </c>
      <c r="B1302" t="s">
        <v>360</v>
      </c>
      <c r="C1302" t="s">
        <v>5</v>
      </c>
      <c r="D1302" t="s">
        <v>6</v>
      </c>
    </row>
    <row r="1303" spans="1:4" x14ac:dyDescent="0.35">
      <c r="A1303">
        <v>251</v>
      </c>
      <c r="B1303" t="s">
        <v>360</v>
      </c>
      <c r="C1303" t="s">
        <v>231</v>
      </c>
      <c r="D1303" t="s">
        <v>6</v>
      </c>
    </row>
    <row r="1304" spans="1:4" x14ac:dyDescent="0.35">
      <c r="A1304">
        <v>252</v>
      </c>
      <c r="B1304" t="s">
        <v>357</v>
      </c>
      <c r="C1304" t="s">
        <v>231</v>
      </c>
      <c r="D1304" t="s">
        <v>6</v>
      </c>
    </row>
    <row r="1305" spans="1:4" x14ac:dyDescent="0.35">
      <c r="A1305">
        <v>252</v>
      </c>
      <c r="B1305" t="s">
        <v>1020</v>
      </c>
      <c r="C1305" t="s">
        <v>231</v>
      </c>
      <c r="D1305" t="s">
        <v>6</v>
      </c>
    </row>
    <row r="1306" spans="1:4" x14ac:dyDescent="0.35">
      <c r="A1306">
        <v>252</v>
      </c>
      <c r="B1306" t="s">
        <v>360</v>
      </c>
      <c r="C1306" t="s">
        <v>231</v>
      </c>
      <c r="D1306" t="s">
        <v>6</v>
      </c>
    </row>
    <row r="1307" spans="1:4" x14ac:dyDescent="0.35">
      <c r="A1307">
        <v>253</v>
      </c>
      <c r="B1307" t="s">
        <v>1021</v>
      </c>
      <c r="C1307" t="s">
        <v>5</v>
      </c>
      <c r="D1307" t="s">
        <v>6</v>
      </c>
    </row>
    <row r="1308" spans="1:4" x14ac:dyDescent="0.35">
      <c r="A1308">
        <v>253</v>
      </c>
      <c r="B1308" t="s">
        <v>1022</v>
      </c>
      <c r="C1308" t="s">
        <v>16</v>
      </c>
      <c r="D1308" t="s">
        <v>13</v>
      </c>
    </row>
    <row r="1309" spans="1:4" x14ac:dyDescent="0.35">
      <c r="A1309">
        <v>253</v>
      </c>
      <c r="B1309" t="s">
        <v>1023</v>
      </c>
      <c r="C1309" t="s">
        <v>16</v>
      </c>
      <c r="D1309" t="s">
        <v>13</v>
      </c>
    </row>
    <row r="1310" spans="1:4" x14ac:dyDescent="0.35">
      <c r="A1310">
        <v>253</v>
      </c>
      <c r="B1310" t="s">
        <v>1024</v>
      </c>
      <c r="C1310" t="s">
        <v>16</v>
      </c>
      <c r="D1310" t="s">
        <v>13</v>
      </c>
    </row>
    <row r="1311" spans="1:4" x14ac:dyDescent="0.35">
      <c r="A1311">
        <v>254</v>
      </c>
      <c r="B1311" t="s">
        <v>175</v>
      </c>
      <c r="C1311" t="s">
        <v>16</v>
      </c>
      <c r="D1311" t="s">
        <v>13</v>
      </c>
    </row>
    <row r="1312" spans="1:4" x14ac:dyDescent="0.35">
      <c r="A1312">
        <v>254</v>
      </c>
      <c r="B1312" t="s">
        <v>795</v>
      </c>
      <c r="C1312" t="s">
        <v>16</v>
      </c>
      <c r="D1312" t="s">
        <v>13</v>
      </c>
    </row>
    <row r="1313" spans="1:4" x14ac:dyDescent="0.35">
      <c r="A1313">
        <v>254</v>
      </c>
      <c r="B1313" t="s">
        <v>1025</v>
      </c>
      <c r="C1313" t="s">
        <v>16</v>
      </c>
      <c r="D1313" t="s">
        <v>13</v>
      </c>
    </row>
    <row r="1314" spans="1:4" x14ac:dyDescent="0.35">
      <c r="A1314">
        <v>254</v>
      </c>
      <c r="B1314" t="s">
        <v>1026</v>
      </c>
      <c r="C1314" t="s">
        <v>16</v>
      </c>
      <c r="D1314" t="s">
        <v>13</v>
      </c>
    </row>
    <row r="1315" spans="1:4" x14ac:dyDescent="0.35">
      <c r="A1315">
        <v>254</v>
      </c>
      <c r="B1315" t="s">
        <v>1027</v>
      </c>
      <c r="C1315" t="s">
        <v>16</v>
      </c>
      <c r="D1315" t="s">
        <v>13</v>
      </c>
    </row>
    <row r="1316" spans="1:4" x14ac:dyDescent="0.35">
      <c r="A1316">
        <v>255</v>
      </c>
      <c r="B1316" t="s">
        <v>1028</v>
      </c>
      <c r="C1316" t="s">
        <v>5</v>
      </c>
      <c r="D1316" t="s">
        <v>6</v>
      </c>
    </row>
    <row r="1317" spans="1:4" x14ac:dyDescent="0.35">
      <c r="A1317">
        <v>255</v>
      </c>
      <c r="B1317" t="s">
        <v>1029</v>
      </c>
      <c r="C1317" t="s">
        <v>5</v>
      </c>
      <c r="D1317" t="s">
        <v>6</v>
      </c>
    </row>
    <row r="1318" spans="1:4" x14ac:dyDescent="0.35">
      <c r="A1318">
        <v>256</v>
      </c>
      <c r="B1318" t="s">
        <v>1030</v>
      </c>
      <c r="C1318" t="s">
        <v>72</v>
      </c>
      <c r="D1318" t="s">
        <v>13</v>
      </c>
    </row>
    <row r="1319" spans="1:4" x14ac:dyDescent="0.35">
      <c r="A1319">
        <v>256</v>
      </c>
      <c r="B1319" t="s">
        <v>1030</v>
      </c>
      <c r="C1319" t="s">
        <v>19</v>
      </c>
      <c r="D1319" t="s">
        <v>13</v>
      </c>
    </row>
    <row r="1320" spans="1:4" x14ac:dyDescent="0.35">
      <c r="A1320">
        <v>256</v>
      </c>
      <c r="B1320" t="s">
        <v>1031</v>
      </c>
      <c r="C1320" t="s">
        <v>19</v>
      </c>
      <c r="D1320" t="s">
        <v>13</v>
      </c>
    </row>
    <row r="1321" spans="1:4" x14ac:dyDescent="0.35">
      <c r="A1321">
        <v>256</v>
      </c>
      <c r="B1321" t="s">
        <v>1032</v>
      </c>
      <c r="C1321" t="s">
        <v>72</v>
      </c>
      <c r="D1321" t="s">
        <v>13</v>
      </c>
    </row>
    <row r="1322" spans="1:4" x14ac:dyDescent="0.35">
      <c r="A1322">
        <v>256</v>
      </c>
      <c r="B1322" t="s">
        <v>1032</v>
      </c>
      <c r="C1322" t="s">
        <v>19</v>
      </c>
      <c r="D1322" t="s">
        <v>13</v>
      </c>
    </row>
    <row r="1323" spans="1:4" x14ac:dyDescent="0.35">
      <c r="A1323">
        <v>256</v>
      </c>
      <c r="B1323" t="s">
        <v>1033</v>
      </c>
      <c r="C1323" t="s">
        <v>261</v>
      </c>
      <c r="D1323" t="s">
        <v>13</v>
      </c>
    </row>
    <row r="1324" spans="1:4" x14ac:dyDescent="0.35">
      <c r="A1324">
        <v>256</v>
      </c>
      <c r="B1324" t="s">
        <v>1033</v>
      </c>
      <c r="C1324" t="s">
        <v>19</v>
      </c>
      <c r="D1324" t="s">
        <v>13</v>
      </c>
    </row>
    <row r="1325" spans="1:4" x14ac:dyDescent="0.35">
      <c r="A1325">
        <v>256</v>
      </c>
      <c r="B1325" t="s">
        <v>1034</v>
      </c>
      <c r="C1325" t="s">
        <v>19</v>
      </c>
      <c r="D1325" t="s">
        <v>13</v>
      </c>
    </row>
    <row r="1326" spans="1:4" x14ac:dyDescent="0.35">
      <c r="A1326">
        <v>256</v>
      </c>
      <c r="B1326" t="s">
        <v>1034</v>
      </c>
      <c r="C1326" t="s">
        <v>72</v>
      </c>
      <c r="D1326" t="s">
        <v>13</v>
      </c>
    </row>
    <row r="1327" spans="1:4" x14ac:dyDescent="0.35">
      <c r="A1327">
        <v>256</v>
      </c>
      <c r="B1327" t="s">
        <v>1035</v>
      </c>
      <c r="C1327" t="s">
        <v>72</v>
      </c>
      <c r="D1327" t="s">
        <v>13</v>
      </c>
    </row>
    <row r="1328" spans="1:4" x14ac:dyDescent="0.35">
      <c r="A1328">
        <v>256</v>
      </c>
      <c r="B1328" t="s">
        <v>1035</v>
      </c>
      <c r="C1328" t="s">
        <v>19</v>
      </c>
      <c r="D1328" t="s">
        <v>13</v>
      </c>
    </row>
    <row r="1329" spans="1:4" x14ac:dyDescent="0.35">
      <c r="A1329">
        <v>257</v>
      </c>
      <c r="B1329" t="s">
        <v>1036</v>
      </c>
      <c r="C1329" t="s">
        <v>72</v>
      </c>
      <c r="D1329" t="s">
        <v>13</v>
      </c>
    </row>
    <row r="1330" spans="1:4" x14ac:dyDescent="0.35">
      <c r="A1330">
        <v>257</v>
      </c>
      <c r="B1330" t="s">
        <v>1037</v>
      </c>
      <c r="C1330" t="s">
        <v>72</v>
      </c>
      <c r="D1330" t="s">
        <v>13</v>
      </c>
    </row>
    <row r="1331" spans="1:4" x14ac:dyDescent="0.35">
      <c r="A1331">
        <v>257</v>
      </c>
      <c r="B1331" t="s">
        <v>1038</v>
      </c>
      <c r="C1331" t="s">
        <v>72</v>
      </c>
      <c r="D1331" t="s">
        <v>13</v>
      </c>
    </row>
    <row r="1332" spans="1:4" x14ac:dyDescent="0.35">
      <c r="A1332">
        <v>257</v>
      </c>
      <c r="B1332" t="s">
        <v>1039</v>
      </c>
      <c r="C1332" t="s">
        <v>72</v>
      </c>
      <c r="D1332" t="s">
        <v>13</v>
      </c>
    </row>
    <row r="1333" spans="1:4" x14ac:dyDescent="0.35">
      <c r="A1333">
        <v>257</v>
      </c>
      <c r="B1333" t="s">
        <v>1039</v>
      </c>
      <c r="C1333" t="s">
        <v>19</v>
      </c>
      <c r="D1333" t="s">
        <v>13</v>
      </c>
    </row>
    <row r="1334" spans="1:4" x14ac:dyDescent="0.35">
      <c r="A1334">
        <v>258</v>
      </c>
      <c r="B1334" t="s">
        <v>1040</v>
      </c>
      <c r="C1334" t="s">
        <v>231</v>
      </c>
      <c r="D1334" t="s">
        <v>6</v>
      </c>
    </row>
    <row r="1335" spans="1:4" x14ac:dyDescent="0.35">
      <c r="A1335">
        <v>258</v>
      </c>
      <c r="B1335" t="s">
        <v>421</v>
      </c>
      <c r="C1335" t="s">
        <v>231</v>
      </c>
      <c r="D1335" t="s">
        <v>6</v>
      </c>
    </row>
    <row r="1336" spans="1:4" x14ac:dyDescent="0.35">
      <c r="A1336">
        <v>258</v>
      </c>
      <c r="B1336" t="s">
        <v>1041</v>
      </c>
      <c r="C1336" t="s">
        <v>231</v>
      </c>
      <c r="D1336" t="s">
        <v>6</v>
      </c>
    </row>
    <row r="1337" spans="1:4" x14ac:dyDescent="0.35">
      <c r="A1337">
        <v>259</v>
      </c>
      <c r="B1337" t="s">
        <v>1042</v>
      </c>
      <c r="C1337" t="s">
        <v>231</v>
      </c>
      <c r="D1337" t="s">
        <v>6</v>
      </c>
    </row>
    <row r="1338" spans="1:4" x14ac:dyDescent="0.35">
      <c r="A1338">
        <v>259</v>
      </c>
      <c r="B1338" t="s">
        <v>1043</v>
      </c>
      <c r="C1338" t="s">
        <v>231</v>
      </c>
      <c r="D1338" t="s">
        <v>6</v>
      </c>
    </row>
    <row r="1339" spans="1:4" x14ac:dyDescent="0.35">
      <c r="A1339">
        <v>259</v>
      </c>
      <c r="B1339" t="s">
        <v>1044</v>
      </c>
      <c r="C1339" t="s">
        <v>231</v>
      </c>
      <c r="D1339" t="s">
        <v>6</v>
      </c>
    </row>
    <row r="1340" spans="1:4" x14ac:dyDescent="0.35">
      <c r="A1340">
        <v>259</v>
      </c>
      <c r="B1340" t="s">
        <v>1044</v>
      </c>
      <c r="C1340" t="s">
        <v>153</v>
      </c>
      <c r="D1340" t="s">
        <v>13</v>
      </c>
    </row>
    <row r="1341" spans="1:4" x14ac:dyDescent="0.35">
      <c r="A1341">
        <v>260</v>
      </c>
      <c r="B1341" t="s">
        <v>1045</v>
      </c>
      <c r="C1341" t="s">
        <v>231</v>
      </c>
      <c r="D1341" t="s">
        <v>6</v>
      </c>
    </row>
    <row r="1342" spans="1:4" x14ac:dyDescent="0.35">
      <c r="A1342">
        <v>260</v>
      </c>
      <c r="B1342" t="s">
        <v>1046</v>
      </c>
      <c r="C1342" t="s">
        <v>231</v>
      </c>
      <c r="D1342" t="s">
        <v>6</v>
      </c>
    </row>
    <row r="1343" spans="1:4" x14ac:dyDescent="0.35">
      <c r="A1343">
        <v>260</v>
      </c>
      <c r="B1343" t="s">
        <v>1008</v>
      </c>
      <c r="C1343" t="s">
        <v>72</v>
      </c>
      <c r="D1343" t="s">
        <v>13</v>
      </c>
    </row>
    <row r="1344" spans="1:4" x14ac:dyDescent="0.35">
      <c r="A1344">
        <v>261</v>
      </c>
      <c r="B1344" t="s">
        <v>1047</v>
      </c>
      <c r="C1344" t="s">
        <v>231</v>
      </c>
      <c r="D1344" t="s">
        <v>6</v>
      </c>
    </row>
    <row r="1345" spans="1:4" x14ac:dyDescent="0.35">
      <c r="A1345">
        <v>261</v>
      </c>
      <c r="B1345" t="s">
        <v>1048</v>
      </c>
      <c r="C1345" t="s">
        <v>231</v>
      </c>
      <c r="D1345" t="s">
        <v>6</v>
      </c>
    </row>
    <row r="1346" spans="1:4" x14ac:dyDescent="0.35">
      <c r="A1346">
        <v>261</v>
      </c>
      <c r="B1346" t="s">
        <v>243</v>
      </c>
      <c r="C1346" t="s">
        <v>231</v>
      </c>
      <c r="D1346" t="s">
        <v>6</v>
      </c>
    </row>
    <row r="1347" spans="1:4" x14ac:dyDescent="0.35">
      <c r="A1347">
        <v>262</v>
      </c>
      <c r="B1347" t="s">
        <v>1049</v>
      </c>
      <c r="C1347" t="s">
        <v>189</v>
      </c>
      <c r="D1347" t="s">
        <v>6</v>
      </c>
    </row>
    <row r="1348" spans="1:4" x14ac:dyDescent="0.35">
      <c r="A1348">
        <v>263</v>
      </c>
      <c r="B1348" t="s">
        <v>844</v>
      </c>
      <c r="C1348" t="s">
        <v>189</v>
      </c>
      <c r="D1348" t="s">
        <v>6</v>
      </c>
    </row>
    <row r="1349" spans="1:4" x14ac:dyDescent="0.35">
      <c r="A1349">
        <v>263</v>
      </c>
      <c r="B1349" t="s">
        <v>1050</v>
      </c>
      <c r="C1349" t="s">
        <v>48</v>
      </c>
      <c r="D1349" t="s">
        <v>13</v>
      </c>
    </row>
    <row r="1350" spans="1:4" x14ac:dyDescent="0.35">
      <c r="A1350">
        <v>263</v>
      </c>
      <c r="B1350" t="s">
        <v>1051</v>
      </c>
      <c r="C1350" t="s">
        <v>48</v>
      </c>
      <c r="D1350" t="s">
        <v>13</v>
      </c>
    </row>
    <row r="1351" spans="1:4" x14ac:dyDescent="0.35">
      <c r="A1351">
        <v>263</v>
      </c>
      <c r="B1351" t="s">
        <v>1052</v>
      </c>
      <c r="C1351" t="s">
        <v>48</v>
      </c>
      <c r="D1351" t="s">
        <v>13</v>
      </c>
    </row>
    <row r="1352" spans="1:4" x14ac:dyDescent="0.35">
      <c r="A1352">
        <v>263</v>
      </c>
      <c r="B1352" t="s">
        <v>1052</v>
      </c>
      <c r="C1352" t="s">
        <v>189</v>
      </c>
      <c r="D1352" t="s">
        <v>6</v>
      </c>
    </row>
    <row r="1353" spans="1:4" x14ac:dyDescent="0.35">
      <c r="A1353">
        <v>263</v>
      </c>
      <c r="B1353" t="s">
        <v>1053</v>
      </c>
      <c r="C1353" t="s">
        <v>189</v>
      </c>
      <c r="D1353" t="s">
        <v>6</v>
      </c>
    </row>
    <row r="1354" spans="1:4" x14ac:dyDescent="0.35">
      <c r="A1354">
        <v>264</v>
      </c>
      <c r="B1354" t="s">
        <v>844</v>
      </c>
      <c r="C1354" t="s">
        <v>189</v>
      </c>
      <c r="D1354" t="s">
        <v>6</v>
      </c>
    </row>
    <row r="1355" spans="1:4" x14ac:dyDescent="0.35">
      <c r="A1355">
        <v>264</v>
      </c>
      <c r="B1355" t="s">
        <v>1054</v>
      </c>
      <c r="C1355" t="s">
        <v>189</v>
      </c>
      <c r="D1355" t="s">
        <v>6</v>
      </c>
    </row>
    <row r="1356" spans="1:4" x14ac:dyDescent="0.35">
      <c r="A1356">
        <v>264</v>
      </c>
      <c r="B1356" t="s">
        <v>1055</v>
      </c>
      <c r="C1356" t="s">
        <v>189</v>
      </c>
      <c r="D1356" t="s">
        <v>6</v>
      </c>
    </row>
    <row r="1357" spans="1:4" x14ac:dyDescent="0.35">
      <c r="A1357">
        <v>264</v>
      </c>
      <c r="B1357" t="s">
        <v>794</v>
      </c>
      <c r="C1357" t="s">
        <v>48</v>
      </c>
      <c r="D1357" t="s">
        <v>13</v>
      </c>
    </row>
    <row r="1358" spans="1:4" x14ac:dyDescent="0.35">
      <c r="A1358">
        <v>264</v>
      </c>
      <c r="B1358" t="s">
        <v>1056</v>
      </c>
      <c r="C1358" t="s">
        <v>189</v>
      </c>
      <c r="D1358" t="s">
        <v>6</v>
      </c>
    </row>
    <row r="1359" spans="1:4" x14ac:dyDescent="0.35">
      <c r="A1359">
        <v>264</v>
      </c>
      <c r="B1359" t="s">
        <v>1057</v>
      </c>
      <c r="C1359" t="s">
        <v>189</v>
      </c>
      <c r="D1359" t="s">
        <v>6</v>
      </c>
    </row>
    <row r="1360" spans="1:4" x14ac:dyDescent="0.35">
      <c r="A1360">
        <v>265</v>
      </c>
      <c r="B1360" t="s">
        <v>1058</v>
      </c>
      <c r="C1360" t="s">
        <v>35</v>
      </c>
      <c r="D1360" t="s">
        <v>13</v>
      </c>
    </row>
    <row r="1361" spans="1:4" x14ac:dyDescent="0.35">
      <c r="A1361">
        <v>265</v>
      </c>
      <c r="B1361" t="s">
        <v>1059</v>
      </c>
      <c r="C1361" t="s">
        <v>93</v>
      </c>
      <c r="D1361" t="s">
        <v>13</v>
      </c>
    </row>
    <row r="1362" spans="1:4" x14ac:dyDescent="0.35">
      <c r="A1362">
        <v>265</v>
      </c>
      <c r="B1362" t="s">
        <v>1060</v>
      </c>
      <c r="C1362" t="s">
        <v>19</v>
      </c>
      <c r="D1362" t="s">
        <v>13</v>
      </c>
    </row>
    <row r="1363" spans="1:4" x14ac:dyDescent="0.35">
      <c r="A1363">
        <v>265</v>
      </c>
      <c r="B1363" t="s">
        <v>1061</v>
      </c>
      <c r="C1363" t="s">
        <v>45</v>
      </c>
      <c r="D1363" t="s">
        <v>6</v>
      </c>
    </row>
    <row r="1364" spans="1:4" x14ac:dyDescent="0.35">
      <c r="A1364">
        <v>265</v>
      </c>
      <c r="B1364" t="s">
        <v>1062</v>
      </c>
      <c r="C1364" t="s">
        <v>19</v>
      </c>
      <c r="D1364" t="s">
        <v>13</v>
      </c>
    </row>
    <row r="1365" spans="1:4" x14ac:dyDescent="0.35">
      <c r="A1365">
        <v>265</v>
      </c>
      <c r="B1365" t="s">
        <v>1063</v>
      </c>
      <c r="C1365" t="s">
        <v>35</v>
      </c>
      <c r="D1365" t="s">
        <v>13</v>
      </c>
    </row>
    <row r="1366" spans="1:4" x14ac:dyDescent="0.35">
      <c r="A1366">
        <v>265</v>
      </c>
      <c r="B1366" t="s">
        <v>1064</v>
      </c>
      <c r="C1366" t="s">
        <v>19</v>
      </c>
      <c r="D1366" t="s">
        <v>13</v>
      </c>
    </row>
    <row r="1367" spans="1:4" x14ac:dyDescent="0.35">
      <c r="A1367">
        <v>265</v>
      </c>
      <c r="B1367" t="s">
        <v>1065</v>
      </c>
      <c r="C1367" t="s">
        <v>19</v>
      </c>
      <c r="D1367" t="s">
        <v>13</v>
      </c>
    </row>
    <row r="1368" spans="1:4" x14ac:dyDescent="0.35">
      <c r="A1368">
        <v>265</v>
      </c>
      <c r="B1368" t="s">
        <v>1066</v>
      </c>
      <c r="C1368" t="s">
        <v>35</v>
      </c>
      <c r="D1368" t="s">
        <v>13</v>
      </c>
    </row>
    <row r="1369" spans="1:4" x14ac:dyDescent="0.35">
      <c r="A1369">
        <v>266</v>
      </c>
      <c r="B1369" t="s">
        <v>1067</v>
      </c>
      <c r="C1369" t="s">
        <v>35</v>
      </c>
      <c r="D1369" t="s">
        <v>13</v>
      </c>
    </row>
    <row r="1370" spans="1:4" x14ac:dyDescent="0.35">
      <c r="A1370">
        <v>266</v>
      </c>
      <c r="B1370" t="s">
        <v>1068</v>
      </c>
      <c r="C1370" t="s">
        <v>35</v>
      </c>
      <c r="D1370" t="s">
        <v>13</v>
      </c>
    </row>
    <row r="1371" spans="1:4" x14ac:dyDescent="0.35">
      <c r="A1371">
        <v>266</v>
      </c>
      <c r="B1371" t="s">
        <v>1069</v>
      </c>
      <c r="C1371" t="s">
        <v>35</v>
      </c>
      <c r="D1371" t="s">
        <v>13</v>
      </c>
    </row>
    <row r="1372" spans="1:4" x14ac:dyDescent="0.35">
      <c r="A1372">
        <v>266</v>
      </c>
      <c r="B1372" t="s">
        <v>1070</v>
      </c>
      <c r="C1372" t="s">
        <v>35</v>
      </c>
      <c r="D1372" t="s">
        <v>13</v>
      </c>
    </row>
    <row r="1373" spans="1:4" x14ac:dyDescent="0.35">
      <c r="A1373">
        <v>267</v>
      </c>
      <c r="B1373" t="s">
        <v>1071</v>
      </c>
      <c r="C1373" t="s">
        <v>1072</v>
      </c>
      <c r="D1373" t="s">
        <v>13</v>
      </c>
    </row>
    <row r="1374" spans="1:4" x14ac:dyDescent="0.35">
      <c r="A1374">
        <v>267</v>
      </c>
      <c r="B1374" t="s">
        <v>1073</v>
      </c>
      <c r="C1374" t="s">
        <v>562</v>
      </c>
      <c r="D1374" t="s">
        <v>13</v>
      </c>
    </row>
    <row r="1375" spans="1:4" x14ac:dyDescent="0.35">
      <c r="A1375">
        <v>267</v>
      </c>
      <c r="B1375" t="s">
        <v>1074</v>
      </c>
      <c r="C1375" t="s">
        <v>45</v>
      </c>
      <c r="D1375" t="s">
        <v>6</v>
      </c>
    </row>
    <row r="1376" spans="1:4" x14ac:dyDescent="0.35">
      <c r="A1376">
        <v>267</v>
      </c>
      <c r="B1376" t="s">
        <v>1075</v>
      </c>
      <c r="C1376" t="s">
        <v>1072</v>
      </c>
      <c r="D1376" t="s">
        <v>13</v>
      </c>
    </row>
    <row r="1377" spans="1:4" x14ac:dyDescent="0.35">
      <c r="A1377">
        <v>267</v>
      </c>
      <c r="B1377" t="s">
        <v>1076</v>
      </c>
      <c r="C1377" t="s">
        <v>1072</v>
      </c>
      <c r="D1377" t="s">
        <v>13</v>
      </c>
    </row>
    <row r="1378" spans="1:4" x14ac:dyDescent="0.35">
      <c r="A1378">
        <v>267</v>
      </c>
      <c r="B1378" t="s">
        <v>1077</v>
      </c>
      <c r="C1378" t="s">
        <v>45</v>
      </c>
      <c r="D1378" t="s">
        <v>6</v>
      </c>
    </row>
    <row r="1379" spans="1:4" x14ac:dyDescent="0.35">
      <c r="A1379">
        <v>267</v>
      </c>
      <c r="B1379" t="s">
        <v>1078</v>
      </c>
      <c r="C1379" t="s">
        <v>45</v>
      </c>
      <c r="D1379" t="s">
        <v>6</v>
      </c>
    </row>
    <row r="1380" spans="1:4" x14ac:dyDescent="0.35">
      <c r="A1380">
        <v>267</v>
      </c>
      <c r="B1380" t="s">
        <v>1079</v>
      </c>
      <c r="C1380" t="s">
        <v>45</v>
      </c>
      <c r="D1380" t="s">
        <v>6</v>
      </c>
    </row>
    <row r="1381" spans="1:4" x14ac:dyDescent="0.35">
      <c r="A1381">
        <v>267</v>
      </c>
      <c r="B1381" t="s">
        <v>1080</v>
      </c>
      <c r="C1381" t="s">
        <v>45</v>
      </c>
      <c r="D1381" t="s">
        <v>6</v>
      </c>
    </row>
    <row r="1382" spans="1:4" x14ac:dyDescent="0.35">
      <c r="A1382">
        <v>267</v>
      </c>
      <c r="B1382" t="s">
        <v>1081</v>
      </c>
      <c r="C1382" t="s">
        <v>1072</v>
      </c>
      <c r="D1382" t="s">
        <v>13</v>
      </c>
    </row>
    <row r="1383" spans="1:4" x14ac:dyDescent="0.35">
      <c r="A1383">
        <v>267</v>
      </c>
      <c r="B1383" t="s">
        <v>1082</v>
      </c>
      <c r="C1383" t="s">
        <v>1072</v>
      </c>
      <c r="D1383" t="s">
        <v>13</v>
      </c>
    </row>
    <row r="1384" spans="1:4" x14ac:dyDescent="0.35">
      <c r="A1384">
        <v>268</v>
      </c>
      <c r="B1384" t="s">
        <v>356</v>
      </c>
      <c r="C1384" t="s">
        <v>231</v>
      </c>
      <c r="D1384" t="s">
        <v>6</v>
      </c>
    </row>
    <row r="1385" spans="1:4" x14ac:dyDescent="0.35">
      <c r="A1385">
        <v>268</v>
      </c>
      <c r="B1385" t="s">
        <v>1083</v>
      </c>
      <c r="C1385" t="s">
        <v>45</v>
      </c>
      <c r="D1385" t="s">
        <v>6</v>
      </c>
    </row>
    <row r="1386" spans="1:4" x14ac:dyDescent="0.35">
      <c r="A1386">
        <v>268</v>
      </c>
      <c r="B1386" t="s">
        <v>348</v>
      </c>
      <c r="C1386" t="s">
        <v>45</v>
      </c>
      <c r="D1386" t="s">
        <v>6</v>
      </c>
    </row>
    <row r="1387" spans="1:4" x14ac:dyDescent="0.35">
      <c r="A1387">
        <v>268</v>
      </c>
      <c r="B1387" t="s">
        <v>417</v>
      </c>
      <c r="C1387" t="s">
        <v>5</v>
      </c>
      <c r="D1387" t="s">
        <v>6</v>
      </c>
    </row>
    <row r="1388" spans="1:4" x14ac:dyDescent="0.35">
      <c r="A1388">
        <v>268</v>
      </c>
      <c r="B1388" t="s">
        <v>291</v>
      </c>
      <c r="C1388" t="s">
        <v>45</v>
      </c>
      <c r="D1388" t="s">
        <v>6</v>
      </c>
    </row>
    <row r="1389" spans="1:4" x14ac:dyDescent="0.35">
      <c r="A1389">
        <v>268</v>
      </c>
      <c r="B1389" t="s">
        <v>360</v>
      </c>
      <c r="C1389" t="s">
        <v>231</v>
      </c>
      <c r="D1389" t="s">
        <v>6</v>
      </c>
    </row>
    <row r="1390" spans="1:4" x14ac:dyDescent="0.35">
      <c r="A1390">
        <v>268</v>
      </c>
      <c r="B1390" t="s">
        <v>350</v>
      </c>
      <c r="C1390" t="s">
        <v>45</v>
      </c>
      <c r="D1390" t="s">
        <v>6</v>
      </c>
    </row>
    <row r="1391" spans="1:4" x14ac:dyDescent="0.35">
      <c r="A1391">
        <v>268</v>
      </c>
      <c r="B1391" t="s">
        <v>1084</v>
      </c>
      <c r="C1391" t="s">
        <v>45</v>
      </c>
      <c r="D1391" t="s">
        <v>6</v>
      </c>
    </row>
    <row r="1392" spans="1:4" x14ac:dyDescent="0.35">
      <c r="A1392">
        <v>269</v>
      </c>
      <c r="B1392" t="s">
        <v>1085</v>
      </c>
      <c r="C1392" t="s">
        <v>19</v>
      </c>
      <c r="D1392" t="s">
        <v>13</v>
      </c>
    </row>
    <row r="1393" spans="1:4" x14ac:dyDescent="0.35">
      <c r="A1393">
        <v>269</v>
      </c>
      <c r="B1393" t="s">
        <v>1086</v>
      </c>
      <c r="C1393" t="s">
        <v>19</v>
      </c>
      <c r="D1393" t="s">
        <v>13</v>
      </c>
    </row>
    <row r="1394" spans="1:4" x14ac:dyDescent="0.35">
      <c r="A1394">
        <v>270</v>
      </c>
      <c r="B1394" t="s">
        <v>1087</v>
      </c>
      <c r="C1394" t="s">
        <v>19</v>
      </c>
      <c r="D1394" t="s">
        <v>13</v>
      </c>
    </row>
    <row r="1395" spans="1:4" x14ac:dyDescent="0.35">
      <c r="A1395">
        <v>270</v>
      </c>
      <c r="B1395" t="s">
        <v>1088</v>
      </c>
      <c r="C1395" t="s">
        <v>35</v>
      </c>
      <c r="D1395" t="s">
        <v>13</v>
      </c>
    </row>
    <row r="1396" spans="1:4" x14ac:dyDescent="0.35">
      <c r="A1396">
        <v>270</v>
      </c>
      <c r="B1396" t="s">
        <v>1089</v>
      </c>
      <c r="C1396" t="s">
        <v>19</v>
      </c>
      <c r="D1396" t="s">
        <v>13</v>
      </c>
    </row>
    <row r="1397" spans="1:4" x14ac:dyDescent="0.35">
      <c r="A1397">
        <v>270</v>
      </c>
      <c r="B1397" t="s">
        <v>1090</v>
      </c>
      <c r="C1397" t="s">
        <v>1091</v>
      </c>
      <c r="D1397" t="s">
        <v>13</v>
      </c>
    </row>
    <row r="1398" spans="1:4" x14ac:dyDescent="0.35">
      <c r="A1398">
        <v>270</v>
      </c>
      <c r="B1398" t="s">
        <v>1090</v>
      </c>
      <c r="C1398" t="s">
        <v>78</v>
      </c>
      <c r="D1398" t="s">
        <v>13</v>
      </c>
    </row>
    <row r="1399" spans="1:4" x14ac:dyDescent="0.35">
      <c r="A1399">
        <v>270</v>
      </c>
      <c r="B1399" t="s">
        <v>1092</v>
      </c>
      <c r="C1399" t="s">
        <v>35</v>
      </c>
      <c r="D1399" t="s">
        <v>13</v>
      </c>
    </row>
    <row r="1400" spans="1:4" x14ac:dyDescent="0.35">
      <c r="A1400">
        <v>271</v>
      </c>
      <c r="B1400" t="s">
        <v>1093</v>
      </c>
      <c r="C1400" t="s">
        <v>72</v>
      </c>
      <c r="D1400" t="s">
        <v>13</v>
      </c>
    </row>
    <row r="1401" spans="1:4" x14ac:dyDescent="0.35">
      <c r="A1401">
        <v>271</v>
      </c>
      <c r="B1401" t="s">
        <v>1094</v>
      </c>
      <c r="C1401" t="s">
        <v>64</v>
      </c>
      <c r="D1401" t="s">
        <v>13</v>
      </c>
    </row>
    <row r="1402" spans="1:4" x14ac:dyDescent="0.35">
      <c r="A1402">
        <v>271</v>
      </c>
      <c r="B1402" t="s">
        <v>1095</v>
      </c>
      <c r="C1402" t="s">
        <v>72</v>
      </c>
      <c r="D1402" t="s">
        <v>13</v>
      </c>
    </row>
    <row r="1403" spans="1:4" x14ac:dyDescent="0.35">
      <c r="A1403">
        <v>271</v>
      </c>
      <c r="B1403" t="s">
        <v>1096</v>
      </c>
      <c r="C1403" t="s">
        <v>98</v>
      </c>
      <c r="D1403" t="s">
        <v>13</v>
      </c>
    </row>
    <row r="1404" spans="1:4" x14ac:dyDescent="0.35">
      <c r="A1404">
        <v>271</v>
      </c>
      <c r="B1404" t="s">
        <v>1097</v>
      </c>
      <c r="C1404" t="s">
        <v>72</v>
      </c>
      <c r="D1404" t="s">
        <v>13</v>
      </c>
    </row>
    <row r="1405" spans="1:4" x14ac:dyDescent="0.35">
      <c r="A1405">
        <v>271</v>
      </c>
      <c r="B1405" t="s">
        <v>1098</v>
      </c>
      <c r="C1405" t="s">
        <v>72</v>
      </c>
      <c r="D1405" t="s">
        <v>13</v>
      </c>
    </row>
    <row r="1406" spans="1:4" x14ac:dyDescent="0.35">
      <c r="A1406">
        <v>271</v>
      </c>
      <c r="B1406" t="s">
        <v>1099</v>
      </c>
      <c r="C1406" t="s">
        <v>172</v>
      </c>
      <c r="D1406" t="s">
        <v>6</v>
      </c>
    </row>
    <row r="1407" spans="1:4" x14ac:dyDescent="0.35">
      <c r="A1407">
        <v>271</v>
      </c>
      <c r="B1407" t="s">
        <v>1100</v>
      </c>
      <c r="C1407" t="s">
        <v>72</v>
      </c>
      <c r="D1407" t="s">
        <v>13</v>
      </c>
    </row>
    <row r="1408" spans="1:4" x14ac:dyDescent="0.35">
      <c r="A1408">
        <v>272</v>
      </c>
      <c r="B1408" t="s">
        <v>1101</v>
      </c>
      <c r="C1408" t="s">
        <v>157</v>
      </c>
      <c r="D1408" t="s">
        <v>6</v>
      </c>
    </row>
    <row r="1409" spans="1:4" x14ac:dyDescent="0.35">
      <c r="A1409">
        <v>272</v>
      </c>
      <c r="B1409" t="s">
        <v>328</v>
      </c>
      <c r="C1409" t="s">
        <v>93</v>
      </c>
      <c r="D1409" t="s">
        <v>13</v>
      </c>
    </row>
    <row r="1410" spans="1:4" x14ac:dyDescent="0.35">
      <c r="A1410">
        <v>272</v>
      </c>
      <c r="B1410" t="s">
        <v>328</v>
      </c>
      <c r="C1410" t="s">
        <v>157</v>
      </c>
      <c r="D1410" t="s">
        <v>6</v>
      </c>
    </row>
    <row r="1411" spans="1:4" x14ac:dyDescent="0.35">
      <c r="A1411">
        <v>272</v>
      </c>
      <c r="B1411" t="s">
        <v>1102</v>
      </c>
      <c r="C1411" t="s">
        <v>157</v>
      </c>
      <c r="D1411" t="s">
        <v>6</v>
      </c>
    </row>
    <row r="1412" spans="1:4" x14ac:dyDescent="0.35">
      <c r="A1412">
        <v>272</v>
      </c>
      <c r="B1412" t="s">
        <v>329</v>
      </c>
      <c r="C1412" t="s">
        <v>157</v>
      </c>
      <c r="D1412" t="s">
        <v>6</v>
      </c>
    </row>
    <row r="1413" spans="1:4" x14ac:dyDescent="0.35">
      <c r="A1413">
        <v>273</v>
      </c>
      <c r="B1413" t="s">
        <v>1103</v>
      </c>
      <c r="C1413" t="s">
        <v>72</v>
      </c>
      <c r="D1413" t="s">
        <v>13</v>
      </c>
    </row>
    <row r="1414" spans="1:4" x14ac:dyDescent="0.35">
      <c r="A1414">
        <v>273</v>
      </c>
      <c r="B1414" t="s">
        <v>1104</v>
      </c>
      <c r="C1414" t="s">
        <v>72</v>
      </c>
      <c r="D1414" t="s">
        <v>13</v>
      </c>
    </row>
    <row r="1415" spans="1:4" x14ac:dyDescent="0.35">
      <c r="A1415">
        <v>273</v>
      </c>
      <c r="B1415" t="s">
        <v>1104</v>
      </c>
      <c r="C1415" t="s">
        <v>19</v>
      </c>
      <c r="D1415" t="s">
        <v>13</v>
      </c>
    </row>
    <row r="1416" spans="1:4" x14ac:dyDescent="0.35">
      <c r="A1416">
        <v>273</v>
      </c>
      <c r="B1416" t="s">
        <v>1105</v>
      </c>
      <c r="C1416" t="s">
        <v>72</v>
      </c>
      <c r="D1416" t="s">
        <v>13</v>
      </c>
    </row>
    <row r="1417" spans="1:4" x14ac:dyDescent="0.35">
      <c r="A1417">
        <v>274</v>
      </c>
      <c r="B1417" t="s">
        <v>1106</v>
      </c>
      <c r="C1417" t="s">
        <v>16</v>
      </c>
      <c r="D1417" t="s">
        <v>13</v>
      </c>
    </row>
    <row r="1418" spans="1:4" x14ac:dyDescent="0.35">
      <c r="A1418">
        <v>274</v>
      </c>
      <c r="B1418" t="s">
        <v>1107</v>
      </c>
      <c r="C1418" t="s">
        <v>16</v>
      </c>
      <c r="D1418" t="s">
        <v>13</v>
      </c>
    </row>
    <row r="1419" spans="1:4" x14ac:dyDescent="0.35">
      <c r="A1419">
        <v>274</v>
      </c>
      <c r="B1419" t="s">
        <v>1108</v>
      </c>
      <c r="C1419" t="s">
        <v>16</v>
      </c>
      <c r="D1419" t="s">
        <v>13</v>
      </c>
    </row>
    <row r="1420" spans="1:4" x14ac:dyDescent="0.35">
      <c r="A1420">
        <v>275</v>
      </c>
      <c r="B1420" t="s">
        <v>1109</v>
      </c>
      <c r="C1420" t="s">
        <v>22</v>
      </c>
      <c r="D1420" t="s">
        <v>13</v>
      </c>
    </row>
    <row r="1421" spans="1:4" x14ac:dyDescent="0.35">
      <c r="A1421">
        <v>275</v>
      </c>
      <c r="B1421" t="s">
        <v>593</v>
      </c>
      <c r="C1421" t="s">
        <v>144</v>
      </c>
      <c r="D1421" t="s">
        <v>13</v>
      </c>
    </row>
    <row r="1422" spans="1:4" x14ac:dyDescent="0.35">
      <c r="A1422">
        <v>275</v>
      </c>
      <c r="B1422" t="s">
        <v>593</v>
      </c>
      <c r="C1422" t="s">
        <v>189</v>
      </c>
      <c r="D1422" t="s">
        <v>6</v>
      </c>
    </row>
    <row r="1423" spans="1:4" x14ac:dyDescent="0.35">
      <c r="A1423">
        <v>275</v>
      </c>
      <c r="B1423" t="s">
        <v>594</v>
      </c>
      <c r="C1423" t="s">
        <v>22</v>
      </c>
      <c r="D1423" t="s">
        <v>13</v>
      </c>
    </row>
    <row r="1424" spans="1:4" x14ac:dyDescent="0.35">
      <c r="A1424">
        <v>275</v>
      </c>
      <c r="B1424" t="s">
        <v>596</v>
      </c>
      <c r="C1424" t="s">
        <v>144</v>
      </c>
      <c r="D1424" t="s">
        <v>13</v>
      </c>
    </row>
    <row r="1425" spans="1:4" x14ac:dyDescent="0.35">
      <c r="A1425">
        <v>276</v>
      </c>
      <c r="B1425" t="s">
        <v>412</v>
      </c>
      <c r="C1425" t="s">
        <v>189</v>
      </c>
      <c r="D1425" t="s">
        <v>6</v>
      </c>
    </row>
    <row r="1426" spans="1:4" x14ac:dyDescent="0.35">
      <c r="A1426">
        <v>276</v>
      </c>
      <c r="B1426" t="s">
        <v>1110</v>
      </c>
      <c r="C1426" t="s">
        <v>352</v>
      </c>
      <c r="D1426" t="s">
        <v>13</v>
      </c>
    </row>
    <row r="1427" spans="1:4" x14ac:dyDescent="0.35">
      <c r="A1427">
        <v>276</v>
      </c>
      <c r="B1427" t="s">
        <v>413</v>
      </c>
      <c r="C1427" t="s">
        <v>189</v>
      </c>
      <c r="D1427" t="s">
        <v>6</v>
      </c>
    </row>
    <row r="1428" spans="1:4" x14ac:dyDescent="0.35">
      <c r="A1428">
        <v>276</v>
      </c>
      <c r="B1428" t="s">
        <v>1111</v>
      </c>
      <c r="C1428" t="s">
        <v>56</v>
      </c>
      <c r="D1428" t="s">
        <v>13</v>
      </c>
    </row>
    <row r="1429" spans="1:4" x14ac:dyDescent="0.35">
      <c r="A1429">
        <v>276</v>
      </c>
      <c r="B1429" t="s">
        <v>1111</v>
      </c>
      <c r="C1429" t="s">
        <v>189</v>
      </c>
      <c r="D1429" t="s">
        <v>6</v>
      </c>
    </row>
    <row r="1430" spans="1:4" x14ac:dyDescent="0.35">
      <c r="A1430">
        <v>276</v>
      </c>
      <c r="B1430" t="s">
        <v>1112</v>
      </c>
      <c r="C1430" t="s">
        <v>189</v>
      </c>
      <c r="D1430" t="s">
        <v>6</v>
      </c>
    </row>
    <row r="1431" spans="1:4" x14ac:dyDescent="0.35">
      <c r="A1431">
        <v>276</v>
      </c>
      <c r="B1431" t="s">
        <v>1113</v>
      </c>
      <c r="C1431" t="s">
        <v>517</v>
      </c>
      <c r="D1431" t="s">
        <v>13</v>
      </c>
    </row>
    <row r="1432" spans="1:4" x14ac:dyDescent="0.35">
      <c r="A1432">
        <v>276</v>
      </c>
      <c r="B1432" t="s">
        <v>1114</v>
      </c>
      <c r="C1432" t="s">
        <v>35</v>
      </c>
      <c r="D1432" t="s">
        <v>13</v>
      </c>
    </row>
    <row r="1433" spans="1:4" x14ac:dyDescent="0.35">
      <c r="A1433">
        <v>276</v>
      </c>
      <c r="B1433" t="s">
        <v>1115</v>
      </c>
      <c r="C1433" t="s">
        <v>189</v>
      </c>
      <c r="D1433" t="s">
        <v>6</v>
      </c>
    </row>
    <row r="1434" spans="1:4" x14ac:dyDescent="0.35">
      <c r="A1434">
        <v>276</v>
      </c>
      <c r="B1434" t="s">
        <v>1116</v>
      </c>
      <c r="C1434" t="s">
        <v>93</v>
      </c>
      <c r="D1434" t="s">
        <v>13</v>
      </c>
    </row>
    <row r="1435" spans="1:4" x14ac:dyDescent="0.35">
      <c r="A1435">
        <v>276</v>
      </c>
      <c r="B1435" t="s">
        <v>840</v>
      </c>
      <c r="C1435" t="s">
        <v>189</v>
      </c>
      <c r="D1435" t="s">
        <v>6</v>
      </c>
    </row>
    <row r="1436" spans="1:4" x14ac:dyDescent="0.35">
      <c r="A1436">
        <v>276</v>
      </c>
      <c r="B1436" t="s">
        <v>1117</v>
      </c>
      <c r="C1436" t="s">
        <v>56</v>
      </c>
      <c r="D1436" t="s">
        <v>13</v>
      </c>
    </row>
    <row r="1437" spans="1:4" x14ac:dyDescent="0.35">
      <c r="A1437">
        <v>276</v>
      </c>
      <c r="B1437" t="s">
        <v>1118</v>
      </c>
      <c r="C1437" t="s">
        <v>93</v>
      </c>
      <c r="D1437" t="s">
        <v>13</v>
      </c>
    </row>
    <row r="1438" spans="1:4" x14ac:dyDescent="0.35">
      <c r="A1438">
        <v>276</v>
      </c>
      <c r="B1438" t="s">
        <v>1118</v>
      </c>
      <c r="C1438" t="s">
        <v>56</v>
      </c>
      <c r="D1438" t="s">
        <v>13</v>
      </c>
    </row>
    <row r="1439" spans="1:4" x14ac:dyDescent="0.35">
      <c r="A1439">
        <v>276</v>
      </c>
      <c r="B1439" t="s">
        <v>1119</v>
      </c>
      <c r="C1439" t="s">
        <v>164</v>
      </c>
      <c r="D1439" t="s">
        <v>13</v>
      </c>
    </row>
    <row r="1440" spans="1:4" x14ac:dyDescent="0.35">
      <c r="A1440">
        <v>276</v>
      </c>
      <c r="B1440" t="s">
        <v>1120</v>
      </c>
      <c r="C1440" t="s">
        <v>56</v>
      </c>
      <c r="D1440" t="s">
        <v>13</v>
      </c>
    </row>
    <row r="1441" spans="1:4" x14ac:dyDescent="0.35">
      <c r="A1441">
        <v>277</v>
      </c>
      <c r="B1441" t="s">
        <v>1121</v>
      </c>
      <c r="C1441" t="s">
        <v>101</v>
      </c>
      <c r="D1441" t="s">
        <v>6</v>
      </c>
    </row>
    <row r="1442" spans="1:4" x14ac:dyDescent="0.35">
      <c r="A1442">
        <v>277</v>
      </c>
      <c r="B1442" t="s">
        <v>1122</v>
      </c>
      <c r="C1442" t="s">
        <v>101</v>
      </c>
      <c r="D1442" t="s">
        <v>6</v>
      </c>
    </row>
    <row r="1443" spans="1:4" x14ac:dyDescent="0.35">
      <c r="A1443">
        <v>277</v>
      </c>
      <c r="B1443" t="s">
        <v>1123</v>
      </c>
      <c r="C1443" t="s">
        <v>101</v>
      </c>
      <c r="D1443" t="s">
        <v>6</v>
      </c>
    </row>
    <row r="1444" spans="1:4" x14ac:dyDescent="0.35">
      <c r="A1444">
        <v>277</v>
      </c>
      <c r="B1444" t="s">
        <v>308</v>
      </c>
      <c r="C1444" t="s">
        <v>101</v>
      </c>
      <c r="D1444" t="s">
        <v>6</v>
      </c>
    </row>
    <row r="1445" spans="1:4" x14ac:dyDescent="0.35">
      <c r="A1445">
        <v>278</v>
      </c>
      <c r="B1445" t="s">
        <v>1124</v>
      </c>
      <c r="C1445" t="s">
        <v>231</v>
      </c>
      <c r="D1445" t="s">
        <v>6</v>
      </c>
    </row>
    <row r="1446" spans="1:4" x14ac:dyDescent="0.35">
      <c r="A1446">
        <v>278</v>
      </c>
      <c r="B1446" t="s">
        <v>357</v>
      </c>
      <c r="C1446" t="s">
        <v>231</v>
      </c>
      <c r="D1446" t="s">
        <v>6</v>
      </c>
    </row>
    <row r="1447" spans="1:4" x14ac:dyDescent="0.35">
      <c r="A1447">
        <v>278</v>
      </c>
      <c r="B1447" t="s">
        <v>358</v>
      </c>
      <c r="C1447" t="s">
        <v>72</v>
      </c>
      <c r="D1447" t="s">
        <v>13</v>
      </c>
    </row>
    <row r="1448" spans="1:4" x14ac:dyDescent="0.35">
      <c r="A1448">
        <v>278</v>
      </c>
      <c r="B1448" t="s">
        <v>611</v>
      </c>
      <c r="C1448" t="s">
        <v>231</v>
      </c>
      <c r="D1448" t="s">
        <v>6</v>
      </c>
    </row>
    <row r="1449" spans="1:4" x14ac:dyDescent="0.35">
      <c r="A1449">
        <v>278</v>
      </c>
      <c r="B1449" t="s">
        <v>230</v>
      </c>
      <c r="C1449" t="s">
        <v>231</v>
      </c>
      <c r="D1449" t="s">
        <v>6</v>
      </c>
    </row>
    <row r="1450" spans="1:4" x14ac:dyDescent="0.35">
      <c r="A1450">
        <v>278</v>
      </c>
      <c r="B1450" t="s">
        <v>360</v>
      </c>
      <c r="C1450" t="s">
        <v>231</v>
      </c>
      <c r="D1450" t="s">
        <v>6</v>
      </c>
    </row>
    <row r="1451" spans="1:4" x14ac:dyDescent="0.35">
      <c r="A1451">
        <v>278</v>
      </c>
      <c r="B1451" t="s">
        <v>243</v>
      </c>
      <c r="C1451" t="s">
        <v>231</v>
      </c>
      <c r="D1451" t="s">
        <v>6</v>
      </c>
    </row>
    <row r="1452" spans="1:4" x14ac:dyDescent="0.35">
      <c r="A1452">
        <v>279</v>
      </c>
      <c r="B1452" t="s">
        <v>739</v>
      </c>
      <c r="C1452" t="s">
        <v>245</v>
      </c>
      <c r="D1452" t="s">
        <v>13</v>
      </c>
    </row>
    <row r="1453" spans="1:4" x14ac:dyDescent="0.35">
      <c r="A1453">
        <v>279</v>
      </c>
      <c r="B1453" t="s">
        <v>739</v>
      </c>
      <c r="C1453" t="s">
        <v>231</v>
      </c>
      <c r="D1453" t="s">
        <v>6</v>
      </c>
    </row>
    <row r="1454" spans="1:4" x14ac:dyDescent="0.35">
      <c r="A1454">
        <v>279</v>
      </c>
      <c r="B1454" t="s">
        <v>590</v>
      </c>
      <c r="C1454" t="s">
        <v>22</v>
      </c>
      <c r="D1454" t="s">
        <v>13</v>
      </c>
    </row>
    <row r="1455" spans="1:4" x14ac:dyDescent="0.35">
      <c r="A1455">
        <v>279</v>
      </c>
      <c r="B1455" t="s">
        <v>967</v>
      </c>
      <c r="C1455" t="s">
        <v>231</v>
      </c>
      <c r="D1455" t="s">
        <v>6</v>
      </c>
    </row>
    <row r="1456" spans="1:4" x14ac:dyDescent="0.35">
      <c r="A1456">
        <v>279</v>
      </c>
      <c r="B1456" t="s">
        <v>1125</v>
      </c>
      <c r="C1456" t="s">
        <v>231</v>
      </c>
      <c r="D1456" t="s">
        <v>6</v>
      </c>
    </row>
    <row r="1457" spans="1:4" x14ac:dyDescent="0.35">
      <c r="A1457">
        <v>279</v>
      </c>
      <c r="B1457" t="s">
        <v>1125</v>
      </c>
      <c r="C1457" t="s">
        <v>245</v>
      </c>
      <c r="D1457" t="s">
        <v>13</v>
      </c>
    </row>
    <row r="1458" spans="1:4" x14ac:dyDescent="0.35">
      <c r="A1458">
        <v>279</v>
      </c>
      <c r="B1458" t="s">
        <v>741</v>
      </c>
      <c r="C1458" t="s">
        <v>245</v>
      </c>
      <c r="D1458" t="s">
        <v>13</v>
      </c>
    </row>
    <row r="1459" spans="1:4" x14ac:dyDescent="0.35">
      <c r="A1459">
        <v>279</v>
      </c>
      <c r="B1459" t="s">
        <v>579</v>
      </c>
      <c r="C1459" t="s">
        <v>231</v>
      </c>
      <c r="D1459" t="s">
        <v>6</v>
      </c>
    </row>
    <row r="1460" spans="1:4" x14ac:dyDescent="0.35">
      <c r="A1460">
        <v>279</v>
      </c>
      <c r="B1460" t="s">
        <v>580</v>
      </c>
      <c r="C1460" t="s">
        <v>231</v>
      </c>
      <c r="D1460" t="s">
        <v>6</v>
      </c>
    </row>
    <row r="1461" spans="1:4" x14ac:dyDescent="0.35">
      <c r="A1461">
        <v>279</v>
      </c>
      <c r="B1461" t="s">
        <v>1126</v>
      </c>
      <c r="C1461" t="s">
        <v>72</v>
      </c>
      <c r="D1461" t="s">
        <v>13</v>
      </c>
    </row>
    <row r="1462" spans="1:4" x14ac:dyDescent="0.35">
      <c r="A1462">
        <v>280</v>
      </c>
      <c r="B1462" t="s">
        <v>1127</v>
      </c>
      <c r="C1462" t="s">
        <v>231</v>
      </c>
      <c r="D1462" t="s">
        <v>6</v>
      </c>
    </row>
    <row r="1463" spans="1:4" x14ac:dyDescent="0.35">
      <c r="A1463">
        <v>280</v>
      </c>
      <c r="B1463" t="s">
        <v>1128</v>
      </c>
      <c r="C1463" t="s">
        <v>231</v>
      </c>
      <c r="D1463" t="s">
        <v>6</v>
      </c>
    </row>
    <row r="1464" spans="1:4" x14ac:dyDescent="0.35">
      <c r="A1464">
        <v>281</v>
      </c>
      <c r="B1464" t="s">
        <v>590</v>
      </c>
      <c r="C1464" t="s">
        <v>22</v>
      </c>
      <c r="D1464" t="s">
        <v>13</v>
      </c>
    </row>
    <row r="1465" spans="1:4" x14ac:dyDescent="0.35">
      <c r="A1465">
        <v>281</v>
      </c>
      <c r="B1465" t="s">
        <v>967</v>
      </c>
      <c r="C1465" t="s">
        <v>231</v>
      </c>
      <c r="D1465" t="s">
        <v>6</v>
      </c>
    </row>
    <row r="1466" spans="1:4" x14ac:dyDescent="0.35">
      <c r="A1466">
        <v>281</v>
      </c>
      <c r="B1466" t="s">
        <v>1129</v>
      </c>
      <c r="C1466" t="s">
        <v>231</v>
      </c>
      <c r="D1466" t="s">
        <v>6</v>
      </c>
    </row>
    <row r="1467" spans="1:4" x14ac:dyDescent="0.35">
      <c r="A1467">
        <v>281</v>
      </c>
      <c r="B1467" t="s">
        <v>580</v>
      </c>
      <c r="C1467" t="s">
        <v>231</v>
      </c>
      <c r="D1467" t="s">
        <v>6</v>
      </c>
    </row>
    <row r="1468" spans="1:4" x14ac:dyDescent="0.35">
      <c r="A1468">
        <v>281</v>
      </c>
      <c r="B1468" t="s">
        <v>1126</v>
      </c>
      <c r="C1468" t="s">
        <v>72</v>
      </c>
      <c r="D1468" t="s">
        <v>13</v>
      </c>
    </row>
    <row r="1469" spans="1:4" x14ac:dyDescent="0.35">
      <c r="A1469">
        <v>282</v>
      </c>
      <c r="B1469" t="s">
        <v>1130</v>
      </c>
      <c r="C1469" t="s">
        <v>231</v>
      </c>
      <c r="D1469" t="s">
        <v>6</v>
      </c>
    </row>
    <row r="1470" spans="1:4" x14ac:dyDescent="0.35">
      <c r="A1470">
        <v>282</v>
      </c>
      <c r="B1470" t="s">
        <v>1131</v>
      </c>
      <c r="C1470" t="s">
        <v>231</v>
      </c>
      <c r="D1470" t="s">
        <v>6</v>
      </c>
    </row>
    <row r="1471" spans="1:4" x14ac:dyDescent="0.35">
      <c r="A1471">
        <v>282</v>
      </c>
      <c r="B1471" t="s">
        <v>1132</v>
      </c>
      <c r="C1471" t="s">
        <v>245</v>
      </c>
      <c r="D1471" t="s">
        <v>13</v>
      </c>
    </row>
    <row r="1472" spans="1:4" x14ac:dyDescent="0.35">
      <c r="A1472">
        <v>282</v>
      </c>
      <c r="B1472" t="s">
        <v>1133</v>
      </c>
      <c r="C1472" t="s">
        <v>231</v>
      </c>
      <c r="D1472" t="s">
        <v>6</v>
      </c>
    </row>
    <row r="1473" spans="1:4" x14ac:dyDescent="0.35">
      <c r="A1473">
        <v>282</v>
      </c>
      <c r="B1473" t="s">
        <v>1134</v>
      </c>
      <c r="C1473" t="s">
        <v>231</v>
      </c>
      <c r="D1473" t="s">
        <v>6</v>
      </c>
    </row>
    <row r="1474" spans="1:4" x14ac:dyDescent="0.35">
      <c r="A1474">
        <v>282</v>
      </c>
      <c r="B1474" t="s">
        <v>1135</v>
      </c>
      <c r="C1474" t="s">
        <v>231</v>
      </c>
      <c r="D1474" t="s">
        <v>6</v>
      </c>
    </row>
    <row r="1475" spans="1:4" x14ac:dyDescent="0.35">
      <c r="A1475">
        <v>282</v>
      </c>
      <c r="B1475" t="s">
        <v>1136</v>
      </c>
      <c r="C1475" t="s">
        <v>231</v>
      </c>
      <c r="D1475" t="s">
        <v>6</v>
      </c>
    </row>
    <row r="1476" spans="1:4" x14ac:dyDescent="0.35">
      <c r="A1476">
        <v>283</v>
      </c>
      <c r="B1476" t="s">
        <v>1137</v>
      </c>
      <c r="C1476" t="s">
        <v>45</v>
      </c>
      <c r="D1476" t="s">
        <v>6</v>
      </c>
    </row>
    <row r="1477" spans="1:4" x14ac:dyDescent="0.35">
      <c r="A1477">
        <v>283</v>
      </c>
      <c r="B1477" t="s">
        <v>1138</v>
      </c>
      <c r="C1477" t="s">
        <v>45</v>
      </c>
      <c r="D1477" t="s">
        <v>6</v>
      </c>
    </row>
    <row r="1478" spans="1:4" x14ac:dyDescent="0.35">
      <c r="A1478">
        <v>283</v>
      </c>
      <c r="B1478" t="s">
        <v>1139</v>
      </c>
      <c r="C1478" t="s">
        <v>45</v>
      </c>
      <c r="D1478" t="s">
        <v>6</v>
      </c>
    </row>
    <row r="1479" spans="1:4" x14ac:dyDescent="0.35">
      <c r="A1479">
        <v>284</v>
      </c>
      <c r="B1479" t="s">
        <v>1140</v>
      </c>
      <c r="C1479" t="s">
        <v>16</v>
      </c>
      <c r="D1479" t="s">
        <v>13</v>
      </c>
    </row>
    <row r="1480" spans="1:4" x14ac:dyDescent="0.35">
      <c r="A1480">
        <v>284</v>
      </c>
      <c r="B1480" t="s">
        <v>161</v>
      </c>
      <c r="C1480" t="s">
        <v>157</v>
      </c>
      <c r="D1480" t="s">
        <v>6</v>
      </c>
    </row>
    <row r="1481" spans="1:4" x14ac:dyDescent="0.35">
      <c r="A1481">
        <v>284</v>
      </c>
      <c r="B1481" t="s">
        <v>1141</v>
      </c>
      <c r="C1481" t="s">
        <v>157</v>
      </c>
      <c r="D1481" t="s">
        <v>6</v>
      </c>
    </row>
    <row r="1482" spans="1:4" x14ac:dyDescent="0.35">
      <c r="A1482">
        <v>284</v>
      </c>
      <c r="B1482" t="s">
        <v>1142</v>
      </c>
      <c r="C1482" t="s">
        <v>19</v>
      </c>
      <c r="D1482" t="s">
        <v>13</v>
      </c>
    </row>
    <row r="1483" spans="1:4" x14ac:dyDescent="0.35">
      <c r="A1483">
        <v>285</v>
      </c>
      <c r="B1483" t="s">
        <v>328</v>
      </c>
      <c r="C1483" t="s">
        <v>157</v>
      </c>
      <c r="D1483" t="s">
        <v>6</v>
      </c>
    </row>
    <row r="1484" spans="1:4" x14ac:dyDescent="0.35">
      <c r="A1484">
        <v>285</v>
      </c>
      <c r="B1484" t="s">
        <v>329</v>
      </c>
      <c r="C1484" t="s">
        <v>157</v>
      </c>
      <c r="D1484" t="s">
        <v>6</v>
      </c>
    </row>
    <row r="1485" spans="1:4" x14ac:dyDescent="0.35">
      <c r="A1485">
        <v>285</v>
      </c>
      <c r="B1485" t="s">
        <v>330</v>
      </c>
      <c r="C1485" t="s">
        <v>157</v>
      </c>
      <c r="D1485" t="s">
        <v>6</v>
      </c>
    </row>
    <row r="1486" spans="1:4" x14ac:dyDescent="0.35">
      <c r="A1486">
        <v>286</v>
      </c>
      <c r="B1486" t="s">
        <v>328</v>
      </c>
      <c r="C1486" t="s">
        <v>93</v>
      </c>
      <c r="D1486" t="s">
        <v>13</v>
      </c>
    </row>
    <row r="1487" spans="1:4" x14ac:dyDescent="0.35">
      <c r="A1487">
        <v>286</v>
      </c>
      <c r="B1487" t="s">
        <v>328</v>
      </c>
      <c r="C1487" t="s">
        <v>157</v>
      </c>
      <c r="D1487" t="s">
        <v>6</v>
      </c>
    </row>
    <row r="1488" spans="1:4" x14ac:dyDescent="0.35">
      <c r="A1488">
        <v>286</v>
      </c>
      <c r="B1488" t="s">
        <v>329</v>
      </c>
      <c r="C1488" t="s">
        <v>157</v>
      </c>
      <c r="D1488" t="s">
        <v>6</v>
      </c>
    </row>
    <row r="1489" spans="1:4" x14ac:dyDescent="0.35">
      <c r="A1489">
        <v>286</v>
      </c>
      <c r="B1489" t="s">
        <v>330</v>
      </c>
      <c r="C1489" t="s">
        <v>157</v>
      </c>
      <c r="D1489" t="s">
        <v>6</v>
      </c>
    </row>
    <row r="1490" spans="1:4" x14ac:dyDescent="0.35">
      <c r="A1490">
        <v>287</v>
      </c>
      <c r="B1490" t="s">
        <v>1143</v>
      </c>
      <c r="C1490" t="s">
        <v>72</v>
      </c>
      <c r="D1490" t="s">
        <v>13</v>
      </c>
    </row>
    <row r="1491" spans="1:4" x14ac:dyDescent="0.35">
      <c r="A1491">
        <v>287</v>
      </c>
      <c r="B1491" t="s">
        <v>1144</v>
      </c>
      <c r="C1491" t="s">
        <v>72</v>
      </c>
      <c r="D1491" t="s">
        <v>13</v>
      </c>
    </row>
    <row r="1492" spans="1:4" x14ac:dyDescent="0.35">
      <c r="A1492">
        <v>287</v>
      </c>
      <c r="B1492" t="s">
        <v>1145</v>
      </c>
      <c r="C1492" t="s">
        <v>72</v>
      </c>
      <c r="D1492" t="s">
        <v>13</v>
      </c>
    </row>
    <row r="1493" spans="1:4" x14ac:dyDescent="0.35">
      <c r="A1493">
        <v>287</v>
      </c>
      <c r="B1493" t="s">
        <v>1146</v>
      </c>
      <c r="C1493" t="s">
        <v>72</v>
      </c>
      <c r="D1493" t="s">
        <v>13</v>
      </c>
    </row>
    <row r="1494" spans="1:4" x14ac:dyDescent="0.35">
      <c r="A1494">
        <v>287</v>
      </c>
      <c r="B1494" t="s">
        <v>1147</v>
      </c>
      <c r="C1494" t="s">
        <v>72</v>
      </c>
      <c r="D1494" t="s">
        <v>13</v>
      </c>
    </row>
    <row r="1495" spans="1:4" x14ac:dyDescent="0.35">
      <c r="A1495">
        <v>288</v>
      </c>
      <c r="B1495" t="s">
        <v>1148</v>
      </c>
      <c r="C1495" t="s">
        <v>101</v>
      </c>
      <c r="D1495" t="s">
        <v>6</v>
      </c>
    </row>
    <row r="1496" spans="1:4" x14ac:dyDescent="0.35">
      <c r="A1496">
        <v>288</v>
      </c>
      <c r="B1496" t="s">
        <v>293</v>
      </c>
      <c r="C1496" t="s">
        <v>101</v>
      </c>
      <c r="D1496" t="s">
        <v>6</v>
      </c>
    </row>
    <row r="1497" spans="1:4" x14ac:dyDescent="0.35">
      <c r="A1497">
        <v>288</v>
      </c>
      <c r="B1497" t="s">
        <v>1149</v>
      </c>
      <c r="C1497" t="s">
        <v>101</v>
      </c>
      <c r="D1497" t="s">
        <v>6</v>
      </c>
    </row>
    <row r="1498" spans="1:4" x14ac:dyDescent="0.35">
      <c r="A1498">
        <v>288</v>
      </c>
      <c r="B1498" t="s">
        <v>1149</v>
      </c>
      <c r="C1498" t="s">
        <v>16</v>
      </c>
      <c r="D1498" t="s">
        <v>13</v>
      </c>
    </row>
    <row r="1499" spans="1:4" x14ac:dyDescent="0.35">
      <c r="A1499">
        <v>288</v>
      </c>
      <c r="B1499" t="s">
        <v>294</v>
      </c>
      <c r="C1499" t="s">
        <v>101</v>
      </c>
      <c r="D1499" t="s">
        <v>6</v>
      </c>
    </row>
    <row r="1500" spans="1:4" x14ac:dyDescent="0.35">
      <c r="A1500">
        <v>288</v>
      </c>
      <c r="B1500" t="s">
        <v>1150</v>
      </c>
      <c r="C1500" t="s">
        <v>101</v>
      </c>
      <c r="D1500" t="s">
        <v>6</v>
      </c>
    </row>
    <row r="1501" spans="1:4" x14ac:dyDescent="0.35">
      <c r="A1501">
        <v>288</v>
      </c>
      <c r="B1501" t="s">
        <v>420</v>
      </c>
      <c r="C1501" t="s">
        <v>101</v>
      </c>
      <c r="D1501" t="s">
        <v>6</v>
      </c>
    </row>
    <row r="1502" spans="1:4" x14ac:dyDescent="0.35">
      <c r="A1502">
        <v>289</v>
      </c>
      <c r="B1502" t="s">
        <v>1151</v>
      </c>
      <c r="C1502" t="s">
        <v>16</v>
      </c>
      <c r="D1502" t="s">
        <v>13</v>
      </c>
    </row>
    <row r="1503" spans="1:4" x14ac:dyDescent="0.35">
      <c r="A1503">
        <v>289</v>
      </c>
      <c r="B1503" t="s">
        <v>190</v>
      </c>
      <c r="C1503" t="s">
        <v>189</v>
      </c>
      <c r="D1503" t="s">
        <v>6</v>
      </c>
    </row>
    <row r="1504" spans="1:4" x14ac:dyDescent="0.35">
      <c r="A1504">
        <v>289</v>
      </c>
      <c r="B1504" t="s">
        <v>190</v>
      </c>
      <c r="C1504" t="s">
        <v>16</v>
      </c>
      <c r="D1504" t="s">
        <v>13</v>
      </c>
    </row>
    <row r="1505" spans="1:4" x14ac:dyDescent="0.35">
      <c r="A1505">
        <v>289</v>
      </c>
      <c r="B1505" t="s">
        <v>1152</v>
      </c>
      <c r="C1505" t="s">
        <v>16</v>
      </c>
      <c r="D1505" t="s">
        <v>13</v>
      </c>
    </row>
    <row r="1506" spans="1:4" x14ac:dyDescent="0.35">
      <c r="A1506">
        <v>289</v>
      </c>
      <c r="B1506" t="s">
        <v>1153</v>
      </c>
      <c r="C1506" t="s">
        <v>16</v>
      </c>
      <c r="D1506" t="s">
        <v>13</v>
      </c>
    </row>
    <row r="1507" spans="1:4" x14ac:dyDescent="0.35">
      <c r="A1507">
        <v>289</v>
      </c>
      <c r="B1507" t="s">
        <v>1154</v>
      </c>
      <c r="C1507" t="s">
        <v>16</v>
      </c>
      <c r="D1507" t="s">
        <v>13</v>
      </c>
    </row>
    <row r="1508" spans="1:4" x14ac:dyDescent="0.35">
      <c r="A1508">
        <v>289</v>
      </c>
      <c r="B1508" t="s">
        <v>1155</v>
      </c>
      <c r="C1508" t="s">
        <v>189</v>
      </c>
      <c r="D1508" t="s">
        <v>6</v>
      </c>
    </row>
    <row r="1509" spans="1:4" x14ac:dyDescent="0.35">
      <c r="A1509">
        <v>289</v>
      </c>
      <c r="B1509" t="s">
        <v>1155</v>
      </c>
      <c r="C1509" t="s">
        <v>16</v>
      </c>
      <c r="D1509" t="s">
        <v>13</v>
      </c>
    </row>
    <row r="1510" spans="1:4" x14ac:dyDescent="0.35">
      <c r="A1510">
        <v>289</v>
      </c>
      <c r="B1510" t="s">
        <v>1156</v>
      </c>
      <c r="C1510" t="s">
        <v>16</v>
      </c>
      <c r="D1510" t="s">
        <v>13</v>
      </c>
    </row>
    <row r="1511" spans="1:4" x14ac:dyDescent="0.35">
      <c r="A1511">
        <v>289</v>
      </c>
      <c r="B1511" t="s">
        <v>1156</v>
      </c>
      <c r="C1511" t="s">
        <v>189</v>
      </c>
      <c r="D1511" t="s">
        <v>6</v>
      </c>
    </row>
    <row r="1512" spans="1:4" x14ac:dyDescent="0.35">
      <c r="A1512">
        <v>290</v>
      </c>
      <c r="B1512" t="s">
        <v>1157</v>
      </c>
      <c r="C1512" t="s">
        <v>72</v>
      </c>
      <c r="D1512" t="s">
        <v>13</v>
      </c>
    </row>
    <row r="1513" spans="1:4" x14ac:dyDescent="0.35">
      <c r="A1513">
        <v>290</v>
      </c>
      <c r="B1513" t="s">
        <v>1158</v>
      </c>
      <c r="C1513" t="s">
        <v>72</v>
      </c>
      <c r="D1513" t="s">
        <v>13</v>
      </c>
    </row>
    <row r="1514" spans="1:4" x14ac:dyDescent="0.35">
      <c r="A1514">
        <v>290</v>
      </c>
      <c r="B1514" t="s">
        <v>235</v>
      </c>
      <c r="C1514" t="s">
        <v>72</v>
      </c>
      <c r="D1514" t="s">
        <v>13</v>
      </c>
    </row>
    <row r="1515" spans="1:4" x14ac:dyDescent="0.35">
      <c r="A1515">
        <v>290</v>
      </c>
      <c r="B1515" t="s">
        <v>1159</v>
      </c>
      <c r="C1515" t="s">
        <v>72</v>
      </c>
      <c r="D1515" t="s">
        <v>13</v>
      </c>
    </row>
    <row r="1516" spans="1:4" x14ac:dyDescent="0.35">
      <c r="A1516">
        <v>290</v>
      </c>
      <c r="B1516" t="s">
        <v>1160</v>
      </c>
      <c r="C1516" t="s">
        <v>72</v>
      </c>
      <c r="D1516" t="s">
        <v>13</v>
      </c>
    </row>
    <row r="1517" spans="1:4" x14ac:dyDescent="0.35">
      <c r="A1517">
        <v>290</v>
      </c>
      <c r="B1517" t="s">
        <v>1161</v>
      </c>
      <c r="C1517" t="s">
        <v>72</v>
      </c>
      <c r="D1517" t="s">
        <v>13</v>
      </c>
    </row>
    <row r="1518" spans="1:4" x14ac:dyDescent="0.35">
      <c r="A1518">
        <v>290</v>
      </c>
      <c r="B1518" t="s">
        <v>1162</v>
      </c>
      <c r="C1518" t="s">
        <v>72</v>
      </c>
      <c r="D1518" t="s">
        <v>13</v>
      </c>
    </row>
    <row r="1519" spans="1:4" x14ac:dyDescent="0.35">
      <c r="A1519">
        <v>290</v>
      </c>
      <c r="B1519" t="s">
        <v>1163</v>
      </c>
      <c r="C1519" t="s">
        <v>72</v>
      </c>
      <c r="D1519" t="s">
        <v>13</v>
      </c>
    </row>
    <row r="1520" spans="1:4" x14ac:dyDescent="0.35">
      <c r="A1520">
        <v>290</v>
      </c>
      <c r="B1520" t="s">
        <v>239</v>
      </c>
      <c r="C1520" t="s">
        <v>72</v>
      </c>
      <c r="D1520" t="s">
        <v>13</v>
      </c>
    </row>
    <row r="1521" spans="1:4" x14ac:dyDescent="0.35">
      <c r="A1521">
        <v>290</v>
      </c>
      <c r="B1521" t="s">
        <v>1164</v>
      </c>
      <c r="C1521" t="s">
        <v>72</v>
      </c>
      <c r="D1521" t="s">
        <v>13</v>
      </c>
    </row>
    <row r="1522" spans="1:4" x14ac:dyDescent="0.35">
      <c r="A1522">
        <v>291</v>
      </c>
      <c r="B1522" t="s">
        <v>1165</v>
      </c>
      <c r="C1522" t="s">
        <v>261</v>
      </c>
      <c r="D1522" t="s">
        <v>13</v>
      </c>
    </row>
    <row r="1523" spans="1:4" x14ac:dyDescent="0.35">
      <c r="A1523">
        <v>291</v>
      </c>
      <c r="B1523" t="s">
        <v>1166</v>
      </c>
      <c r="C1523" t="s">
        <v>261</v>
      </c>
      <c r="D1523" t="s">
        <v>13</v>
      </c>
    </row>
    <row r="1524" spans="1:4" x14ac:dyDescent="0.35">
      <c r="A1524">
        <v>291</v>
      </c>
      <c r="B1524" t="s">
        <v>1167</v>
      </c>
      <c r="C1524" t="s">
        <v>261</v>
      </c>
      <c r="D1524" t="s">
        <v>13</v>
      </c>
    </row>
    <row r="1525" spans="1:4" x14ac:dyDescent="0.35">
      <c r="A1525">
        <v>291</v>
      </c>
      <c r="B1525" t="s">
        <v>1168</v>
      </c>
      <c r="C1525" t="s">
        <v>261</v>
      </c>
      <c r="D1525" t="s">
        <v>13</v>
      </c>
    </row>
    <row r="1526" spans="1:4" x14ac:dyDescent="0.35">
      <c r="A1526">
        <v>291</v>
      </c>
      <c r="B1526" t="s">
        <v>1169</v>
      </c>
      <c r="C1526" t="s">
        <v>261</v>
      </c>
      <c r="D1526" t="s">
        <v>13</v>
      </c>
    </row>
    <row r="1527" spans="1:4" x14ac:dyDescent="0.35">
      <c r="A1527">
        <v>292</v>
      </c>
      <c r="B1527" t="s">
        <v>1170</v>
      </c>
      <c r="C1527" t="s">
        <v>157</v>
      </c>
      <c r="D1527" t="s">
        <v>6</v>
      </c>
    </row>
    <row r="1528" spans="1:4" x14ac:dyDescent="0.35">
      <c r="A1528">
        <v>292</v>
      </c>
      <c r="B1528" t="s">
        <v>1171</v>
      </c>
      <c r="C1528" t="s">
        <v>5</v>
      </c>
      <c r="D1528" t="s">
        <v>6</v>
      </c>
    </row>
    <row r="1529" spans="1:4" x14ac:dyDescent="0.35">
      <c r="A1529">
        <v>292</v>
      </c>
      <c r="B1529" t="s">
        <v>1172</v>
      </c>
      <c r="C1529" t="s">
        <v>586</v>
      </c>
      <c r="D1529" t="s">
        <v>13</v>
      </c>
    </row>
    <row r="1530" spans="1:4" x14ac:dyDescent="0.35">
      <c r="A1530">
        <v>293</v>
      </c>
      <c r="B1530" t="s">
        <v>922</v>
      </c>
      <c r="C1530" t="s">
        <v>48</v>
      </c>
      <c r="D1530" t="s">
        <v>13</v>
      </c>
    </row>
    <row r="1531" spans="1:4" x14ac:dyDescent="0.35">
      <c r="A1531">
        <v>293</v>
      </c>
      <c r="B1531" t="s">
        <v>923</v>
      </c>
      <c r="C1531" t="s">
        <v>48</v>
      </c>
      <c r="D1531" t="s">
        <v>13</v>
      </c>
    </row>
    <row r="1532" spans="1:4" x14ac:dyDescent="0.35">
      <c r="A1532">
        <v>293</v>
      </c>
      <c r="B1532" t="s">
        <v>1173</v>
      </c>
      <c r="C1532" t="s">
        <v>48</v>
      </c>
      <c r="D1532" t="s">
        <v>13</v>
      </c>
    </row>
    <row r="1533" spans="1:4" x14ac:dyDescent="0.35">
      <c r="A1533">
        <v>293</v>
      </c>
      <c r="B1533" t="s">
        <v>1173</v>
      </c>
      <c r="C1533" t="s">
        <v>189</v>
      </c>
      <c r="D1533" t="s">
        <v>6</v>
      </c>
    </row>
    <row r="1534" spans="1:4" x14ac:dyDescent="0.35">
      <c r="A1534">
        <v>293</v>
      </c>
      <c r="B1534" t="s">
        <v>1174</v>
      </c>
      <c r="C1534" t="s">
        <v>16</v>
      </c>
      <c r="D1534" t="s">
        <v>13</v>
      </c>
    </row>
    <row r="1535" spans="1:4" x14ac:dyDescent="0.35">
      <c r="A1535">
        <v>293</v>
      </c>
      <c r="B1535" t="s">
        <v>1175</v>
      </c>
      <c r="C1535" t="s">
        <v>48</v>
      </c>
      <c r="D1535" t="s">
        <v>13</v>
      </c>
    </row>
    <row r="1536" spans="1:4" x14ac:dyDescent="0.35">
      <c r="A1536">
        <v>293</v>
      </c>
      <c r="B1536" t="s">
        <v>1176</v>
      </c>
      <c r="C1536" t="s">
        <v>48</v>
      </c>
      <c r="D1536" t="s">
        <v>13</v>
      </c>
    </row>
    <row r="1537" spans="1:4" x14ac:dyDescent="0.35">
      <c r="A1537">
        <v>294</v>
      </c>
      <c r="B1537" t="s">
        <v>1177</v>
      </c>
      <c r="C1537" t="s">
        <v>90</v>
      </c>
      <c r="D1537" t="s">
        <v>13</v>
      </c>
    </row>
    <row r="1538" spans="1:4" x14ac:dyDescent="0.35">
      <c r="A1538">
        <v>294</v>
      </c>
      <c r="B1538" t="s">
        <v>1178</v>
      </c>
      <c r="C1538" t="s">
        <v>56</v>
      </c>
      <c r="D1538" t="s">
        <v>13</v>
      </c>
    </row>
    <row r="1539" spans="1:4" x14ac:dyDescent="0.35">
      <c r="A1539">
        <v>294</v>
      </c>
      <c r="B1539" t="s">
        <v>1179</v>
      </c>
      <c r="C1539" t="s">
        <v>56</v>
      </c>
      <c r="D1539" t="s">
        <v>13</v>
      </c>
    </row>
    <row r="1540" spans="1:4" x14ac:dyDescent="0.35">
      <c r="A1540">
        <v>294</v>
      </c>
      <c r="B1540" t="s">
        <v>1180</v>
      </c>
      <c r="C1540" t="s">
        <v>5</v>
      </c>
      <c r="D1540" t="s">
        <v>6</v>
      </c>
    </row>
    <row r="1541" spans="1:4" x14ac:dyDescent="0.35">
      <c r="A1541">
        <v>294</v>
      </c>
      <c r="B1541" t="s">
        <v>1181</v>
      </c>
      <c r="C1541" t="s">
        <v>5</v>
      </c>
      <c r="D1541" t="s">
        <v>6</v>
      </c>
    </row>
    <row r="1542" spans="1:4" x14ac:dyDescent="0.35">
      <c r="A1542">
        <v>294</v>
      </c>
      <c r="B1542" t="s">
        <v>1182</v>
      </c>
      <c r="C1542" t="s">
        <v>56</v>
      </c>
      <c r="D1542" t="s">
        <v>13</v>
      </c>
    </row>
    <row r="1543" spans="1:4" x14ac:dyDescent="0.35">
      <c r="A1543">
        <v>294</v>
      </c>
      <c r="B1543" t="s">
        <v>1183</v>
      </c>
      <c r="C1543" t="s">
        <v>56</v>
      </c>
      <c r="D1543" t="s">
        <v>13</v>
      </c>
    </row>
    <row r="1544" spans="1:4" x14ac:dyDescent="0.35">
      <c r="A1544">
        <v>294</v>
      </c>
      <c r="B1544" t="s">
        <v>1184</v>
      </c>
      <c r="C1544" t="s">
        <v>56</v>
      </c>
      <c r="D1544" t="s">
        <v>13</v>
      </c>
    </row>
    <row r="1545" spans="1:4" x14ac:dyDescent="0.35">
      <c r="A1545">
        <v>294</v>
      </c>
      <c r="B1545" t="s">
        <v>1185</v>
      </c>
      <c r="C1545" t="s">
        <v>56</v>
      </c>
      <c r="D1545" t="s">
        <v>13</v>
      </c>
    </row>
    <row r="1546" spans="1:4" x14ac:dyDescent="0.35">
      <c r="A1546">
        <v>294</v>
      </c>
      <c r="B1546" t="s">
        <v>1185</v>
      </c>
      <c r="C1546" t="s">
        <v>93</v>
      </c>
      <c r="D1546" t="s">
        <v>13</v>
      </c>
    </row>
    <row r="1547" spans="1:4" x14ac:dyDescent="0.35">
      <c r="A1547">
        <v>294</v>
      </c>
      <c r="B1547" t="s">
        <v>1185</v>
      </c>
      <c r="C1547" t="s">
        <v>1186</v>
      </c>
      <c r="D1547" t="s">
        <v>13</v>
      </c>
    </row>
    <row r="1548" spans="1:4" x14ac:dyDescent="0.35">
      <c r="A1548">
        <v>294</v>
      </c>
      <c r="B1548" t="s">
        <v>1187</v>
      </c>
      <c r="C1548" t="s">
        <v>5</v>
      </c>
      <c r="D1548" t="s">
        <v>6</v>
      </c>
    </row>
    <row r="1549" spans="1:4" x14ac:dyDescent="0.35">
      <c r="A1549">
        <v>295</v>
      </c>
      <c r="B1549" t="s">
        <v>212</v>
      </c>
      <c r="C1549" t="s">
        <v>5</v>
      </c>
      <c r="D1549" t="s">
        <v>6</v>
      </c>
    </row>
    <row r="1550" spans="1:4" x14ac:dyDescent="0.35">
      <c r="A1550">
        <v>295</v>
      </c>
      <c r="B1550" t="s">
        <v>1188</v>
      </c>
      <c r="C1550" t="s">
        <v>25</v>
      </c>
      <c r="D1550" t="s">
        <v>13</v>
      </c>
    </row>
    <row r="1551" spans="1:4" x14ac:dyDescent="0.35">
      <c r="A1551">
        <v>296</v>
      </c>
      <c r="B1551" t="s">
        <v>842</v>
      </c>
      <c r="C1551" t="s">
        <v>5</v>
      </c>
      <c r="D1551" t="s">
        <v>6</v>
      </c>
    </row>
    <row r="1552" spans="1:4" x14ac:dyDescent="0.35">
      <c r="A1552">
        <v>296</v>
      </c>
      <c r="B1552" t="s">
        <v>843</v>
      </c>
      <c r="C1552" t="s">
        <v>5</v>
      </c>
      <c r="D1552" t="s">
        <v>6</v>
      </c>
    </row>
    <row r="1553" spans="1:4" x14ac:dyDescent="0.35">
      <c r="A1553">
        <v>297</v>
      </c>
      <c r="B1553" t="s">
        <v>212</v>
      </c>
      <c r="C1553" t="s">
        <v>5</v>
      </c>
      <c r="D1553" t="s">
        <v>6</v>
      </c>
    </row>
    <row r="1554" spans="1:4" x14ac:dyDescent="0.35">
      <c r="A1554">
        <v>297</v>
      </c>
      <c r="B1554" t="s">
        <v>1189</v>
      </c>
      <c r="C1554" t="s">
        <v>93</v>
      </c>
      <c r="D1554" t="s">
        <v>13</v>
      </c>
    </row>
    <row r="1555" spans="1:4" x14ac:dyDescent="0.35">
      <c r="A1555">
        <v>297</v>
      </c>
      <c r="B1555" t="s">
        <v>1190</v>
      </c>
      <c r="C1555" t="s">
        <v>93</v>
      </c>
      <c r="D1555" t="s">
        <v>13</v>
      </c>
    </row>
    <row r="1556" spans="1:4" x14ac:dyDescent="0.35">
      <c r="A1556">
        <v>297</v>
      </c>
      <c r="B1556" t="s">
        <v>937</v>
      </c>
      <c r="C1556" t="s">
        <v>5</v>
      </c>
      <c r="D1556" t="s">
        <v>6</v>
      </c>
    </row>
    <row r="1557" spans="1:4" x14ac:dyDescent="0.35">
      <c r="A1557">
        <v>297</v>
      </c>
      <c r="B1557" t="s">
        <v>214</v>
      </c>
      <c r="C1557" t="s">
        <v>5</v>
      </c>
      <c r="D1557" t="s">
        <v>6</v>
      </c>
    </row>
    <row r="1558" spans="1:4" x14ac:dyDescent="0.35">
      <c r="A1558">
        <v>297</v>
      </c>
      <c r="B1558" t="s">
        <v>216</v>
      </c>
      <c r="C1558" t="s">
        <v>5</v>
      </c>
      <c r="D1558" t="s">
        <v>6</v>
      </c>
    </row>
    <row r="1559" spans="1:4" x14ac:dyDescent="0.35">
      <c r="A1559">
        <v>298</v>
      </c>
      <c r="B1559" t="s">
        <v>1191</v>
      </c>
      <c r="C1559" t="s">
        <v>1192</v>
      </c>
      <c r="D1559" t="s">
        <v>13</v>
      </c>
    </row>
    <row r="1560" spans="1:4" x14ac:dyDescent="0.35">
      <c r="A1560">
        <v>298</v>
      </c>
      <c r="B1560" t="s">
        <v>1193</v>
      </c>
      <c r="C1560" t="s">
        <v>45</v>
      </c>
      <c r="D1560" t="s">
        <v>6</v>
      </c>
    </row>
    <row r="1561" spans="1:4" x14ac:dyDescent="0.35">
      <c r="A1561">
        <v>298</v>
      </c>
      <c r="B1561" t="s">
        <v>1194</v>
      </c>
      <c r="C1561" t="s">
        <v>45</v>
      </c>
      <c r="D1561" t="s">
        <v>6</v>
      </c>
    </row>
    <row r="1562" spans="1:4" x14ac:dyDescent="0.35">
      <c r="A1562">
        <v>298</v>
      </c>
      <c r="B1562" t="s">
        <v>1195</v>
      </c>
      <c r="C1562" t="s">
        <v>45</v>
      </c>
      <c r="D1562" t="s">
        <v>6</v>
      </c>
    </row>
    <row r="1563" spans="1:4" x14ac:dyDescent="0.35">
      <c r="A1563">
        <v>298</v>
      </c>
      <c r="B1563" t="s">
        <v>1196</v>
      </c>
      <c r="C1563" t="s">
        <v>45</v>
      </c>
      <c r="D1563" t="s">
        <v>6</v>
      </c>
    </row>
    <row r="1564" spans="1:4" x14ac:dyDescent="0.35">
      <c r="A1564">
        <v>298</v>
      </c>
      <c r="B1564" t="s">
        <v>1197</v>
      </c>
      <c r="C1564" t="s">
        <v>45</v>
      </c>
      <c r="D1564" t="s">
        <v>6</v>
      </c>
    </row>
    <row r="1565" spans="1:4" x14ac:dyDescent="0.35">
      <c r="A1565">
        <v>298</v>
      </c>
      <c r="B1565" t="s">
        <v>1198</v>
      </c>
      <c r="C1565" t="s">
        <v>45</v>
      </c>
      <c r="D1565" t="s">
        <v>6</v>
      </c>
    </row>
    <row r="1566" spans="1:4" x14ac:dyDescent="0.35">
      <c r="A1566">
        <v>298</v>
      </c>
      <c r="B1566" t="s">
        <v>1199</v>
      </c>
      <c r="C1566" t="s">
        <v>45</v>
      </c>
      <c r="D1566" t="s">
        <v>6</v>
      </c>
    </row>
    <row r="1567" spans="1:4" x14ac:dyDescent="0.35">
      <c r="A1567">
        <v>298</v>
      </c>
      <c r="B1567" t="s">
        <v>1200</v>
      </c>
      <c r="C1567" t="s">
        <v>45</v>
      </c>
      <c r="D1567" t="s">
        <v>6</v>
      </c>
    </row>
    <row r="1568" spans="1:4" x14ac:dyDescent="0.35">
      <c r="A1568">
        <v>298</v>
      </c>
      <c r="B1568" t="s">
        <v>1201</v>
      </c>
      <c r="C1568" t="s">
        <v>45</v>
      </c>
      <c r="D1568" t="s">
        <v>6</v>
      </c>
    </row>
    <row r="1569" spans="1:4" x14ac:dyDescent="0.35">
      <c r="A1569">
        <v>298</v>
      </c>
      <c r="B1569" t="s">
        <v>1202</v>
      </c>
      <c r="C1569" t="s">
        <v>1192</v>
      </c>
      <c r="D1569" t="s">
        <v>13</v>
      </c>
    </row>
    <row r="1570" spans="1:4" x14ac:dyDescent="0.35">
      <c r="A1570">
        <v>299</v>
      </c>
      <c r="B1570" t="s">
        <v>1203</v>
      </c>
      <c r="C1570" t="s">
        <v>16</v>
      </c>
      <c r="D1570" t="s">
        <v>13</v>
      </c>
    </row>
    <row r="1571" spans="1:4" x14ac:dyDescent="0.35">
      <c r="A1571">
        <v>299</v>
      </c>
      <c r="B1571" t="s">
        <v>1204</v>
      </c>
      <c r="C1571" t="s">
        <v>16</v>
      </c>
      <c r="D1571" t="s">
        <v>13</v>
      </c>
    </row>
    <row r="1572" spans="1:4" x14ac:dyDescent="0.35">
      <c r="A1572">
        <v>300</v>
      </c>
      <c r="B1572" t="s">
        <v>203</v>
      </c>
      <c r="C1572" t="s">
        <v>48</v>
      </c>
      <c r="D1572" t="s">
        <v>13</v>
      </c>
    </row>
    <row r="1573" spans="1:4" x14ac:dyDescent="0.35">
      <c r="A1573">
        <v>300</v>
      </c>
      <c r="B1573" t="s">
        <v>1205</v>
      </c>
      <c r="C1573" t="s">
        <v>72</v>
      </c>
      <c r="D1573" t="s">
        <v>13</v>
      </c>
    </row>
    <row r="1574" spans="1:4" x14ac:dyDescent="0.35">
      <c r="A1574">
        <v>300</v>
      </c>
      <c r="B1574" t="s">
        <v>1206</v>
      </c>
      <c r="C1574" t="s">
        <v>72</v>
      </c>
      <c r="D1574" t="s">
        <v>13</v>
      </c>
    </row>
    <row r="1575" spans="1:4" x14ac:dyDescent="0.35">
      <c r="A1575">
        <v>300</v>
      </c>
      <c r="B1575" t="s">
        <v>1207</v>
      </c>
      <c r="C1575" t="s">
        <v>72</v>
      </c>
      <c r="D1575" t="s">
        <v>13</v>
      </c>
    </row>
    <row r="1576" spans="1:4" x14ac:dyDescent="0.35">
      <c r="A1576">
        <v>300</v>
      </c>
      <c r="B1576" t="s">
        <v>1208</v>
      </c>
      <c r="C1576" t="s">
        <v>19</v>
      </c>
      <c r="D1576" t="s">
        <v>13</v>
      </c>
    </row>
    <row r="1577" spans="1:4" x14ac:dyDescent="0.35">
      <c r="A1577">
        <v>300</v>
      </c>
      <c r="B1577" t="s">
        <v>1209</v>
      </c>
      <c r="C1577" t="s">
        <v>72</v>
      </c>
      <c r="D1577" t="s">
        <v>13</v>
      </c>
    </row>
    <row r="1578" spans="1:4" x14ac:dyDescent="0.35">
      <c r="A1578">
        <v>300</v>
      </c>
      <c r="B1578" t="s">
        <v>1210</v>
      </c>
      <c r="C1578" t="s">
        <v>72</v>
      </c>
      <c r="D1578" t="s">
        <v>13</v>
      </c>
    </row>
    <row r="1579" spans="1:4" x14ac:dyDescent="0.35">
      <c r="A1579">
        <v>300</v>
      </c>
      <c r="B1579" t="s">
        <v>1211</v>
      </c>
      <c r="C1579" t="s">
        <v>72</v>
      </c>
      <c r="D1579" t="s">
        <v>13</v>
      </c>
    </row>
    <row r="1580" spans="1:4" x14ac:dyDescent="0.35">
      <c r="A1580">
        <v>300</v>
      </c>
      <c r="B1580" t="s">
        <v>1212</v>
      </c>
      <c r="C1580" t="s">
        <v>19</v>
      </c>
      <c r="D1580" t="s">
        <v>13</v>
      </c>
    </row>
    <row r="1581" spans="1:4" x14ac:dyDescent="0.35">
      <c r="A1581">
        <v>301</v>
      </c>
      <c r="B1581" t="s">
        <v>1213</v>
      </c>
      <c r="C1581" t="s">
        <v>45</v>
      </c>
      <c r="D1581" t="s">
        <v>6</v>
      </c>
    </row>
    <row r="1582" spans="1:4" x14ac:dyDescent="0.35">
      <c r="A1582">
        <v>301</v>
      </c>
      <c r="B1582" t="s">
        <v>1214</v>
      </c>
      <c r="C1582" t="s">
        <v>45</v>
      </c>
      <c r="D1582" t="s">
        <v>6</v>
      </c>
    </row>
    <row r="1583" spans="1:4" x14ac:dyDescent="0.35">
      <c r="A1583">
        <v>301</v>
      </c>
      <c r="B1583" t="s">
        <v>1215</v>
      </c>
      <c r="C1583" t="s">
        <v>16</v>
      </c>
      <c r="D1583" t="s">
        <v>13</v>
      </c>
    </row>
    <row r="1584" spans="1:4" x14ac:dyDescent="0.35">
      <c r="A1584">
        <v>301</v>
      </c>
      <c r="B1584" t="s">
        <v>1216</v>
      </c>
      <c r="C1584" t="s">
        <v>45</v>
      </c>
      <c r="D1584" t="s">
        <v>6</v>
      </c>
    </row>
    <row r="1585" spans="1:4" x14ac:dyDescent="0.35">
      <c r="A1585">
        <v>301</v>
      </c>
      <c r="B1585" t="s">
        <v>1217</v>
      </c>
      <c r="C1585" t="s">
        <v>45</v>
      </c>
      <c r="D1585" t="s">
        <v>6</v>
      </c>
    </row>
    <row r="1586" spans="1:4" x14ac:dyDescent="0.35">
      <c r="A1586">
        <v>301</v>
      </c>
      <c r="B1586" t="s">
        <v>1218</v>
      </c>
      <c r="C1586" t="s">
        <v>45</v>
      </c>
      <c r="D1586" t="s">
        <v>6</v>
      </c>
    </row>
    <row r="1587" spans="1:4" x14ac:dyDescent="0.35">
      <c r="A1587">
        <v>301</v>
      </c>
      <c r="B1587" t="s">
        <v>1219</v>
      </c>
      <c r="C1587" t="s">
        <v>45</v>
      </c>
      <c r="D1587" t="s">
        <v>6</v>
      </c>
    </row>
    <row r="1588" spans="1:4" x14ac:dyDescent="0.35">
      <c r="A1588">
        <v>302</v>
      </c>
      <c r="B1588" t="s">
        <v>1220</v>
      </c>
      <c r="C1588" t="s">
        <v>101</v>
      </c>
      <c r="D1588" t="s">
        <v>6</v>
      </c>
    </row>
    <row r="1589" spans="1:4" x14ac:dyDescent="0.35">
      <c r="A1589">
        <v>302</v>
      </c>
      <c r="B1589" t="s">
        <v>1221</v>
      </c>
      <c r="C1589" t="s">
        <v>101</v>
      </c>
      <c r="D1589" t="s">
        <v>6</v>
      </c>
    </row>
    <row r="1590" spans="1:4" x14ac:dyDescent="0.35">
      <c r="A1590">
        <v>303</v>
      </c>
      <c r="B1590" t="s">
        <v>1222</v>
      </c>
      <c r="C1590" t="s">
        <v>16</v>
      </c>
      <c r="D1590" t="s">
        <v>13</v>
      </c>
    </row>
    <row r="1591" spans="1:4" x14ac:dyDescent="0.35">
      <c r="A1591">
        <v>303</v>
      </c>
      <c r="B1591" t="s">
        <v>1223</v>
      </c>
      <c r="C1591" t="s">
        <v>16</v>
      </c>
      <c r="D1591" t="s">
        <v>13</v>
      </c>
    </row>
    <row r="1592" spans="1:4" x14ac:dyDescent="0.35">
      <c r="A1592">
        <v>303</v>
      </c>
      <c r="B1592" t="s">
        <v>1224</v>
      </c>
      <c r="C1592" t="s">
        <v>16</v>
      </c>
      <c r="D1592" t="s">
        <v>13</v>
      </c>
    </row>
    <row r="1593" spans="1:4" x14ac:dyDescent="0.35">
      <c r="A1593">
        <v>304</v>
      </c>
      <c r="B1593" t="s">
        <v>1225</v>
      </c>
      <c r="C1593" t="s">
        <v>72</v>
      </c>
      <c r="D1593" t="s">
        <v>13</v>
      </c>
    </row>
    <row r="1594" spans="1:4" x14ac:dyDescent="0.35">
      <c r="A1594">
        <v>304</v>
      </c>
      <c r="B1594" t="s">
        <v>1226</v>
      </c>
      <c r="C1594" t="s">
        <v>72</v>
      </c>
      <c r="D1594" t="s">
        <v>13</v>
      </c>
    </row>
    <row r="1595" spans="1:4" x14ac:dyDescent="0.35">
      <c r="A1595">
        <v>304</v>
      </c>
      <c r="B1595" t="s">
        <v>313</v>
      </c>
      <c r="C1595" t="s">
        <v>72</v>
      </c>
      <c r="D1595" t="s">
        <v>13</v>
      </c>
    </row>
    <row r="1596" spans="1:4" x14ac:dyDescent="0.35">
      <c r="A1596">
        <v>305</v>
      </c>
      <c r="B1596" t="s">
        <v>1227</v>
      </c>
      <c r="C1596" t="s">
        <v>164</v>
      </c>
      <c r="D1596" t="s">
        <v>13</v>
      </c>
    </row>
    <row r="1597" spans="1:4" x14ac:dyDescent="0.35">
      <c r="A1597">
        <v>305</v>
      </c>
      <c r="B1597" t="s">
        <v>1228</v>
      </c>
      <c r="C1597" t="s">
        <v>164</v>
      </c>
      <c r="D1597" t="s">
        <v>13</v>
      </c>
    </row>
    <row r="1598" spans="1:4" x14ac:dyDescent="0.35">
      <c r="A1598">
        <v>305</v>
      </c>
      <c r="B1598" t="s">
        <v>1229</v>
      </c>
      <c r="C1598" t="s">
        <v>101</v>
      </c>
      <c r="D1598" t="s">
        <v>6</v>
      </c>
    </row>
    <row r="1599" spans="1:4" x14ac:dyDescent="0.35">
      <c r="A1599">
        <v>305</v>
      </c>
      <c r="B1599" t="s">
        <v>767</v>
      </c>
      <c r="C1599" t="s">
        <v>101</v>
      </c>
      <c r="D1599" t="s">
        <v>6</v>
      </c>
    </row>
    <row r="1600" spans="1:4" x14ac:dyDescent="0.35">
      <c r="A1600">
        <v>305</v>
      </c>
      <c r="B1600" t="s">
        <v>1230</v>
      </c>
      <c r="C1600" t="s">
        <v>164</v>
      </c>
      <c r="D1600" t="s">
        <v>13</v>
      </c>
    </row>
    <row r="1601" spans="1:4" x14ac:dyDescent="0.35">
      <c r="A1601">
        <v>305</v>
      </c>
      <c r="B1601" t="s">
        <v>1231</v>
      </c>
      <c r="C1601" t="s">
        <v>164</v>
      </c>
      <c r="D1601" t="s">
        <v>13</v>
      </c>
    </row>
    <row r="1602" spans="1:4" x14ac:dyDescent="0.35">
      <c r="A1602">
        <v>306</v>
      </c>
      <c r="B1602" t="s">
        <v>1232</v>
      </c>
      <c r="C1602" t="s">
        <v>16</v>
      </c>
      <c r="D1602" t="s">
        <v>13</v>
      </c>
    </row>
    <row r="1603" spans="1:4" x14ac:dyDescent="0.35">
      <c r="A1603">
        <v>306</v>
      </c>
      <c r="B1603" t="s">
        <v>1233</v>
      </c>
      <c r="C1603" t="s">
        <v>25</v>
      </c>
      <c r="D1603" t="s">
        <v>13</v>
      </c>
    </row>
    <row r="1604" spans="1:4" x14ac:dyDescent="0.35">
      <c r="A1604">
        <v>306</v>
      </c>
      <c r="B1604" t="s">
        <v>1233</v>
      </c>
      <c r="C1604" t="s">
        <v>16</v>
      </c>
      <c r="D1604" t="s">
        <v>13</v>
      </c>
    </row>
    <row r="1605" spans="1:4" x14ac:dyDescent="0.35">
      <c r="A1605">
        <v>306</v>
      </c>
      <c r="B1605" t="s">
        <v>1234</v>
      </c>
      <c r="C1605" t="s">
        <v>16</v>
      </c>
      <c r="D1605" t="s">
        <v>13</v>
      </c>
    </row>
    <row r="1606" spans="1:4" x14ac:dyDescent="0.35">
      <c r="A1606">
        <v>307</v>
      </c>
      <c r="B1606" t="s">
        <v>1235</v>
      </c>
      <c r="C1606" t="s">
        <v>72</v>
      </c>
      <c r="D1606" t="s">
        <v>13</v>
      </c>
    </row>
    <row r="1607" spans="1:4" x14ac:dyDescent="0.35">
      <c r="A1607">
        <v>308</v>
      </c>
      <c r="B1607" t="s">
        <v>309</v>
      </c>
      <c r="C1607" t="s">
        <v>72</v>
      </c>
      <c r="D1607" t="s">
        <v>13</v>
      </c>
    </row>
    <row r="1608" spans="1:4" x14ac:dyDescent="0.35">
      <c r="A1608">
        <v>308</v>
      </c>
      <c r="B1608" t="s">
        <v>311</v>
      </c>
      <c r="C1608" t="s">
        <v>5</v>
      </c>
      <c r="D1608" t="s">
        <v>6</v>
      </c>
    </row>
    <row r="1609" spans="1:4" x14ac:dyDescent="0.35">
      <c r="A1609">
        <v>308</v>
      </c>
      <c r="B1609" t="s">
        <v>8</v>
      </c>
      <c r="C1609" t="s">
        <v>5</v>
      </c>
      <c r="D1609" t="s">
        <v>6</v>
      </c>
    </row>
    <row r="1610" spans="1:4" x14ac:dyDescent="0.35">
      <c r="A1610">
        <v>308</v>
      </c>
      <c r="B1610" t="s">
        <v>312</v>
      </c>
      <c r="C1610" t="s">
        <v>5</v>
      </c>
      <c r="D1610" t="s">
        <v>6</v>
      </c>
    </row>
    <row r="1611" spans="1:4" x14ac:dyDescent="0.35">
      <c r="A1611">
        <v>308</v>
      </c>
      <c r="B1611" t="s">
        <v>313</v>
      </c>
      <c r="C1611" t="s">
        <v>72</v>
      </c>
      <c r="D1611" t="s">
        <v>13</v>
      </c>
    </row>
    <row r="1612" spans="1:4" x14ac:dyDescent="0.35">
      <c r="A1612">
        <v>308</v>
      </c>
      <c r="B1612" t="s">
        <v>1236</v>
      </c>
      <c r="C1612" t="s">
        <v>72</v>
      </c>
      <c r="D1612" t="s">
        <v>13</v>
      </c>
    </row>
    <row r="1613" spans="1:4" x14ac:dyDescent="0.35">
      <c r="A1613">
        <v>309</v>
      </c>
      <c r="B1613" t="s">
        <v>777</v>
      </c>
      <c r="C1613" t="s">
        <v>16</v>
      </c>
      <c r="D1613" t="s">
        <v>13</v>
      </c>
    </row>
    <row r="1614" spans="1:4" x14ac:dyDescent="0.35">
      <c r="A1614">
        <v>309</v>
      </c>
      <c r="B1614" t="s">
        <v>1237</v>
      </c>
      <c r="C1614" t="s">
        <v>16</v>
      </c>
      <c r="D1614" t="s">
        <v>13</v>
      </c>
    </row>
    <row r="1615" spans="1:4" x14ac:dyDescent="0.35">
      <c r="A1615">
        <v>309</v>
      </c>
      <c r="B1615" t="s">
        <v>1238</v>
      </c>
      <c r="C1615" t="s">
        <v>16</v>
      </c>
      <c r="D1615" t="s">
        <v>13</v>
      </c>
    </row>
    <row r="1616" spans="1:4" x14ac:dyDescent="0.35">
      <c r="A1616">
        <v>310</v>
      </c>
      <c r="B1616" t="s">
        <v>412</v>
      </c>
      <c r="C1616" t="s">
        <v>189</v>
      </c>
      <c r="D1616" t="s">
        <v>6</v>
      </c>
    </row>
    <row r="1617" spans="1:4" x14ac:dyDescent="0.35">
      <c r="A1617">
        <v>310</v>
      </c>
      <c r="B1617" t="s">
        <v>1239</v>
      </c>
      <c r="C1617" t="s">
        <v>48</v>
      </c>
      <c r="D1617" t="s">
        <v>13</v>
      </c>
    </row>
    <row r="1618" spans="1:4" x14ac:dyDescent="0.35">
      <c r="A1618">
        <v>310</v>
      </c>
      <c r="B1618" t="s">
        <v>1239</v>
      </c>
      <c r="C1618" t="s">
        <v>101</v>
      </c>
      <c r="D1618" t="s">
        <v>6</v>
      </c>
    </row>
    <row r="1619" spans="1:4" x14ac:dyDescent="0.35">
      <c r="A1619">
        <v>310</v>
      </c>
      <c r="B1619" t="s">
        <v>293</v>
      </c>
      <c r="C1619" t="s">
        <v>101</v>
      </c>
      <c r="D1619" t="s">
        <v>6</v>
      </c>
    </row>
    <row r="1620" spans="1:4" x14ac:dyDescent="0.35">
      <c r="A1620">
        <v>310</v>
      </c>
      <c r="B1620" t="s">
        <v>285</v>
      </c>
      <c r="C1620" t="s">
        <v>101</v>
      </c>
      <c r="D1620" t="s">
        <v>6</v>
      </c>
    </row>
    <row r="1621" spans="1:4" x14ac:dyDescent="0.35">
      <c r="A1621">
        <v>310</v>
      </c>
      <c r="B1621" t="s">
        <v>413</v>
      </c>
      <c r="C1621" t="s">
        <v>189</v>
      </c>
      <c r="D1621" t="s">
        <v>6</v>
      </c>
    </row>
    <row r="1622" spans="1:4" x14ac:dyDescent="0.35">
      <c r="A1622">
        <v>310</v>
      </c>
      <c r="B1622" t="s">
        <v>357</v>
      </c>
      <c r="C1622" t="s">
        <v>231</v>
      </c>
      <c r="D1622" t="s">
        <v>6</v>
      </c>
    </row>
    <row r="1623" spans="1:4" x14ac:dyDescent="0.35">
      <c r="A1623">
        <v>310</v>
      </c>
      <c r="B1623" t="s">
        <v>414</v>
      </c>
      <c r="C1623" t="s">
        <v>101</v>
      </c>
      <c r="D1623" t="s">
        <v>6</v>
      </c>
    </row>
    <row r="1624" spans="1:4" x14ac:dyDescent="0.35">
      <c r="A1624">
        <v>310</v>
      </c>
      <c r="B1624" t="s">
        <v>414</v>
      </c>
      <c r="C1624" t="s">
        <v>16</v>
      </c>
      <c r="D1624" t="s">
        <v>13</v>
      </c>
    </row>
    <row r="1625" spans="1:4" x14ac:dyDescent="0.35">
      <c r="A1625">
        <v>310</v>
      </c>
      <c r="B1625" t="s">
        <v>294</v>
      </c>
      <c r="C1625" t="s">
        <v>101</v>
      </c>
      <c r="D1625" t="s">
        <v>6</v>
      </c>
    </row>
    <row r="1626" spans="1:4" x14ac:dyDescent="0.35">
      <c r="A1626">
        <v>310</v>
      </c>
      <c r="B1626" t="s">
        <v>415</v>
      </c>
      <c r="C1626" t="s">
        <v>45</v>
      </c>
      <c r="D1626" t="s">
        <v>6</v>
      </c>
    </row>
    <row r="1627" spans="1:4" x14ac:dyDescent="0.35">
      <c r="A1627">
        <v>310</v>
      </c>
      <c r="B1627" t="s">
        <v>386</v>
      </c>
      <c r="C1627" t="s">
        <v>101</v>
      </c>
      <c r="D1627" t="s">
        <v>6</v>
      </c>
    </row>
    <row r="1628" spans="1:4" x14ac:dyDescent="0.35">
      <c r="A1628">
        <v>310</v>
      </c>
      <c r="B1628" t="s">
        <v>416</v>
      </c>
      <c r="C1628" t="s">
        <v>45</v>
      </c>
      <c r="D1628" t="s">
        <v>6</v>
      </c>
    </row>
    <row r="1629" spans="1:4" x14ac:dyDescent="0.35">
      <c r="A1629">
        <v>310</v>
      </c>
      <c r="B1629" t="s">
        <v>417</v>
      </c>
      <c r="C1629" t="s">
        <v>5</v>
      </c>
      <c r="D1629" t="s">
        <v>6</v>
      </c>
    </row>
    <row r="1630" spans="1:4" x14ac:dyDescent="0.35">
      <c r="A1630">
        <v>310</v>
      </c>
      <c r="B1630" t="s">
        <v>312</v>
      </c>
      <c r="C1630" t="s">
        <v>5</v>
      </c>
      <c r="D1630" t="s">
        <v>6</v>
      </c>
    </row>
    <row r="1631" spans="1:4" x14ac:dyDescent="0.35">
      <c r="A1631">
        <v>310</v>
      </c>
      <c r="B1631" t="s">
        <v>840</v>
      </c>
      <c r="C1631" t="s">
        <v>189</v>
      </c>
      <c r="D1631" t="s">
        <v>6</v>
      </c>
    </row>
    <row r="1632" spans="1:4" x14ac:dyDescent="0.35">
      <c r="A1632">
        <v>310</v>
      </c>
      <c r="B1632" t="s">
        <v>360</v>
      </c>
      <c r="C1632" t="s">
        <v>231</v>
      </c>
      <c r="D1632" t="s">
        <v>6</v>
      </c>
    </row>
    <row r="1633" spans="1:4" x14ac:dyDescent="0.35">
      <c r="A1633">
        <v>310</v>
      </c>
      <c r="B1633" t="s">
        <v>360</v>
      </c>
      <c r="C1633" t="s">
        <v>5</v>
      </c>
      <c r="D1633" t="s">
        <v>6</v>
      </c>
    </row>
    <row r="1634" spans="1:4" x14ac:dyDescent="0.35">
      <c r="A1634">
        <v>311</v>
      </c>
      <c r="B1634" t="s">
        <v>1240</v>
      </c>
      <c r="C1634" t="s">
        <v>101</v>
      </c>
      <c r="D1634" t="s">
        <v>6</v>
      </c>
    </row>
    <row r="1635" spans="1:4" x14ac:dyDescent="0.35">
      <c r="A1635">
        <v>311</v>
      </c>
      <c r="B1635" t="s">
        <v>1241</v>
      </c>
      <c r="C1635" t="s">
        <v>101</v>
      </c>
      <c r="D1635" t="s">
        <v>6</v>
      </c>
    </row>
    <row r="1636" spans="1:4" x14ac:dyDescent="0.35">
      <c r="A1636">
        <v>311</v>
      </c>
      <c r="B1636" t="s">
        <v>1242</v>
      </c>
      <c r="C1636" t="s">
        <v>101</v>
      </c>
      <c r="D1636" t="s">
        <v>6</v>
      </c>
    </row>
    <row r="1637" spans="1:4" x14ac:dyDescent="0.35">
      <c r="A1637">
        <v>311</v>
      </c>
      <c r="B1637" t="s">
        <v>1243</v>
      </c>
      <c r="C1637" t="s">
        <v>101</v>
      </c>
      <c r="D1637" t="s">
        <v>6</v>
      </c>
    </row>
    <row r="1638" spans="1:4" x14ac:dyDescent="0.35">
      <c r="A1638">
        <v>311</v>
      </c>
      <c r="B1638" t="s">
        <v>1244</v>
      </c>
      <c r="C1638" t="s">
        <v>101</v>
      </c>
      <c r="D1638" t="s">
        <v>6</v>
      </c>
    </row>
    <row r="1639" spans="1:4" x14ac:dyDescent="0.35">
      <c r="A1639">
        <v>311</v>
      </c>
      <c r="B1639" t="s">
        <v>1245</v>
      </c>
      <c r="C1639" t="s">
        <v>101</v>
      </c>
      <c r="D1639" t="s">
        <v>6</v>
      </c>
    </row>
    <row r="1640" spans="1:4" x14ac:dyDescent="0.35">
      <c r="A1640">
        <v>311</v>
      </c>
      <c r="B1640" t="s">
        <v>1246</v>
      </c>
      <c r="C1640" t="s">
        <v>101</v>
      </c>
      <c r="D1640" t="s">
        <v>6</v>
      </c>
    </row>
    <row r="1641" spans="1:4" x14ac:dyDescent="0.35">
      <c r="A1641">
        <v>312</v>
      </c>
      <c r="B1641" t="s">
        <v>1247</v>
      </c>
      <c r="C1641" t="s">
        <v>72</v>
      </c>
      <c r="D1641" t="s">
        <v>13</v>
      </c>
    </row>
    <row r="1642" spans="1:4" x14ac:dyDescent="0.35">
      <c r="A1642">
        <v>312</v>
      </c>
      <c r="B1642" t="s">
        <v>1248</v>
      </c>
      <c r="C1642" t="s">
        <v>72</v>
      </c>
      <c r="D1642" t="s">
        <v>13</v>
      </c>
    </row>
    <row r="1643" spans="1:4" x14ac:dyDescent="0.35">
      <c r="A1643">
        <v>312</v>
      </c>
      <c r="B1643" t="s">
        <v>1249</v>
      </c>
      <c r="C1643" t="s">
        <v>72</v>
      </c>
      <c r="D1643" t="s">
        <v>13</v>
      </c>
    </row>
    <row r="1644" spans="1:4" x14ac:dyDescent="0.35">
      <c r="A1644">
        <v>313</v>
      </c>
      <c r="B1644" t="s">
        <v>167</v>
      </c>
      <c r="C1644" t="s">
        <v>16</v>
      </c>
      <c r="D1644" t="s">
        <v>13</v>
      </c>
    </row>
    <row r="1645" spans="1:4" x14ac:dyDescent="0.35">
      <c r="A1645">
        <v>313</v>
      </c>
      <c r="B1645" t="s">
        <v>420</v>
      </c>
      <c r="C1645" t="s">
        <v>16</v>
      </c>
      <c r="D1645" t="s">
        <v>13</v>
      </c>
    </row>
    <row r="1646" spans="1:4" x14ac:dyDescent="0.35">
      <c r="A1646">
        <v>313</v>
      </c>
      <c r="B1646" t="s">
        <v>420</v>
      </c>
      <c r="C1646" t="s">
        <v>101</v>
      </c>
      <c r="D1646" t="s">
        <v>6</v>
      </c>
    </row>
    <row r="1647" spans="1:4" x14ac:dyDescent="0.35">
      <c r="A1647">
        <v>314</v>
      </c>
      <c r="B1647" t="s">
        <v>1250</v>
      </c>
      <c r="C1647" t="s">
        <v>5</v>
      </c>
      <c r="D1647" t="s">
        <v>6</v>
      </c>
    </row>
    <row r="1648" spans="1:4" x14ac:dyDescent="0.35">
      <c r="A1648">
        <v>314</v>
      </c>
      <c r="B1648" t="s">
        <v>1251</v>
      </c>
      <c r="C1648" t="s">
        <v>5</v>
      </c>
      <c r="D1648" t="s">
        <v>6</v>
      </c>
    </row>
    <row r="1649" spans="1:4" x14ac:dyDescent="0.35">
      <c r="A1649">
        <v>315</v>
      </c>
      <c r="B1649" t="s">
        <v>1252</v>
      </c>
      <c r="C1649" t="s">
        <v>990</v>
      </c>
      <c r="D1649" t="s">
        <v>13</v>
      </c>
    </row>
    <row r="1650" spans="1:4" x14ac:dyDescent="0.35">
      <c r="A1650">
        <v>316</v>
      </c>
      <c r="B1650" t="s">
        <v>1253</v>
      </c>
      <c r="C1650" t="s">
        <v>189</v>
      </c>
      <c r="D1650" t="s">
        <v>6</v>
      </c>
    </row>
    <row r="1651" spans="1:4" x14ac:dyDescent="0.35">
      <c r="A1651">
        <v>316</v>
      </c>
      <c r="B1651" t="s">
        <v>1254</v>
      </c>
      <c r="C1651" t="s">
        <v>189</v>
      </c>
      <c r="D1651" t="s">
        <v>6</v>
      </c>
    </row>
    <row r="1652" spans="1:4" x14ac:dyDescent="0.35">
      <c r="A1652">
        <v>316</v>
      </c>
      <c r="B1652" t="s">
        <v>1255</v>
      </c>
      <c r="C1652" t="s">
        <v>189</v>
      </c>
      <c r="D1652" t="s">
        <v>6</v>
      </c>
    </row>
    <row r="1653" spans="1:4" x14ac:dyDescent="0.35">
      <c r="A1653">
        <v>317</v>
      </c>
      <c r="B1653" t="s">
        <v>1256</v>
      </c>
      <c r="C1653" t="s">
        <v>45</v>
      </c>
      <c r="D1653" t="s">
        <v>6</v>
      </c>
    </row>
    <row r="1654" spans="1:4" x14ac:dyDescent="0.35">
      <c r="A1654">
        <v>318</v>
      </c>
      <c r="B1654" t="s">
        <v>1257</v>
      </c>
      <c r="C1654" t="s">
        <v>189</v>
      </c>
      <c r="D1654" t="s">
        <v>6</v>
      </c>
    </row>
    <row r="1655" spans="1:4" x14ac:dyDescent="0.35">
      <c r="A1655">
        <v>318</v>
      </c>
      <c r="B1655" t="s">
        <v>1258</v>
      </c>
      <c r="C1655" t="s">
        <v>189</v>
      </c>
      <c r="D1655" t="s">
        <v>6</v>
      </c>
    </row>
    <row r="1656" spans="1:4" x14ac:dyDescent="0.35">
      <c r="A1656">
        <v>318</v>
      </c>
      <c r="B1656" t="s">
        <v>1259</v>
      </c>
      <c r="C1656" t="s">
        <v>189</v>
      </c>
      <c r="D1656" t="s">
        <v>6</v>
      </c>
    </row>
    <row r="1657" spans="1:4" x14ac:dyDescent="0.35">
      <c r="A1657">
        <v>319</v>
      </c>
      <c r="B1657" t="s">
        <v>1260</v>
      </c>
      <c r="C1657" t="s">
        <v>157</v>
      </c>
      <c r="D1657" t="s">
        <v>6</v>
      </c>
    </row>
    <row r="1658" spans="1:4" x14ac:dyDescent="0.35">
      <c r="A1658">
        <v>319</v>
      </c>
      <c r="B1658" t="s">
        <v>329</v>
      </c>
      <c r="C1658" t="s">
        <v>157</v>
      </c>
      <c r="D1658" t="s">
        <v>6</v>
      </c>
    </row>
    <row r="1659" spans="1:4" x14ac:dyDescent="0.35">
      <c r="A1659">
        <v>319</v>
      </c>
      <c r="B1659" t="s">
        <v>1261</v>
      </c>
      <c r="C1659" t="s">
        <v>93</v>
      </c>
      <c r="D1659" t="s">
        <v>13</v>
      </c>
    </row>
    <row r="1660" spans="1:4" x14ac:dyDescent="0.35">
      <c r="A1660">
        <v>319</v>
      </c>
      <c r="B1660" t="s">
        <v>1261</v>
      </c>
      <c r="C1660" t="s">
        <v>157</v>
      </c>
      <c r="D1660" t="s">
        <v>6</v>
      </c>
    </row>
    <row r="1661" spans="1:4" x14ac:dyDescent="0.35">
      <c r="A1661">
        <v>319</v>
      </c>
      <c r="B1661" t="s">
        <v>1262</v>
      </c>
      <c r="C1661" t="s">
        <v>157</v>
      </c>
      <c r="D1661" t="s">
        <v>6</v>
      </c>
    </row>
    <row r="1662" spans="1:4" x14ac:dyDescent="0.35">
      <c r="A1662">
        <v>320</v>
      </c>
      <c r="B1662" t="s">
        <v>1263</v>
      </c>
      <c r="C1662" t="s">
        <v>19</v>
      </c>
      <c r="D1662" t="s">
        <v>13</v>
      </c>
    </row>
    <row r="1663" spans="1:4" x14ac:dyDescent="0.35">
      <c r="A1663">
        <v>320</v>
      </c>
      <c r="B1663" t="s">
        <v>1264</v>
      </c>
      <c r="C1663" t="s">
        <v>19</v>
      </c>
      <c r="D1663" t="s">
        <v>13</v>
      </c>
    </row>
    <row r="1664" spans="1:4" x14ac:dyDescent="0.35">
      <c r="A1664">
        <v>320</v>
      </c>
      <c r="B1664" t="s">
        <v>1265</v>
      </c>
      <c r="C1664" t="s">
        <v>19</v>
      </c>
      <c r="D1664" t="s">
        <v>13</v>
      </c>
    </row>
    <row r="1665" spans="1:4" x14ac:dyDescent="0.35">
      <c r="A1665">
        <v>320</v>
      </c>
      <c r="B1665" t="s">
        <v>1266</v>
      </c>
      <c r="C1665" t="s">
        <v>19</v>
      </c>
      <c r="D1665" t="s">
        <v>13</v>
      </c>
    </row>
    <row r="1666" spans="1:4" x14ac:dyDescent="0.35">
      <c r="A1666">
        <v>321</v>
      </c>
      <c r="B1666" t="s">
        <v>1267</v>
      </c>
      <c r="C1666" t="s">
        <v>45</v>
      </c>
      <c r="D1666" t="s">
        <v>6</v>
      </c>
    </row>
    <row r="1667" spans="1:4" x14ac:dyDescent="0.35">
      <c r="A1667">
        <v>321</v>
      </c>
      <c r="B1667" t="s">
        <v>1268</v>
      </c>
      <c r="C1667" t="s">
        <v>45</v>
      </c>
      <c r="D1667" t="s">
        <v>6</v>
      </c>
    </row>
    <row r="1668" spans="1:4" x14ac:dyDescent="0.35">
      <c r="A1668">
        <v>321</v>
      </c>
      <c r="B1668" t="s">
        <v>1269</v>
      </c>
      <c r="C1668" t="s">
        <v>45</v>
      </c>
      <c r="D1668" t="s">
        <v>6</v>
      </c>
    </row>
    <row r="1669" spans="1:4" x14ac:dyDescent="0.35">
      <c r="A1669">
        <v>321</v>
      </c>
      <c r="B1669" t="s">
        <v>1270</v>
      </c>
      <c r="C1669" t="s">
        <v>45</v>
      </c>
      <c r="D1669" t="s">
        <v>6</v>
      </c>
    </row>
    <row r="1670" spans="1:4" x14ac:dyDescent="0.35">
      <c r="A1670">
        <v>321</v>
      </c>
      <c r="B1670" t="s">
        <v>1271</v>
      </c>
      <c r="C1670" t="s">
        <v>45</v>
      </c>
      <c r="D1670" t="s">
        <v>6</v>
      </c>
    </row>
    <row r="1671" spans="1:4" x14ac:dyDescent="0.35">
      <c r="A1671">
        <v>322</v>
      </c>
      <c r="B1671" t="s">
        <v>1272</v>
      </c>
      <c r="C1671" t="s">
        <v>56</v>
      </c>
      <c r="D1671" t="s">
        <v>13</v>
      </c>
    </row>
    <row r="1672" spans="1:4" x14ac:dyDescent="0.35">
      <c r="A1672">
        <v>322</v>
      </c>
      <c r="B1672" t="s">
        <v>1273</v>
      </c>
      <c r="C1672" t="s">
        <v>56</v>
      </c>
      <c r="D1672" t="s">
        <v>13</v>
      </c>
    </row>
    <row r="1673" spans="1:4" x14ac:dyDescent="0.35">
      <c r="A1673">
        <v>322</v>
      </c>
      <c r="B1673" t="s">
        <v>1274</v>
      </c>
      <c r="C1673" t="s">
        <v>56</v>
      </c>
      <c r="D1673" t="s">
        <v>13</v>
      </c>
    </row>
    <row r="1674" spans="1:4" x14ac:dyDescent="0.35">
      <c r="A1674">
        <v>322</v>
      </c>
      <c r="B1674" t="s">
        <v>1275</v>
      </c>
      <c r="C1674" t="s">
        <v>56</v>
      </c>
      <c r="D1674" t="s">
        <v>13</v>
      </c>
    </row>
    <row r="1675" spans="1:4" x14ac:dyDescent="0.35">
      <c r="A1675">
        <v>323</v>
      </c>
      <c r="B1675" t="s">
        <v>1276</v>
      </c>
      <c r="C1675" t="s">
        <v>231</v>
      </c>
      <c r="D1675" t="s">
        <v>6</v>
      </c>
    </row>
    <row r="1676" spans="1:4" x14ac:dyDescent="0.35">
      <c r="A1676">
        <v>323</v>
      </c>
      <c r="B1676" t="s">
        <v>1277</v>
      </c>
      <c r="C1676" t="s">
        <v>231</v>
      </c>
      <c r="D1676" t="s">
        <v>6</v>
      </c>
    </row>
    <row r="1677" spans="1:4" x14ac:dyDescent="0.35">
      <c r="A1677">
        <v>323</v>
      </c>
      <c r="B1677" t="s">
        <v>1278</v>
      </c>
      <c r="C1677" t="s">
        <v>231</v>
      </c>
      <c r="D1677" t="s">
        <v>6</v>
      </c>
    </row>
    <row r="1678" spans="1:4" x14ac:dyDescent="0.35">
      <c r="A1678">
        <v>324</v>
      </c>
      <c r="B1678" t="s">
        <v>1279</v>
      </c>
      <c r="C1678" t="s">
        <v>19</v>
      </c>
      <c r="D1678" t="s">
        <v>13</v>
      </c>
    </row>
    <row r="1679" spans="1:4" x14ac:dyDescent="0.35">
      <c r="A1679">
        <v>324</v>
      </c>
      <c r="B1679" t="s">
        <v>1280</v>
      </c>
      <c r="C1679" t="s">
        <v>157</v>
      </c>
      <c r="D1679" t="s">
        <v>6</v>
      </c>
    </row>
    <row r="1680" spans="1:4" x14ac:dyDescent="0.35">
      <c r="A1680">
        <v>324</v>
      </c>
      <c r="B1680" t="s">
        <v>1281</v>
      </c>
      <c r="C1680" t="s">
        <v>19</v>
      </c>
      <c r="D1680" t="s">
        <v>13</v>
      </c>
    </row>
    <row r="1681" spans="1:4" x14ac:dyDescent="0.35">
      <c r="A1681">
        <v>324</v>
      </c>
      <c r="B1681" t="s">
        <v>1282</v>
      </c>
      <c r="C1681" t="s">
        <v>19</v>
      </c>
      <c r="D1681" t="s">
        <v>13</v>
      </c>
    </row>
    <row r="1682" spans="1:4" x14ac:dyDescent="0.35">
      <c r="A1682">
        <v>324</v>
      </c>
      <c r="B1682" t="s">
        <v>1283</v>
      </c>
      <c r="C1682" t="s">
        <v>157</v>
      </c>
      <c r="D1682" t="s">
        <v>6</v>
      </c>
    </row>
    <row r="1683" spans="1:4" x14ac:dyDescent="0.35">
      <c r="A1683">
        <v>324</v>
      </c>
      <c r="B1683" t="s">
        <v>1284</v>
      </c>
      <c r="C1683" t="s">
        <v>19</v>
      </c>
      <c r="D1683" t="s">
        <v>13</v>
      </c>
    </row>
    <row r="1684" spans="1:4" x14ac:dyDescent="0.35">
      <c r="A1684">
        <v>324</v>
      </c>
      <c r="B1684" t="s">
        <v>1284</v>
      </c>
      <c r="C1684" t="s">
        <v>352</v>
      </c>
      <c r="D1684" t="s">
        <v>13</v>
      </c>
    </row>
    <row r="1685" spans="1:4" x14ac:dyDescent="0.35">
      <c r="A1685">
        <v>324</v>
      </c>
      <c r="B1685" t="s">
        <v>1285</v>
      </c>
      <c r="C1685" t="s">
        <v>19</v>
      </c>
      <c r="D1685" t="s">
        <v>13</v>
      </c>
    </row>
    <row r="1686" spans="1:4" x14ac:dyDescent="0.35">
      <c r="A1686">
        <v>324</v>
      </c>
      <c r="B1686" t="s">
        <v>1286</v>
      </c>
      <c r="C1686" t="s">
        <v>157</v>
      </c>
      <c r="D1686" t="s">
        <v>6</v>
      </c>
    </row>
    <row r="1687" spans="1:4" x14ac:dyDescent="0.35">
      <c r="A1687">
        <v>324</v>
      </c>
      <c r="B1687" t="s">
        <v>1287</v>
      </c>
      <c r="C1687" t="s">
        <v>19</v>
      </c>
      <c r="D1687" t="s">
        <v>13</v>
      </c>
    </row>
    <row r="1688" spans="1:4" x14ac:dyDescent="0.35">
      <c r="A1688">
        <v>325</v>
      </c>
      <c r="B1688" t="s">
        <v>39</v>
      </c>
      <c r="C1688" t="s">
        <v>40</v>
      </c>
      <c r="D1688" t="s">
        <v>13</v>
      </c>
    </row>
    <row r="1689" spans="1:4" x14ac:dyDescent="0.35">
      <c r="A1689">
        <v>325</v>
      </c>
      <c r="B1689" t="s">
        <v>1288</v>
      </c>
      <c r="C1689" t="s">
        <v>40</v>
      </c>
      <c r="D1689" t="s">
        <v>13</v>
      </c>
    </row>
    <row r="1690" spans="1:4" x14ac:dyDescent="0.35">
      <c r="A1690">
        <v>325</v>
      </c>
      <c r="B1690" t="s">
        <v>46</v>
      </c>
      <c r="C1690" t="s">
        <v>40</v>
      </c>
      <c r="D1690" t="s">
        <v>13</v>
      </c>
    </row>
    <row r="1691" spans="1:4" x14ac:dyDescent="0.35">
      <c r="A1691">
        <v>325</v>
      </c>
      <c r="B1691" t="s">
        <v>1289</v>
      </c>
      <c r="C1691" t="s">
        <v>40</v>
      </c>
      <c r="D1691" t="s">
        <v>13</v>
      </c>
    </row>
    <row r="1692" spans="1:4" x14ac:dyDescent="0.35">
      <c r="A1692">
        <v>325</v>
      </c>
      <c r="B1692" t="s">
        <v>1290</v>
      </c>
      <c r="C1692" t="s">
        <v>45</v>
      </c>
      <c r="D1692" t="s">
        <v>6</v>
      </c>
    </row>
    <row r="1693" spans="1:4" x14ac:dyDescent="0.35">
      <c r="A1693">
        <v>325</v>
      </c>
      <c r="B1693" t="s">
        <v>1291</v>
      </c>
      <c r="C1693" t="s">
        <v>40</v>
      </c>
      <c r="D1693" t="s">
        <v>13</v>
      </c>
    </row>
    <row r="1694" spans="1:4" x14ac:dyDescent="0.35">
      <c r="A1694">
        <v>325</v>
      </c>
      <c r="B1694" t="s">
        <v>50</v>
      </c>
      <c r="C1694" t="s">
        <v>40</v>
      </c>
      <c r="D1694" t="s">
        <v>13</v>
      </c>
    </row>
    <row r="1695" spans="1:4" x14ac:dyDescent="0.35">
      <c r="A1695">
        <v>325</v>
      </c>
      <c r="B1695" t="s">
        <v>1292</v>
      </c>
      <c r="C1695" t="s">
        <v>40</v>
      </c>
      <c r="D1695" t="s">
        <v>13</v>
      </c>
    </row>
    <row r="1696" spans="1:4" x14ac:dyDescent="0.35">
      <c r="A1696">
        <v>325</v>
      </c>
      <c r="B1696" t="s">
        <v>1293</v>
      </c>
      <c r="C1696" t="s">
        <v>40</v>
      </c>
      <c r="D1696" t="s">
        <v>13</v>
      </c>
    </row>
    <row r="1697" spans="1:4" x14ac:dyDescent="0.35">
      <c r="A1697">
        <v>325</v>
      </c>
      <c r="B1697" t="s">
        <v>1294</v>
      </c>
      <c r="C1697" t="s">
        <v>40</v>
      </c>
      <c r="D1697" t="s">
        <v>13</v>
      </c>
    </row>
    <row r="1698" spans="1:4" x14ac:dyDescent="0.35">
      <c r="A1698">
        <v>325</v>
      </c>
      <c r="B1698" t="s">
        <v>1295</v>
      </c>
      <c r="C1698" t="s">
        <v>45</v>
      </c>
      <c r="D1698" t="s">
        <v>6</v>
      </c>
    </row>
    <row r="1699" spans="1:4" x14ac:dyDescent="0.35">
      <c r="A1699">
        <v>325</v>
      </c>
      <c r="B1699" t="s">
        <v>1296</v>
      </c>
      <c r="C1699" t="s">
        <v>45</v>
      </c>
      <c r="D1699" t="s">
        <v>6</v>
      </c>
    </row>
    <row r="1700" spans="1:4" x14ac:dyDescent="0.35">
      <c r="A1700">
        <v>325</v>
      </c>
      <c r="B1700" t="s">
        <v>1297</v>
      </c>
      <c r="C1700" t="s">
        <v>45</v>
      </c>
      <c r="D1700" t="s">
        <v>6</v>
      </c>
    </row>
    <row r="1701" spans="1:4" x14ac:dyDescent="0.35">
      <c r="A1701">
        <v>326</v>
      </c>
      <c r="B1701" t="s">
        <v>1298</v>
      </c>
      <c r="C1701" t="s">
        <v>48</v>
      </c>
      <c r="D1701" t="s">
        <v>13</v>
      </c>
    </row>
    <row r="1702" spans="1:4" x14ac:dyDescent="0.35">
      <c r="A1702">
        <v>326</v>
      </c>
      <c r="B1702" t="s">
        <v>1299</v>
      </c>
      <c r="C1702" t="s">
        <v>35</v>
      </c>
      <c r="D1702" t="s">
        <v>13</v>
      </c>
    </row>
    <row r="1703" spans="1:4" x14ac:dyDescent="0.35">
      <c r="A1703">
        <v>326</v>
      </c>
      <c r="B1703" t="s">
        <v>1300</v>
      </c>
      <c r="C1703" t="s">
        <v>16</v>
      </c>
      <c r="D1703" t="s">
        <v>13</v>
      </c>
    </row>
    <row r="1704" spans="1:4" x14ac:dyDescent="0.35">
      <c r="A1704">
        <v>327</v>
      </c>
      <c r="B1704" t="s">
        <v>1301</v>
      </c>
      <c r="C1704" t="s">
        <v>19</v>
      </c>
      <c r="D1704" t="s">
        <v>13</v>
      </c>
    </row>
    <row r="1705" spans="1:4" x14ac:dyDescent="0.35">
      <c r="A1705">
        <v>327</v>
      </c>
      <c r="B1705" t="s">
        <v>1302</v>
      </c>
      <c r="C1705" t="s">
        <v>19</v>
      </c>
      <c r="D1705" t="s">
        <v>13</v>
      </c>
    </row>
    <row r="1706" spans="1:4" x14ac:dyDescent="0.35">
      <c r="A1706">
        <v>327</v>
      </c>
      <c r="B1706" t="s">
        <v>1303</v>
      </c>
      <c r="C1706" t="s">
        <v>189</v>
      </c>
      <c r="D1706" t="s">
        <v>6</v>
      </c>
    </row>
    <row r="1707" spans="1:4" x14ac:dyDescent="0.35">
      <c r="A1707">
        <v>327</v>
      </c>
      <c r="B1707" t="s">
        <v>1304</v>
      </c>
      <c r="C1707" t="s">
        <v>19</v>
      </c>
      <c r="D1707" t="s">
        <v>13</v>
      </c>
    </row>
    <row r="1708" spans="1:4" x14ac:dyDescent="0.35">
      <c r="A1708">
        <v>327</v>
      </c>
      <c r="B1708" t="s">
        <v>1305</v>
      </c>
      <c r="C1708" t="s">
        <v>189</v>
      </c>
      <c r="D1708" t="s">
        <v>6</v>
      </c>
    </row>
    <row r="1709" spans="1:4" x14ac:dyDescent="0.35">
      <c r="A1709">
        <v>327</v>
      </c>
      <c r="B1709" t="s">
        <v>1306</v>
      </c>
      <c r="C1709" t="s">
        <v>19</v>
      </c>
      <c r="D1709" t="s">
        <v>13</v>
      </c>
    </row>
    <row r="1710" spans="1:4" x14ac:dyDescent="0.35">
      <c r="A1710">
        <v>327</v>
      </c>
      <c r="B1710" t="s">
        <v>1307</v>
      </c>
      <c r="C1710" t="s">
        <v>189</v>
      </c>
      <c r="D1710" t="s">
        <v>6</v>
      </c>
    </row>
    <row r="1711" spans="1:4" x14ac:dyDescent="0.35">
      <c r="A1711">
        <v>327</v>
      </c>
      <c r="B1711" t="s">
        <v>1308</v>
      </c>
      <c r="C1711" t="s">
        <v>19</v>
      </c>
      <c r="D1711" t="s">
        <v>13</v>
      </c>
    </row>
    <row r="1712" spans="1:4" x14ac:dyDescent="0.35">
      <c r="A1712">
        <v>327</v>
      </c>
      <c r="B1712" t="s">
        <v>1309</v>
      </c>
      <c r="C1712" t="s">
        <v>19</v>
      </c>
      <c r="D1712" t="s">
        <v>13</v>
      </c>
    </row>
    <row r="1713" spans="1:4" x14ac:dyDescent="0.35">
      <c r="A1713">
        <v>328</v>
      </c>
      <c r="B1713" t="s">
        <v>925</v>
      </c>
      <c r="C1713" t="s">
        <v>22</v>
      </c>
      <c r="D1713" t="s">
        <v>13</v>
      </c>
    </row>
    <row r="1714" spans="1:4" x14ac:dyDescent="0.35">
      <c r="A1714">
        <v>328</v>
      </c>
      <c r="B1714" t="s">
        <v>926</v>
      </c>
      <c r="C1714" t="s">
        <v>22</v>
      </c>
      <c r="D1714" t="s">
        <v>13</v>
      </c>
    </row>
    <row r="1715" spans="1:4" x14ac:dyDescent="0.35">
      <c r="A1715">
        <v>328</v>
      </c>
      <c r="B1715" t="s">
        <v>258</v>
      </c>
      <c r="C1715" t="s">
        <v>22</v>
      </c>
      <c r="D1715" t="s">
        <v>13</v>
      </c>
    </row>
    <row r="1716" spans="1:4" x14ac:dyDescent="0.35">
      <c r="A1716">
        <v>328</v>
      </c>
      <c r="B1716" t="s">
        <v>1310</v>
      </c>
      <c r="C1716" t="s">
        <v>22</v>
      </c>
      <c r="D1716" t="s">
        <v>13</v>
      </c>
    </row>
    <row r="1717" spans="1:4" x14ac:dyDescent="0.35">
      <c r="A1717">
        <v>328</v>
      </c>
      <c r="B1717" t="s">
        <v>1311</v>
      </c>
      <c r="C1717" t="s">
        <v>22</v>
      </c>
      <c r="D1717" t="s">
        <v>13</v>
      </c>
    </row>
    <row r="1718" spans="1:4" x14ac:dyDescent="0.35">
      <c r="A1718">
        <v>328</v>
      </c>
      <c r="B1718" t="s">
        <v>1312</v>
      </c>
      <c r="C1718" t="s">
        <v>22</v>
      </c>
      <c r="D1718" t="s">
        <v>13</v>
      </c>
    </row>
    <row r="1719" spans="1:4" x14ac:dyDescent="0.35">
      <c r="A1719">
        <v>328</v>
      </c>
      <c r="B1719" t="s">
        <v>1313</v>
      </c>
      <c r="C1719" t="s">
        <v>72</v>
      </c>
      <c r="D1719" t="s">
        <v>13</v>
      </c>
    </row>
    <row r="1720" spans="1:4" x14ac:dyDescent="0.35">
      <c r="A1720">
        <v>329</v>
      </c>
      <c r="B1720" t="s">
        <v>1314</v>
      </c>
      <c r="C1720" t="s">
        <v>231</v>
      </c>
      <c r="D1720" t="s">
        <v>6</v>
      </c>
    </row>
    <row r="1721" spans="1:4" x14ac:dyDescent="0.35">
      <c r="A1721">
        <v>329</v>
      </c>
      <c r="B1721" t="s">
        <v>1315</v>
      </c>
      <c r="C1721" t="s">
        <v>231</v>
      </c>
      <c r="D1721" t="s">
        <v>6</v>
      </c>
    </row>
    <row r="1722" spans="1:4" x14ac:dyDescent="0.35">
      <c r="A1722">
        <v>329</v>
      </c>
      <c r="B1722" t="s">
        <v>1316</v>
      </c>
      <c r="C1722" t="s">
        <v>231</v>
      </c>
      <c r="D1722" t="s">
        <v>6</v>
      </c>
    </row>
    <row r="1723" spans="1:4" x14ac:dyDescent="0.35">
      <c r="A1723">
        <v>330</v>
      </c>
      <c r="B1723" t="s">
        <v>137</v>
      </c>
      <c r="C1723" t="s">
        <v>93</v>
      </c>
      <c r="D1723" t="s">
        <v>13</v>
      </c>
    </row>
    <row r="1724" spans="1:4" x14ac:dyDescent="0.35">
      <c r="A1724">
        <v>330</v>
      </c>
      <c r="B1724" t="s">
        <v>1317</v>
      </c>
      <c r="C1724" t="s">
        <v>231</v>
      </c>
      <c r="D1724" t="s">
        <v>6</v>
      </c>
    </row>
    <row r="1725" spans="1:4" x14ac:dyDescent="0.35">
      <c r="A1725">
        <v>330</v>
      </c>
      <c r="B1725" t="s">
        <v>1318</v>
      </c>
      <c r="C1725" t="s">
        <v>231</v>
      </c>
      <c r="D1725" t="s">
        <v>6</v>
      </c>
    </row>
    <row r="1726" spans="1:4" x14ac:dyDescent="0.35">
      <c r="A1726">
        <v>330</v>
      </c>
      <c r="B1726" t="s">
        <v>1319</v>
      </c>
      <c r="C1726" t="s">
        <v>72</v>
      </c>
      <c r="D1726" t="s">
        <v>13</v>
      </c>
    </row>
    <row r="1727" spans="1:4" x14ac:dyDescent="0.35">
      <c r="A1727">
        <v>330</v>
      </c>
      <c r="B1727" t="s">
        <v>1319</v>
      </c>
      <c r="C1727" t="s">
        <v>19</v>
      </c>
      <c r="D1727" t="s">
        <v>13</v>
      </c>
    </row>
    <row r="1728" spans="1:4" x14ac:dyDescent="0.35">
      <c r="A1728">
        <v>331</v>
      </c>
      <c r="B1728" t="s">
        <v>1320</v>
      </c>
      <c r="C1728" t="s">
        <v>16</v>
      </c>
      <c r="D1728" t="s">
        <v>13</v>
      </c>
    </row>
    <row r="1729" spans="1:4" x14ac:dyDescent="0.35">
      <c r="A1729">
        <v>331</v>
      </c>
      <c r="B1729" t="s">
        <v>1320</v>
      </c>
      <c r="C1729" t="s">
        <v>189</v>
      </c>
      <c r="D1729" t="s">
        <v>6</v>
      </c>
    </row>
    <row r="1730" spans="1:4" x14ac:dyDescent="0.35">
      <c r="A1730">
        <v>332</v>
      </c>
      <c r="B1730" t="s">
        <v>1321</v>
      </c>
      <c r="C1730" t="s">
        <v>72</v>
      </c>
      <c r="D1730" t="s">
        <v>13</v>
      </c>
    </row>
    <row r="1731" spans="1:4" x14ac:dyDescent="0.35">
      <c r="A1731">
        <v>332</v>
      </c>
      <c r="B1731" t="s">
        <v>1322</v>
      </c>
      <c r="C1731" t="s">
        <v>72</v>
      </c>
      <c r="D1731" t="s">
        <v>13</v>
      </c>
    </row>
    <row r="1732" spans="1:4" x14ac:dyDescent="0.35">
      <c r="A1732">
        <v>332</v>
      </c>
      <c r="B1732" t="s">
        <v>1323</v>
      </c>
      <c r="C1732" t="s">
        <v>72</v>
      </c>
      <c r="D1732" t="s">
        <v>13</v>
      </c>
    </row>
    <row r="1733" spans="1:4" x14ac:dyDescent="0.35">
      <c r="A1733">
        <v>333</v>
      </c>
      <c r="B1733" t="s">
        <v>1324</v>
      </c>
      <c r="C1733" t="s">
        <v>98</v>
      </c>
      <c r="D1733" t="s">
        <v>13</v>
      </c>
    </row>
    <row r="1734" spans="1:4" x14ac:dyDescent="0.35">
      <c r="A1734">
        <v>333</v>
      </c>
      <c r="B1734" t="s">
        <v>1325</v>
      </c>
      <c r="C1734" t="s">
        <v>98</v>
      </c>
      <c r="D1734" t="s">
        <v>13</v>
      </c>
    </row>
    <row r="1735" spans="1:4" x14ac:dyDescent="0.35">
      <c r="A1735">
        <v>333</v>
      </c>
      <c r="B1735" t="s">
        <v>1326</v>
      </c>
      <c r="C1735" t="s">
        <v>98</v>
      </c>
      <c r="D1735" t="s">
        <v>13</v>
      </c>
    </row>
    <row r="1736" spans="1:4" x14ac:dyDescent="0.35">
      <c r="A1736">
        <v>334</v>
      </c>
      <c r="B1736" t="s">
        <v>1327</v>
      </c>
      <c r="C1736" t="s">
        <v>1192</v>
      </c>
      <c r="D1736" t="s">
        <v>13</v>
      </c>
    </row>
    <row r="1737" spans="1:4" x14ac:dyDescent="0.35">
      <c r="A1737">
        <v>334</v>
      </c>
      <c r="B1737" t="s">
        <v>1328</v>
      </c>
      <c r="C1737" t="s">
        <v>517</v>
      </c>
      <c r="D1737" t="s">
        <v>13</v>
      </c>
    </row>
    <row r="1738" spans="1:4" x14ac:dyDescent="0.35">
      <c r="A1738">
        <v>334</v>
      </c>
      <c r="B1738" t="s">
        <v>1329</v>
      </c>
      <c r="C1738" t="s">
        <v>517</v>
      </c>
      <c r="D1738" t="s">
        <v>13</v>
      </c>
    </row>
    <row r="1739" spans="1:4" x14ac:dyDescent="0.35">
      <c r="A1739">
        <v>334</v>
      </c>
      <c r="B1739" t="s">
        <v>1330</v>
      </c>
      <c r="C1739" t="s">
        <v>517</v>
      </c>
      <c r="D1739" t="s">
        <v>13</v>
      </c>
    </row>
    <row r="1740" spans="1:4" x14ac:dyDescent="0.35">
      <c r="A1740">
        <v>334</v>
      </c>
      <c r="B1740" t="s">
        <v>1330</v>
      </c>
      <c r="C1740" t="s">
        <v>45</v>
      </c>
      <c r="D1740" t="s">
        <v>6</v>
      </c>
    </row>
    <row r="1741" spans="1:4" x14ac:dyDescent="0.35">
      <c r="A1741">
        <v>334</v>
      </c>
      <c r="B1741" t="s">
        <v>1330</v>
      </c>
      <c r="C1741" t="s">
        <v>5</v>
      </c>
      <c r="D1741" t="s">
        <v>6</v>
      </c>
    </row>
    <row r="1742" spans="1:4" x14ac:dyDescent="0.35">
      <c r="A1742">
        <v>334</v>
      </c>
      <c r="B1742" t="s">
        <v>1196</v>
      </c>
      <c r="C1742" t="s">
        <v>45</v>
      </c>
      <c r="D1742" t="s">
        <v>6</v>
      </c>
    </row>
    <row r="1743" spans="1:4" x14ac:dyDescent="0.35">
      <c r="A1743">
        <v>334</v>
      </c>
      <c r="B1743" t="s">
        <v>1331</v>
      </c>
      <c r="C1743" t="s">
        <v>1192</v>
      </c>
      <c r="D1743" t="s">
        <v>13</v>
      </c>
    </row>
    <row r="1744" spans="1:4" x14ac:dyDescent="0.35">
      <c r="A1744">
        <v>334</v>
      </c>
      <c r="B1744" t="s">
        <v>1332</v>
      </c>
      <c r="C1744" t="s">
        <v>45</v>
      </c>
      <c r="D1744" t="s">
        <v>6</v>
      </c>
    </row>
    <row r="1745" spans="1:4" x14ac:dyDescent="0.35">
      <c r="A1745">
        <v>334</v>
      </c>
      <c r="B1745" t="s">
        <v>1333</v>
      </c>
      <c r="C1745" t="s">
        <v>1334</v>
      </c>
      <c r="D1745" t="s">
        <v>13</v>
      </c>
    </row>
    <row r="1746" spans="1:4" x14ac:dyDescent="0.35">
      <c r="A1746">
        <v>335</v>
      </c>
      <c r="B1746" t="s">
        <v>1335</v>
      </c>
      <c r="C1746" t="s">
        <v>16</v>
      </c>
      <c r="D1746" t="s">
        <v>13</v>
      </c>
    </row>
    <row r="1747" spans="1:4" x14ac:dyDescent="0.35">
      <c r="A1747">
        <v>336</v>
      </c>
      <c r="B1747" t="s">
        <v>1336</v>
      </c>
      <c r="C1747" t="s">
        <v>48</v>
      </c>
      <c r="D1747" t="s">
        <v>13</v>
      </c>
    </row>
    <row r="1748" spans="1:4" x14ac:dyDescent="0.35">
      <c r="A1748">
        <v>336</v>
      </c>
      <c r="B1748" t="s">
        <v>1337</v>
      </c>
      <c r="C1748" t="s">
        <v>189</v>
      </c>
      <c r="D1748" t="s">
        <v>6</v>
      </c>
    </row>
    <row r="1749" spans="1:4" x14ac:dyDescent="0.35">
      <c r="A1749">
        <v>337</v>
      </c>
      <c r="B1749" t="s">
        <v>1338</v>
      </c>
      <c r="C1749" t="s">
        <v>231</v>
      </c>
      <c r="D1749" t="s">
        <v>6</v>
      </c>
    </row>
    <row r="1750" spans="1:4" x14ac:dyDescent="0.35">
      <c r="A1750">
        <v>337</v>
      </c>
      <c r="B1750" t="s">
        <v>1339</v>
      </c>
      <c r="C1750" t="s">
        <v>231</v>
      </c>
      <c r="D1750" t="s">
        <v>6</v>
      </c>
    </row>
    <row r="1751" spans="1:4" x14ac:dyDescent="0.35">
      <c r="A1751">
        <v>337</v>
      </c>
      <c r="B1751" t="s">
        <v>1340</v>
      </c>
      <c r="C1751" t="s">
        <v>231</v>
      </c>
      <c r="D1751" t="s">
        <v>6</v>
      </c>
    </row>
    <row r="1752" spans="1:4" x14ac:dyDescent="0.35">
      <c r="A1752">
        <v>337</v>
      </c>
      <c r="B1752" t="s">
        <v>1341</v>
      </c>
      <c r="C1752" t="s">
        <v>231</v>
      </c>
      <c r="D1752" t="s">
        <v>6</v>
      </c>
    </row>
    <row r="1753" spans="1:4" x14ac:dyDescent="0.35">
      <c r="A1753">
        <v>337</v>
      </c>
      <c r="B1753" t="s">
        <v>1342</v>
      </c>
      <c r="C1753" t="s">
        <v>189</v>
      </c>
      <c r="D1753" t="s">
        <v>6</v>
      </c>
    </row>
    <row r="1754" spans="1:4" x14ac:dyDescent="0.35">
      <c r="A1754">
        <v>338</v>
      </c>
      <c r="B1754" t="s">
        <v>1343</v>
      </c>
      <c r="C1754" t="s">
        <v>48</v>
      </c>
      <c r="D1754" t="s">
        <v>13</v>
      </c>
    </row>
    <row r="1755" spans="1:4" x14ac:dyDescent="0.35">
      <c r="A1755">
        <v>338</v>
      </c>
      <c r="B1755" t="s">
        <v>1343</v>
      </c>
      <c r="C1755" t="s">
        <v>45</v>
      </c>
      <c r="D1755" t="s">
        <v>6</v>
      </c>
    </row>
    <row r="1756" spans="1:4" x14ac:dyDescent="0.35">
      <c r="A1756">
        <v>339</v>
      </c>
      <c r="B1756" t="s">
        <v>1344</v>
      </c>
      <c r="C1756" t="s">
        <v>16</v>
      </c>
      <c r="D1756" t="s">
        <v>13</v>
      </c>
    </row>
    <row r="1757" spans="1:4" x14ac:dyDescent="0.35">
      <c r="A1757">
        <v>339</v>
      </c>
      <c r="B1757" t="s">
        <v>1345</v>
      </c>
      <c r="C1757" t="s">
        <v>72</v>
      </c>
      <c r="D1757" t="s">
        <v>13</v>
      </c>
    </row>
    <row r="1758" spans="1:4" x14ac:dyDescent="0.35">
      <c r="A1758">
        <v>339</v>
      </c>
      <c r="B1758" t="s">
        <v>306</v>
      </c>
      <c r="C1758" t="s">
        <v>101</v>
      </c>
      <c r="D1758" t="s">
        <v>6</v>
      </c>
    </row>
    <row r="1759" spans="1:4" x14ac:dyDescent="0.35">
      <c r="A1759">
        <v>339</v>
      </c>
      <c r="B1759" t="s">
        <v>15</v>
      </c>
      <c r="C1759" t="s">
        <v>16</v>
      </c>
      <c r="D1759" t="s">
        <v>13</v>
      </c>
    </row>
    <row r="1760" spans="1:4" x14ac:dyDescent="0.35">
      <c r="A1760">
        <v>339</v>
      </c>
      <c r="B1760" t="s">
        <v>1346</v>
      </c>
      <c r="C1760" t="s">
        <v>19</v>
      </c>
      <c r="D1760" t="s">
        <v>13</v>
      </c>
    </row>
    <row r="1761" spans="1:4" x14ac:dyDescent="0.35">
      <c r="A1761">
        <v>339</v>
      </c>
      <c r="B1761" t="s">
        <v>1347</v>
      </c>
      <c r="C1761" t="s">
        <v>186</v>
      </c>
      <c r="D1761" t="s">
        <v>13</v>
      </c>
    </row>
    <row r="1762" spans="1:4" x14ac:dyDescent="0.35">
      <c r="A1762">
        <v>339</v>
      </c>
      <c r="B1762" t="s">
        <v>1348</v>
      </c>
      <c r="C1762" t="s">
        <v>101</v>
      </c>
      <c r="D1762" t="s">
        <v>6</v>
      </c>
    </row>
    <row r="1763" spans="1:4" x14ac:dyDescent="0.35">
      <c r="A1763">
        <v>340</v>
      </c>
      <c r="B1763" t="s">
        <v>1349</v>
      </c>
      <c r="C1763" t="s">
        <v>261</v>
      </c>
      <c r="D1763" t="s">
        <v>13</v>
      </c>
    </row>
    <row r="1764" spans="1:4" x14ac:dyDescent="0.35">
      <c r="A1764">
        <v>340</v>
      </c>
      <c r="B1764" t="s">
        <v>1350</v>
      </c>
      <c r="C1764" t="s">
        <v>261</v>
      </c>
      <c r="D1764" t="s">
        <v>13</v>
      </c>
    </row>
    <row r="1765" spans="1:4" x14ac:dyDescent="0.35">
      <c r="A1765">
        <v>340</v>
      </c>
      <c r="B1765" t="s">
        <v>1351</v>
      </c>
      <c r="C1765" t="s">
        <v>261</v>
      </c>
      <c r="D1765" t="s">
        <v>13</v>
      </c>
    </row>
    <row r="1766" spans="1:4" x14ac:dyDescent="0.35">
      <c r="A1766">
        <v>340</v>
      </c>
      <c r="B1766" t="s">
        <v>1352</v>
      </c>
      <c r="C1766" t="s">
        <v>261</v>
      </c>
      <c r="D1766" t="s">
        <v>13</v>
      </c>
    </row>
    <row r="1767" spans="1:4" x14ac:dyDescent="0.35">
      <c r="A1767">
        <v>340</v>
      </c>
      <c r="B1767" t="s">
        <v>768</v>
      </c>
      <c r="C1767" t="s">
        <v>101</v>
      </c>
      <c r="D1767" t="s">
        <v>6</v>
      </c>
    </row>
    <row r="1768" spans="1:4" x14ac:dyDescent="0.35">
      <c r="A1768">
        <v>340</v>
      </c>
      <c r="B1768" t="s">
        <v>1353</v>
      </c>
      <c r="C1768" t="s">
        <v>261</v>
      </c>
      <c r="D1768" t="s">
        <v>13</v>
      </c>
    </row>
    <row r="1769" spans="1:4" x14ac:dyDescent="0.35">
      <c r="A1769">
        <v>340</v>
      </c>
      <c r="B1769" t="s">
        <v>1354</v>
      </c>
      <c r="C1769" t="s">
        <v>261</v>
      </c>
      <c r="D1769" t="s">
        <v>13</v>
      </c>
    </row>
    <row r="1770" spans="1:4" x14ac:dyDescent="0.35">
      <c r="A1770">
        <v>341</v>
      </c>
      <c r="B1770" t="s">
        <v>1355</v>
      </c>
      <c r="C1770" t="s">
        <v>189</v>
      </c>
      <c r="D1770" t="s">
        <v>6</v>
      </c>
    </row>
    <row r="1771" spans="1:4" x14ac:dyDescent="0.35">
      <c r="A1771">
        <v>341</v>
      </c>
      <c r="B1771" t="s">
        <v>66</v>
      </c>
      <c r="C1771" t="s">
        <v>16</v>
      </c>
      <c r="D1771" t="s">
        <v>13</v>
      </c>
    </row>
    <row r="1772" spans="1:4" x14ac:dyDescent="0.35">
      <c r="A1772">
        <v>341</v>
      </c>
      <c r="B1772" t="s">
        <v>1356</v>
      </c>
      <c r="C1772" t="s">
        <v>16</v>
      </c>
      <c r="D1772" t="s">
        <v>13</v>
      </c>
    </row>
    <row r="1773" spans="1:4" x14ac:dyDescent="0.35">
      <c r="A1773">
        <v>342</v>
      </c>
      <c r="B1773" t="s">
        <v>1357</v>
      </c>
      <c r="C1773" t="s">
        <v>517</v>
      </c>
      <c r="D1773" t="s">
        <v>13</v>
      </c>
    </row>
    <row r="1774" spans="1:4" x14ac:dyDescent="0.35">
      <c r="A1774">
        <v>342</v>
      </c>
      <c r="B1774" t="s">
        <v>1358</v>
      </c>
      <c r="C1774" t="s">
        <v>517</v>
      </c>
      <c r="D1774" t="s">
        <v>13</v>
      </c>
    </row>
    <row r="1775" spans="1:4" x14ac:dyDescent="0.35">
      <c r="A1775">
        <v>342</v>
      </c>
      <c r="B1775" t="s">
        <v>1359</v>
      </c>
      <c r="C1775" t="s">
        <v>517</v>
      </c>
      <c r="D1775" t="s">
        <v>13</v>
      </c>
    </row>
    <row r="1776" spans="1:4" x14ac:dyDescent="0.35">
      <c r="A1776">
        <v>342</v>
      </c>
      <c r="B1776" t="s">
        <v>1360</v>
      </c>
      <c r="C1776" t="s">
        <v>43</v>
      </c>
      <c r="D1776" t="s">
        <v>6</v>
      </c>
    </row>
    <row r="1777" spans="1:4" x14ac:dyDescent="0.35">
      <c r="A1777">
        <v>342</v>
      </c>
      <c r="B1777" t="s">
        <v>1361</v>
      </c>
      <c r="C1777" t="s">
        <v>43</v>
      </c>
      <c r="D1777" t="s">
        <v>6</v>
      </c>
    </row>
    <row r="1778" spans="1:4" x14ac:dyDescent="0.35">
      <c r="A1778">
        <v>342</v>
      </c>
      <c r="B1778" t="s">
        <v>1362</v>
      </c>
      <c r="C1778" t="s">
        <v>43</v>
      </c>
      <c r="D1778" t="s">
        <v>6</v>
      </c>
    </row>
    <row r="1779" spans="1:4" x14ac:dyDescent="0.35">
      <c r="A1779">
        <v>342</v>
      </c>
      <c r="B1779" t="s">
        <v>1363</v>
      </c>
      <c r="C1779" t="s">
        <v>43</v>
      </c>
      <c r="D1779" t="s">
        <v>6</v>
      </c>
    </row>
    <row r="1780" spans="1:4" x14ac:dyDescent="0.35">
      <c r="A1780">
        <v>342</v>
      </c>
      <c r="B1780" t="s">
        <v>1364</v>
      </c>
      <c r="C1780" t="s">
        <v>517</v>
      </c>
      <c r="D1780" t="s">
        <v>13</v>
      </c>
    </row>
    <row r="1781" spans="1:4" x14ac:dyDescent="0.35">
      <c r="A1781">
        <v>343</v>
      </c>
      <c r="B1781" t="s">
        <v>1188</v>
      </c>
      <c r="C1781" t="s">
        <v>25</v>
      </c>
      <c r="D1781" t="s">
        <v>13</v>
      </c>
    </row>
    <row r="1782" spans="1:4" x14ac:dyDescent="0.35">
      <c r="A1782">
        <v>344</v>
      </c>
      <c r="B1782" t="s">
        <v>1365</v>
      </c>
      <c r="C1782" t="s">
        <v>352</v>
      </c>
      <c r="D1782" t="s">
        <v>13</v>
      </c>
    </row>
    <row r="1783" spans="1:4" x14ac:dyDescent="0.35">
      <c r="A1783">
        <v>344</v>
      </c>
      <c r="B1783" t="s">
        <v>1366</v>
      </c>
      <c r="C1783" t="s">
        <v>72</v>
      </c>
      <c r="D1783" t="s">
        <v>13</v>
      </c>
    </row>
    <row r="1784" spans="1:4" x14ac:dyDescent="0.35">
      <c r="A1784">
        <v>344</v>
      </c>
      <c r="B1784" t="s">
        <v>1367</v>
      </c>
      <c r="C1784" t="s">
        <v>352</v>
      </c>
      <c r="D1784" t="s">
        <v>13</v>
      </c>
    </row>
    <row r="1785" spans="1:4" x14ac:dyDescent="0.35">
      <c r="A1785">
        <v>344</v>
      </c>
      <c r="B1785" t="s">
        <v>1368</v>
      </c>
      <c r="C1785" t="s">
        <v>72</v>
      </c>
      <c r="D1785" t="s">
        <v>13</v>
      </c>
    </row>
    <row r="1786" spans="1:4" x14ac:dyDescent="0.35">
      <c r="A1786">
        <v>344</v>
      </c>
      <c r="B1786" t="s">
        <v>1368</v>
      </c>
      <c r="C1786" t="s">
        <v>352</v>
      </c>
      <c r="D1786" t="s">
        <v>13</v>
      </c>
    </row>
    <row r="1787" spans="1:4" x14ac:dyDescent="0.35">
      <c r="A1787">
        <v>344</v>
      </c>
      <c r="B1787" t="s">
        <v>1369</v>
      </c>
      <c r="C1787" t="s">
        <v>72</v>
      </c>
      <c r="D1787" t="s">
        <v>13</v>
      </c>
    </row>
    <row r="1788" spans="1:4" x14ac:dyDescent="0.35">
      <c r="A1788">
        <v>344</v>
      </c>
      <c r="B1788" t="s">
        <v>1370</v>
      </c>
      <c r="C1788" t="s">
        <v>72</v>
      </c>
      <c r="D1788" t="s">
        <v>13</v>
      </c>
    </row>
    <row r="1789" spans="1:4" x14ac:dyDescent="0.35">
      <c r="A1789">
        <v>344</v>
      </c>
      <c r="B1789" t="s">
        <v>1371</v>
      </c>
      <c r="C1789" t="s">
        <v>72</v>
      </c>
      <c r="D1789" t="s">
        <v>13</v>
      </c>
    </row>
    <row r="1790" spans="1:4" x14ac:dyDescent="0.35">
      <c r="A1790">
        <v>344</v>
      </c>
      <c r="B1790" t="s">
        <v>1372</v>
      </c>
      <c r="C1790" t="s">
        <v>72</v>
      </c>
      <c r="D1790" t="s">
        <v>13</v>
      </c>
    </row>
    <row r="1791" spans="1:4" x14ac:dyDescent="0.35">
      <c r="A1791">
        <v>344</v>
      </c>
      <c r="B1791" t="s">
        <v>1373</v>
      </c>
      <c r="C1791" t="s">
        <v>72</v>
      </c>
      <c r="D1791" t="s">
        <v>13</v>
      </c>
    </row>
    <row r="1792" spans="1:4" x14ac:dyDescent="0.35">
      <c r="A1792">
        <v>345</v>
      </c>
      <c r="B1792" t="s">
        <v>1374</v>
      </c>
      <c r="C1792" t="s">
        <v>5</v>
      </c>
      <c r="D1792" t="s">
        <v>6</v>
      </c>
    </row>
    <row r="1793" spans="1:4" x14ac:dyDescent="0.35">
      <c r="A1793">
        <v>345</v>
      </c>
      <c r="B1793" t="s">
        <v>1375</v>
      </c>
      <c r="C1793" t="s">
        <v>5</v>
      </c>
      <c r="D1793" t="s">
        <v>6</v>
      </c>
    </row>
    <row r="1794" spans="1:4" x14ac:dyDescent="0.35">
      <c r="A1794">
        <v>345</v>
      </c>
      <c r="B1794" t="s">
        <v>1376</v>
      </c>
      <c r="C1794" t="s">
        <v>5</v>
      </c>
      <c r="D1794" t="s">
        <v>6</v>
      </c>
    </row>
    <row r="1795" spans="1:4" x14ac:dyDescent="0.35">
      <c r="A1795">
        <v>345</v>
      </c>
      <c r="B1795" t="s">
        <v>1377</v>
      </c>
      <c r="C1795" t="s">
        <v>5</v>
      </c>
      <c r="D1795" t="s">
        <v>6</v>
      </c>
    </row>
    <row r="1796" spans="1:4" x14ac:dyDescent="0.35">
      <c r="A1796">
        <v>345</v>
      </c>
      <c r="B1796" t="s">
        <v>62</v>
      </c>
      <c r="C1796" t="s">
        <v>16</v>
      </c>
      <c r="D1796" t="s">
        <v>13</v>
      </c>
    </row>
    <row r="1797" spans="1:4" x14ac:dyDescent="0.35">
      <c r="A1797">
        <v>345</v>
      </c>
      <c r="B1797" t="s">
        <v>1378</v>
      </c>
      <c r="C1797" t="s">
        <v>5</v>
      </c>
      <c r="D1797" t="s">
        <v>6</v>
      </c>
    </row>
    <row r="1798" spans="1:4" x14ac:dyDescent="0.35">
      <c r="A1798">
        <v>345</v>
      </c>
      <c r="B1798" t="s">
        <v>1379</v>
      </c>
      <c r="C1798" t="s">
        <v>5</v>
      </c>
      <c r="D1798" t="s">
        <v>6</v>
      </c>
    </row>
    <row r="1799" spans="1:4" x14ac:dyDescent="0.35">
      <c r="A1799">
        <v>345</v>
      </c>
      <c r="B1799" t="s">
        <v>1380</v>
      </c>
      <c r="C1799" t="s">
        <v>16</v>
      </c>
      <c r="D1799" t="s">
        <v>13</v>
      </c>
    </row>
    <row r="1800" spans="1:4" x14ac:dyDescent="0.35">
      <c r="A1800">
        <v>346</v>
      </c>
      <c r="B1800" t="s">
        <v>1381</v>
      </c>
      <c r="C1800" t="s">
        <v>5</v>
      </c>
      <c r="D1800" t="s">
        <v>6</v>
      </c>
    </row>
    <row r="1801" spans="1:4" x14ac:dyDescent="0.35">
      <c r="A1801">
        <v>346</v>
      </c>
      <c r="B1801" t="s">
        <v>1382</v>
      </c>
      <c r="C1801" t="s">
        <v>5</v>
      </c>
      <c r="D1801" t="s">
        <v>6</v>
      </c>
    </row>
    <row r="1802" spans="1:4" x14ac:dyDescent="0.35">
      <c r="A1802">
        <v>347</v>
      </c>
      <c r="B1802" t="s">
        <v>1383</v>
      </c>
      <c r="C1802" t="s">
        <v>72</v>
      </c>
      <c r="D1802" t="s">
        <v>13</v>
      </c>
    </row>
    <row r="1803" spans="1:4" x14ac:dyDescent="0.35">
      <c r="A1803">
        <v>347</v>
      </c>
      <c r="B1803" t="s">
        <v>1384</v>
      </c>
      <c r="C1803" t="s">
        <v>72</v>
      </c>
      <c r="D1803" t="s">
        <v>13</v>
      </c>
    </row>
    <row r="1804" spans="1:4" x14ac:dyDescent="0.35">
      <c r="A1804">
        <v>347</v>
      </c>
      <c r="B1804" t="s">
        <v>1385</v>
      </c>
      <c r="C1804" t="s">
        <v>72</v>
      </c>
      <c r="D1804" t="s">
        <v>13</v>
      </c>
    </row>
    <row r="1805" spans="1:4" x14ac:dyDescent="0.35">
      <c r="A1805">
        <v>347</v>
      </c>
      <c r="B1805" t="s">
        <v>1386</v>
      </c>
      <c r="C1805" t="s">
        <v>72</v>
      </c>
      <c r="D1805" t="s">
        <v>13</v>
      </c>
    </row>
    <row r="1806" spans="1:4" x14ac:dyDescent="0.35">
      <c r="A1806">
        <v>348</v>
      </c>
      <c r="B1806" t="s">
        <v>1387</v>
      </c>
      <c r="C1806" t="s">
        <v>45</v>
      </c>
      <c r="D1806" t="s">
        <v>6</v>
      </c>
    </row>
    <row r="1807" spans="1:4" x14ac:dyDescent="0.35">
      <c r="A1807">
        <v>348</v>
      </c>
      <c r="B1807" t="s">
        <v>1388</v>
      </c>
      <c r="C1807" t="s">
        <v>45</v>
      </c>
      <c r="D1807" t="s">
        <v>6</v>
      </c>
    </row>
    <row r="1808" spans="1:4" x14ac:dyDescent="0.35">
      <c r="A1808">
        <v>348</v>
      </c>
      <c r="B1808" t="s">
        <v>1389</v>
      </c>
      <c r="C1808" t="s">
        <v>45</v>
      </c>
      <c r="D1808" t="s">
        <v>6</v>
      </c>
    </row>
    <row r="1809" spans="1:4" x14ac:dyDescent="0.35">
      <c r="A1809">
        <v>348</v>
      </c>
      <c r="B1809" t="s">
        <v>1390</v>
      </c>
      <c r="C1809" t="s">
        <v>45</v>
      </c>
      <c r="D1809" t="s">
        <v>6</v>
      </c>
    </row>
    <row r="1810" spans="1:4" x14ac:dyDescent="0.35">
      <c r="A1810">
        <v>348</v>
      </c>
      <c r="B1810" t="s">
        <v>1391</v>
      </c>
      <c r="C1810" t="s">
        <v>45</v>
      </c>
      <c r="D1810" t="s">
        <v>6</v>
      </c>
    </row>
    <row r="1811" spans="1:4" x14ac:dyDescent="0.35">
      <c r="A1811">
        <v>348</v>
      </c>
      <c r="B1811" t="s">
        <v>1392</v>
      </c>
      <c r="C1811" t="s">
        <v>45</v>
      </c>
      <c r="D1811" t="s">
        <v>6</v>
      </c>
    </row>
    <row r="1812" spans="1:4" x14ac:dyDescent="0.35">
      <c r="A1812">
        <v>349</v>
      </c>
      <c r="B1812" t="s">
        <v>1393</v>
      </c>
      <c r="C1812" t="s">
        <v>45</v>
      </c>
      <c r="D1812" t="s">
        <v>6</v>
      </c>
    </row>
    <row r="1813" spans="1:4" x14ac:dyDescent="0.35">
      <c r="A1813">
        <v>349</v>
      </c>
      <c r="B1813" t="s">
        <v>1290</v>
      </c>
      <c r="C1813" t="s">
        <v>45</v>
      </c>
      <c r="D1813" t="s">
        <v>6</v>
      </c>
    </row>
    <row r="1814" spans="1:4" x14ac:dyDescent="0.35">
      <c r="A1814">
        <v>349</v>
      </c>
      <c r="B1814" t="s">
        <v>1394</v>
      </c>
      <c r="C1814" t="s">
        <v>45</v>
      </c>
      <c r="D1814" t="s">
        <v>6</v>
      </c>
    </row>
    <row r="1815" spans="1:4" x14ac:dyDescent="0.35">
      <c r="A1815">
        <v>349</v>
      </c>
      <c r="B1815" t="s">
        <v>1395</v>
      </c>
      <c r="C1815" t="s">
        <v>45</v>
      </c>
      <c r="D1815" t="s">
        <v>6</v>
      </c>
    </row>
    <row r="1816" spans="1:4" x14ac:dyDescent="0.35">
      <c r="A1816">
        <v>349</v>
      </c>
      <c r="B1816" t="s">
        <v>1396</v>
      </c>
      <c r="C1816" t="s">
        <v>45</v>
      </c>
      <c r="D1816" t="s">
        <v>6</v>
      </c>
    </row>
    <row r="1817" spans="1:4" x14ac:dyDescent="0.35">
      <c r="A1817">
        <v>349</v>
      </c>
      <c r="B1817" t="s">
        <v>1397</v>
      </c>
      <c r="C1817" t="s">
        <v>45</v>
      </c>
      <c r="D1817" t="s">
        <v>6</v>
      </c>
    </row>
    <row r="1818" spans="1:4" x14ac:dyDescent="0.35">
      <c r="A1818">
        <v>350</v>
      </c>
      <c r="B1818" t="s">
        <v>963</v>
      </c>
      <c r="C1818" t="s">
        <v>93</v>
      </c>
      <c r="D1818" t="s">
        <v>13</v>
      </c>
    </row>
    <row r="1819" spans="1:4" x14ac:dyDescent="0.35">
      <c r="A1819">
        <v>350</v>
      </c>
      <c r="B1819" t="s">
        <v>616</v>
      </c>
      <c r="C1819" t="s">
        <v>93</v>
      </c>
      <c r="D1819" t="s">
        <v>13</v>
      </c>
    </row>
    <row r="1820" spans="1:4" x14ac:dyDescent="0.35">
      <c r="A1820">
        <v>350</v>
      </c>
      <c r="B1820" t="s">
        <v>453</v>
      </c>
      <c r="C1820" t="s">
        <v>93</v>
      </c>
      <c r="D1820" t="s">
        <v>13</v>
      </c>
    </row>
    <row r="1821" spans="1:4" x14ac:dyDescent="0.35">
      <c r="A1821">
        <v>350</v>
      </c>
      <c r="B1821" t="s">
        <v>1398</v>
      </c>
      <c r="C1821" t="s">
        <v>93</v>
      </c>
      <c r="D1821" t="s">
        <v>13</v>
      </c>
    </row>
    <row r="1822" spans="1:4" x14ac:dyDescent="0.35">
      <c r="A1822">
        <v>350</v>
      </c>
      <c r="B1822" t="s">
        <v>700</v>
      </c>
      <c r="C1822" t="s">
        <v>93</v>
      </c>
      <c r="D1822" t="s">
        <v>13</v>
      </c>
    </row>
    <row r="1823" spans="1:4" x14ac:dyDescent="0.35">
      <c r="A1823">
        <v>351</v>
      </c>
      <c r="B1823" t="s">
        <v>1399</v>
      </c>
      <c r="C1823" t="s">
        <v>189</v>
      </c>
      <c r="D1823" t="s">
        <v>6</v>
      </c>
    </row>
    <row r="1824" spans="1:4" x14ac:dyDescent="0.35">
      <c r="A1824">
        <v>351</v>
      </c>
      <c r="B1824" t="s">
        <v>1400</v>
      </c>
      <c r="C1824" t="s">
        <v>19</v>
      </c>
      <c r="D1824" t="s">
        <v>13</v>
      </c>
    </row>
    <row r="1825" spans="1:4" x14ac:dyDescent="0.35">
      <c r="A1825">
        <v>352</v>
      </c>
      <c r="B1825" t="s">
        <v>1401</v>
      </c>
      <c r="C1825" t="s">
        <v>19</v>
      </c>
      <c r="D1825" t="s">
        <v>13</v>
      </c>
    </row>
    <row r="1826" spans="1:4" x14ac:dyDescent="0.35">
      <c r="A1826">
        <v>352</v>
      </c>
      <c r="B1826" t="s">
        <v>1402</v>
      </c>
      <c r="C1826" t="s">
        <v>19</v>
      </c>
      <c r="D1826" t="s">
        <v>13</v>
      </c>
    </row>
    <row r="1827" spans="1:4" x14ac:dyDescent="0.35">
      <c r="A1827">
        <v>352</v>
      </c>
      <c r="B1827" t="s">
        <v>1403</v>
      </c>
      <c r="C1827" t="s">
        <v>19</v>
      </c>
      <c r="D1827" t="s">
        <v>13</v>
      </c>
    </row>
    <row r="1828" spans="1:4" x14ac:dyDescent="0.35">
      <c r="A1828">
        <v>352</v>
      </c>
      <c r="B1828" t="s">
        <v>1404</v>
      </c>
      <c r="C1828" t="s">
        <v>19</v>
      </c>
      <c r="D1828" t="s">
        <v>13</v>
      </c>
    </row>
    <row r="1829" spans="1:4" x14ac:dyDescent="0.35">
      <c r="A1829">
        <v>352</v>
      </c>
      <c r="B1829" t="s">
        <v>1405</v>
      </c>
      <c r="C1829" t="s">
        <v>45</v>
      </c>
      <c r="D1829" t="s">
        <v>6</v>
      </c>
    </row>
    <row r="1830" spans="1:4" x14ac:dyDescent="0.35">
      <c r="A1830">
        <v>352</v>
      </c>
      <c r="B1830" t="s">
        <v>1406</v>
      </c>
      <c r="C1830" t="s">
        <v>19</v>
      </c>
      <c r="D1830" t="s">
        <v>13</v>
      </c>
    </row>
    <row r="1831" spans="1:4" x14ac:dyDescent="0.35">
      <c r="A1831">
        <v>352</v>
      </c>
      <c r="B1831" t="s">
        <v>1407</v>
      </c>
      <c r="C1831" t="s">
        <v>19</v>
      </c>
      <c r="D1831" t="s">
        <v>13</v>
      </c>
    </row>
    <row r="1832" spans="1:4" x14ac:dyDescent="0.35">
      <c r="A1832">
        <v>352</v>
      </c>
      <c r="B1832" t="s">
        <v>1408</v>
      </c>
      <c r="C1832" t="s">
        <v>19</v>
      </c>
      <c r="D1832" t="s">
        <v>13</v>
      </c>
    </row>
    <row r="1833" spans="1:4" x14ac:dyDescent="0.35">
      <c r="A1833">
        <v>352</v>
      </c>
      <c r="B1833" t="s">
        <v>1409</v>
      </c>
      <c r="C1833" t="s">
        <v>19</v>
      </c>
      <c r="D1833" t="s">
        <v>13</v>
      </c>
    </row>
    <row r="1834" spans="1:4" x14ac:dyDescent="0.35">
      <c r="A1834">
        <v>352</v>
      </c>
      <c r="B1834" t="s">
        <v>1410</v>
      </c>
      <c r="C1834" t="s">
        <v>19</v>
      </c>
      <c r="D1834" t="s">
        <v>13</v>
      </c>
    </row>
    <row r="1835" spans="1:4" x14ac:dyDescent="0.35">
      <c r="A1835">
        <v>352</v>
      </c>
      <c r="B1835" t="s">
        <v>1411</v>
      </c>
      <c r="C1835" t="s">
        <v>19</v>
      </c>
      <c r="D1835" t="s">
        <v>13</v>
      </c>
    </row>
    <row r="1836" spans="1:4" x14ac:dyDescent="0.35">
      <c r="A1836">
        <v>353</v>
      </c>
      <c r="B1836" t="s">
        <v>1412</v>
      </c>
      <c r="C1836" t="s">
        <v>48</v>
      </c>
      <c r="D1836" t="s">
        <v>13</v>
      </c>
    </row>
    <row r="1837" spans="1:4" x14ac:dyDescent="0.35">
      <c r="A1837">
        <v>353</v>
      </c>
      <c r="B1837" t="s">
        <v>1413</v>
      </c>
      <c r="C1837" t="s">
        <v>72</v>
      </c>
      <c r="D1837" t="s">
        <v>13</v>
      </c>
    </row>
    <row r="1838" spans="1:4" x14ac:dyDescent="0.35">
      <c r="A1838">
        <v>353</v>
      </c>
      <c r="B1838" t="s">
        <v>1413</v>
      </c>
      <c r="C1838" t="s">
        <v>48</v>
      </c>
      <c r="D1838" t="s">
        <v>13</v>
      </c>
    </row>
    <row r="1839" spans="1:4" x14ac:dyDescent="0.35">
      <c r="A1839">
        <v>353</v>
      </c>
      <c r="B1839" t="s">
        <v>1414</v>
      </c>
      <c r="C1839" t="s">
        <v>72</v>
      </c>
      <c r="D1839" t="s">
        <v>13</v>
      </c>
    </row>
    <row r="1840" spans="1:4" x14ac:dyDescent="0.35">
      <c r="A1840">
        <v>353</v>
      </c>
      <c r="B1840" t="s">
        <v>1415</v>
      </c>
      <c r="C1840" t="s">
        <v>48</v>
      </c>
      <c r="D1840" t="s">
        <v>13</v>
      </c>
    </row>
    <row r="1841" spans="1:4" x14ac:dyDescent="0.35">
      <c r="A1841">
        <v>354</v>
      </c>
      <c r="B1841" t="s">
        <v>1416</v>
      </c>
      <c r="C1841" t="s">
        <v>16</v>
      </c>
      <c r="D1841" t="s">
        <v>13</v>
      </c>
    </row>
    <row r="1842" spans="1:4" x14ac:dyDescent="0.35">
      <c r="A1842">
        <v>354</v>
      </c>
      <c r="B1842" t="s">
        <v>1417</v>
      </c>
      <c r="C1842" t="s">
        <v>16</v>
      </c>
      <c r="D1842" t="s">
        <v>13</v>
      </c>
    </row>
    <row r="1843" spans="1:4" x14ac:dyDescent="0.35">
      <c r="A1843">
        <v>355</v>
      </c>
      <c r="B1843" t="s">
        <v>1418</v>
      </c>
      <c r="C1843" t="s">
        <v>19</v>
      </c>
      <c r="D1843" t="s">
        <v>13</v>
      </c>
    </row>
    <row r="1844" spans="1:4" x14ac:dyDescent="0.35">
      <c r="A1844">
        <v>355</v>
      </c>
      <c r="B1844" t="s">
        <v>1419</v>
      </c>
      <c r="C1844" t="s">
        <v>45</v>
      </c>
      <c r="D1844" t="s">
        <v>6</v>
      </c>
    </row>
    <row r="1845" spans="1:4" x14ac:dyDescent="0.35">
      <c r="A1845">
        <v>355</v>
      </c>
      <c r="B1845" t="s">
        <v>1420</v>
      </c>
      <c r="C1845" t="s">
        <v>22</v>
      </c>
      <c r="D1845" t="s">
        <v>13</v>
      </c>
    </row>
    <row r="1846" spans="1:4" x14ac:dyDescent="0.35">
      <c r="A1846">
        <v>355</v>
      </c>
      <c r="B1846" t="s">
        <v>1421</v>
      </c>
      <c r="C1846" t="s">
        <v>19</v>
      </c>
      <c r="D1846" t="s">
        <v>13</v>
      </c>
    </row>
    <row r="1847" spans="1:4" x14ac:dyDescent="0.35">
      <c r="A1847">
        <v>355</v>
      </c>
      <c r="B1847" t="s">
        <v>1421</v>
      </c>
      <c r="C1847" t="s">
        <v>45</v>
      </c>
      <c r="D1847" t="s">
        <v>6</v>
      </c>
    </row>
    <row r="1848" spans="1:4" x14ac:dyDescent="0.35">
      <c r="A1848">
        <v>356</v>
      </c>
      <c r="B1848" t="s">
        <v>1422</v>
      </c>
      <c r="C1848" t="s">
        <v>45</v>
      </c>
      <c r="D1848" t="s">
        <v>6</v>
      </c>
    </row>
    <row r="1849" spans="1:4" x14ac:dyDescent="0.35">
      <c r="A1849">
        <v>357</v>
      </c>
      <c r="B1849" t="s">
        <v>1423</v>
      </c>
      <c r="C1849" t="s">
        <v>189</v>
      </c>
      <c r="D1849" t="s">
        <v>6</v>
      </c>
    </row>
    <row r="1850" spans="1:4" x14ac:dyDescent="0.35">
      <c r="A1850">
        <v>357</v>
      </c>
      <c r="B1850" t="s">
        <v>1424</v>
      </c>
      <c r="C1850" t="s">
        <v>16</v>
      </c>
      <c r="D1850" t="s">
        <v>13</v>
      </c>
    </row>
    <row r="1851" spans="1:4" x14ac:dyDescent="0.35">
      <c r="A1851">
        <v>357</v>
      </c>
      <c r="B1851" t="s">
        <v>1425</v>
      </c>
      <c r="C1851" t="s">
        <v>189</v>
      </c>
      <c r="D1851" t="s">
        <v>6</v>
      </c>
    </row>
    <row r="1852" spans="1:4" x14ac:dyDescent="0.35">
      <c r="A1852">
        <v>357</v>
      </c>
      <c r="B1852" t="s">
        <v>1426</v>
      </c>
      <c r="C1852" t="s">
        <v>16</v>
      </c>
      <c r="D1852" t="s">
        <v>13</v>
      </c>
    </row>
    <row r="1853" spans="1:4" x14ac:dyDescent="0.35">
      <c r="A1853">
        <v>357</v>
      </c>
      <c r="B1853" t="s">
        <v>1427</v>
      </c>
      <c r="C1853" t="s">
        <v>16</v>
      </c>
      <c r="D1853" t="s">
        <v>13</v>
      </c>
    </row>
    <row r="1854" spans="1:4" x14ac:dyDescent="0.35">
      <c r="A1854">
        <v>357</v>
      </c>
      <c r="B1854" t="s">
        <v>1428</v>
      </c>
      <c r="C1854" t="s">
        <v>16</v>
      </c>
      <c r="D1854" t="s">
        <v>13</v>
      </c>
    </row>
    <row r="1855" spans="1:4" x14ac:dyDescent="0.35">
      <c r="A1855">
        <v>358</v>
      </c>
      <c r="B1855" t="s">
        <v>535</v>
      </c>
      <c r="C1855" t="s">
        <v>16</v>
      </c>
      <c r="D1855" t="s">
        <v>13</v>
      </c>
    </row>
    <row r="1856" spans="1:4" x14ac:dyDescent="0.35">
      <c r="A1856">
        <v>358</v>
      </c>
      <c r="B1856" t="s">
        <v>1429</v>
      </c>
      <c r="C1856" t="s">
        <v>16</v>
      </c>
      <c r="D1856" t="s">
        <v>13</v>
      </c>
    </row>
    <row r="1857" spans="1:4" x14ac:dyDescent="0.35">
      <c r="A1857">
        <v>359</v>
      </c>
      <c r="B1857" t="s">
        <v>1430</v>
      </c>
      <c r="C1857" t="s">
        <v>16</v>
      </c>
      <c r="D1857" t="s">
        <v>13</v>
      </c>
    </row>
    <row r="1858" spans="1:4" x14ac:dyDescent="0.35">
      <c r="A1858">
        <v>359</v>
      </c>
      <c r="B1858" t="s">
        <v>1431</v>
      </c>
      <c r="C1858" t="s">
        <v>16</v>
      </c>
      <c r="D1858" t="s">
        <v>13</v>
      </c>
    </row>
    <row r="1859" spans="1:4" x14ac:dyDescent="0.35">
      <c r="A1859">
        <v>359</v>
      </c>
      <c r="B1859" t="s">
        <v>1432</v>
      </c>
      <c r="C1859" t="s">
        <v>16</v>
      </c>
      <c r="D1859" t="s">
        <v>13</v>
      </c>
    </row>
    <row r="1860" spans="1:4" x14ac:dyDescent="0.35">
      <c r="A1860">
        <v>359</v>
      </c>
      <c r="B1860" t="s">
        <v>1433</v>
      </c>
      <c r="C1860" t="s">
        <v>16</v>
      </c>
      <c r="D1860" t="s">
        <v>13</v>
      </c>
    </row>
    <row r="1861" spans="1:4" x14ac:dyDescent="0.35">
      <c r="A1861">
        <v>359</v>
      </c>
      <c r="B1861" t="s">
        <v>1434</v>
      </c>
      <c r="C1861" t="s">
        <v>189</v>
      </c>
      <c r="D1861" t="s">
        <v>6</v>
      </c>
    </row>
    <row r="1862" spans="1:4" x14ac:dyDescent="0.35">
      <c r="A1862">
        <v>359</v>
      </c>
      <c r="B1862" t="s">
        <v>1435</v>
      </c>
      <c r="C1862" t="s">
        <v>16</v>
      </c>
      <c r="D1862" t="s">
        <v>13</v>
      </c>
    </row>
    <row r="1863" spans="1:4" x14ac:dyDescent="0.35">
      <c r="A1863">
        <v>359</v>
      </c>
      <c r="B1863" t="s">
        <v>1436</v>
      </c>
      <c r="C1863" t="s">
        <v>16</v>
      </c>
      <c r="D1863" t="s">
        <v>13</v>
      </c>
    </row>
    <row r="1864" spans="1:4" x14ac:dyDescent="0.35">
      <c r="A1864">
        <v>359</v>
      </c>
      <c r="B1864" t="s">
        <v>1437</v>
      </c>
      <c r="C1864" t="s">
        <v>16</v>
      </c>
      <c r="D1864" t="s">
        <v>13</v>
      </c>
    </row>
    <row r="1865" spans="1:4" x14ac:dyDescent="0.35">
      <c r="A1865">
        <v>359</v>
      </c>
      <c r="B1865" t="s">
        <v>1438</v>
      </c>
      <c r="C1865" t="s">
        <v>16</v>
      </c>
      <c r="D1865" t="s">
        <v>13</v>
      </c>
    </row>
    <row r="1866" spans="1:4" x14ac:dyDescent="0.35">
      <c r="A1866">
        <v>359</v>
      </c>
      <c r="B1866" t="s">
        <v>1439</v>
      </c>
      <c r="C1866" t="s">
        <v>16</v>
      </c>
      <c r="D1866" t="s">
        <v>13</v>
      </c>
    </row>
    <row r="1867" spans="1:4" x14ac:dyDescent="0.35">
      <c r="A1867">
        <v>360</v>
      </c>
      <c r="B1867" t="s">
        <v>1440</v>
      </c>
      <c r="C1867" t="s">
        <v>261</v>
      </c>
      <c r="D1867" t="s">
        <v>13</v>
      </c>
    </row>
    <row r="1868" spans="1:4" x14ac:dyDescent="0.35">
      <c r="A1868">
        <v>360</v>
      </c>
      <c r="B1868" t="s">
        <v>1441</v>
      </c>
      <c r="C1868" t="s">
        <v>19</v>
      </c>
      <c r="D1868" t="s">
        <v>13</v>
      </c>
    </row>
    <row r="1869" spans="1:4" x14ac:dyDescent="0.35">
      <c r="A1869">
        <v>360</v>
      </c>
      <c r="B1869" t="s">
        <v>1442</v>
      </c>
      <c r="C1869" t="s">
        <v>19</v>
      </c>
      <c r="D1869" t="s">
        <v>13</v>
      </c>
    </row>
    <row r="1870" spans="1:4" x14ac:dyDescent="0.35">
      <c r="A1870">
        <v>361</v>
      </c>
      <c r="B1870" t="s">
        <v>1443</v>
      </c>
      <c r="C1870" t="s">
        <v>231</v>
      </c>
      <c r="D1870" t="s">
        <v>6</v>
      </c>
    </row>
    <row r="1871" spans="1:4" x14ac:dyDescent="0.35">
      <c r="A1871">
        <v>361</v>
      </c>
      <c r="B1871" t="s">
        <v>1444</v>
      </c>
      <c r="C1871" t="s">
        <v>231</v>
      </c>
      <c r="D1871" t="s">
        <v>6</v>
      </c>
    </row>
    <row r="1872" spans="1:4" x14ac:dyDescent="0.35">
      <c r="A1872">
        <v>361</v>
      </c>
      <c r="B1872" t="s">
        <v>421</v>
      </c>
      <c r="C1872" t="s">
        <v>231</v>
      </c>
      <c r="D1872" t="s">
        <v>6</v>
      </c>
    </row>
    <row r="1873" spans="1:4" x14ac:dyDescent="0.35">
      <c r="A1873">
        <v>361</v>
      </c>
      <c r="B1873" t="s">
        <v>1445</v>
      </c>
      <c r="C1873" t="s">
        <v>231</v>
      </c>
      <c r="D1873" t="s">
        <v>6</v>
      </c>
    </row>
    <row r="1874" spans="1:4" x14ac:dyDescent="0.35">
      <c r="A1874">
        <v>361</v>
      </c>
      <c r="B1874" t="s">
        <v>1446</v>
      </c>
      <c r="C1874" t="s">
        <v>231</v>
      </c>
      <c r="D1874" t="s">
        <v>6</v>
      </c>
    </row>
    <row r="1875" spans="1:4" x14ac:dyDescent="0.35">
      <c r="A1875">
        <v>362</v>
      </c>
      <c r="B1875" t="s">
        <v>158</v>
      </c>
      <c r="C1875" t="s">
        <v>157</v>
      </c>
      <c r="D1875" t="s">
        <v>6</v>
      </c>
    </row>
    <row r="1876" spans="1:4" x14ac:dyDescent="0.35">
      <c r="A1876">
        <v>362</v>
      </c>
      <c r="B1876" t="s">
        <v>160</v>
      </c>
      <c r="C1876" t="s">
        <v>157</v>
      </c>
      <c r="D1876" t="s">
        <v>6</v>
      </c>
    </row>
    <row r="1877" spans="1:4" x14ac:dyDescent="0.35">
      <c r="A1877">
        <v>362</v>
      </c>
      <c r="B1877" t="s">
        <v>161</v>
      </c>
      <c r="C1877" t="s">
        <v>157</v>
      </c>
      <c r="D1877" t="s">
        <v>6</v>
      </c>
    </row>
    <row r="1878" spans="1:4" x14ac:dyDescent="0.35">
      <c r="A1878">
        <v>362</v>
      </c>
      <c r="B1878" t="s">
        <v>162</v>
      </c>
      <c r="C1878" t="s">
        <v>93</v>
      </c>
      <c r="D1878" t="s">
        <v>13</v>
      </c>
    </row>
    <row r="1879" spans="1:4" x14ac:dyDescent="0.35">
      <c r="A1879">
        <v>362</v>
      </c>
      <c r="B1879" t="s">
        <v>163</v>
      </c>
      <c r="C1879" t="s">
        <v>157</v>
      </c>
      <c r="D1879" t="s">
        <v>6</v>
      </c>
    </row>
    <row r="1880" spans="1:4" x14ac:dyDescent="0.35">
      <c r="A1880">
        <v>363</v>
      </c>
      <c r="B1880" t="s">
        <v>1447</v>
      </c>
      <c r="C1880" t="s">
        <v>157</v>
      </c>
      <c r="D1880" t="s">
        <v>6</v>
      </c>
    </row>
    <row r="1881" spans="1:4" x14ac:dyDescent="0.35">
      <c r="A1881">
        <v>363</v>
      </c>
      <c r="B1881" t="s">
        <v>1448</v>
      </c>
      <c r="C1881" t="s">
        <v>157</v>
      </c>
      <c r="D1881" t="s">
        <v>6</v>
      </c>
    </row>
    <row r="1882" spans="1:4" x14ac:dyDescent="0.35">
      <c r="A1882">
        <v>363</v>
      </c>
      <c r="B1882" t="s">
        <v>1449</v>
      </c>
      <c r="C1882" t="s">
        <v>157</v>
      </c>
      <c r="D1882" t="s">
        <v>6</v>
      </c>
    </row>
    <row r="1883" spans="1:4" x14ac:dyDescent="0.35">
      <c r="A1883">
        <v>363</v>
      </c>
      <c r="B1883" t="s">
        <v>1450</v>
      </c>
      <c r="C1883" t="s">
        <v>25</v>
      </c>
      <c r="D1883" t="s">
        <v>13</v>
      </c>
    </row>
    <row r="1884" spans="1:4" x14ac:dyDescent="0.35">
      <c r="A1884">
        <v>363</v>
      </c>
      <c r="B1884" t="s">
        <v>1451</v>
      </c>
      <c r="C1884" t="s">
        <v>157</v>
      </c>
      <c r="D1884" t="s">
        <v>6</v>
      </c>
    </row>
    <row r="1885" spans="1:4" x14ac:dyDescent="0.35">
      <c r="A1885">
        <v>364</v>
      </c>
      <c r="B1885" t="s">
        <v>1452</v>
      </c>
      <c r="C1885" t="s">
        <v>157</v>
      </c>
      <c r="D1885" t="s">
        <v>6</v>
      </c>
    </row>
    <row r="1886" spans="1:4" x14ac:dyDescent="0.35">
      <c r="A1886">
        <v>364</v>
      </c>
      <c r="B1886" t="s">
        <v>568</v>
      </c>
      <c r="C1886" t="s">
        <v>72</v>
      </c>
      <c r="D1886" t="s">
        <v>13</v>
      </c>
    </row>
    <row r="1887" spans="1:4" x14ac:dyDescent="0.35">
      <c r="A1887">
        <v>364</v>
      </c>
      <c r="B1887" t="s">
        <v>1453</v>
      </c>
      <c r="C1887" t="s">
        <v>157</v>
      </c>
      <c r="D1887" t="s">
        <v>6</v>
      </c>
    </row>
    <row r="1888" spans="1:4" x14ac:dyDescent="0.35">
      <c r="A1888">
        <v>364</v>
      </c>
      <c r="B1888" t="s">
        <v>569</v>
      </c>
      <c r="C1888" t="s">
        <v>19</v>
      </c>
      <c r="D1888" t="s">
        <v>13</v>
      </c>
    </row>
    <row r="1889" spans="1:4" x14ac:dyDescent="0.35">
      <c r="A1889">
        <v>365</v>
      </c>
      <c r="B1889" t="s">
        <v>1454</v>
      </c>
      <c r="C1889" t="s">
        <v>157</v>
      </c>
      <c r="D1889" t="s">
        <v>6</v>
      </c>
    </row>
    <row r="1890" spans="1:4" x14ac:dyDescent="0.35">
      <c r="A1890">
        <v>365</v>
      </c>
      <c r="B1890" t="s">
        <v>1455</v>
      </c>
      <c r="C1890" t="s">
        <v>189</v>
      </c>
      <c r="D1890" t="s">
        <v>6</v>
      </c>
    </row>
    <row r="1891" spans="1:4" x14ac:dyDescent="0.35">
      <c r="A1891">
        <v>365</v>
      </c>
      <c r="B1891" t="s">
        <v>1456</v>
      </c>
      <c r="C1891" t="s">
        <v>189</v>
      </c>
      <c r="D1891" t="s">
        <v>6</v>
      </c>
    </row>
    <row r="1892" spans="1:4" x14ac:dyDescent="0.35">
      <c r="A1892">
        <v>365</v>
      </c>
      <c r="B1892" t="s">
        <v>1457</v>
      </c>
      <c r="C1892" t="s">
        <v>157</v>
      </c>
      <c r="D1892" t="s">
        <v>6</v>
      </c>
    </row>
    <row r="1893" spans="1:4" x14ac:dyDescent="0.35">
      <c r="A1893">
        <v>365</v>
      </c>
      <c r="B1893" t="s">
        <v>1458</v>
      </c>
      <c r="C1893" t="s">
        <v>189</v>
      </c>
      <c r="D1893" t="s">
        <v>6</v>
      </c>
    </row>
    <row r="1894" spans="1:4" x14ac:dyDescent="0.35">
      <c r="A1894">
        <v>365</v>
      </c>
      <c r="B1894" t="s">
        <v>1459</v>
      </c>
      <c r="C1894" t="s">
        <v>19</v>
      </c>
      <c r="D1894" t="s">
        <v>13</v>
      </c>
    </row>
    <row r="1895" spans="1:4" x14ac:dyDescent="0.35">
      <c r="A1895">
        <v>365</v>
      </c>
      <c r="B1895" t="s">
        <v>1460</v>
      </c>
      <c r="C1895" t="s">
        <v>189</v>
      </c>
      <c r="D1895" t="s">
        <v>6</v>
      </c>
    </row>
    <row r="1896" spans="1:4" x14ac:dyDescent="0.35">
      <c r="A1896">
        <v>365</v>
      </c>
      <c r="B1896" t="s">
        <v>1461</v>
      </c>
      <c r="C1896" t="s">
        <v>157</v>
      </c>
      <c r="D1896" t="s">
        <v>6</v>
      </c>
    </row>
    <row r="1897" spans="1:4" x14ac:dyDescent="0.35">
      <c r="A1897">
        <v>365</v>
      </c>
      <c r="B1897" t="s">
        <v>1462</v>
      </c>
      <c r="C1897" t="s">
        <v>189</v>
      </c>
      <c r="D1897" t="s">
        <v>6</v>
      </c>
    </row>
    <row r="1898" spans="1:4" x14ac:dyDescent="0.35">
      <c r="A1898">
        <v>365</v>
      </c>
      <c r="B1898" t="s">
        <v>1463</v>
      </c>
      <c r="C1898" t="s">
        <v>189</v>
      </c>
      <c r="D1898" t="s">
        <v>6</v>
      </c>
    </row>
    <row r="1899" spans="1:4" x14ac:dyDescent="0.35">
      <c r="A1899">
        <v>365</v>
      </c>
      <c r="B1899" t="s">
        <v>1464</v>
      </c>
      <c r="C1899" t="s">
        <v>56</v>
      </c>
      <c r="D1899" t="s">
        <v>13</v>
      </c>
    </row>
    <row r="1900" spans="1:4" x14ac:dyDescent="0.35">
      <c r="A1900">
        <v>365</v>
      </c>
      <c r="B1900" t="s">
        <v>1465</v>
      </c>
      <c r="C1900" t="s">
        <v>19</v>
      </c>
      <c r="D1900" t="s">
        <v>13</v>
      </c>
    </row>
    <row r="1901" spans="1:4" x14ac:dyDescent="0.35">
      <c r="A1901">
        <v>365</v>
      </c>
      <c r="B1901" t="s">
        <v>1466</v>
      </c>
      <c r="C1901" t="s">
        <v>56</v>
      </c>
      <c r="D1901" t="s">
        <v>13</v>
      </c>
    </row>
    <row r="1902" spans="1:4" x14ac:dyDescent="0.35">
      <c r="A1902">
        <v>366</v>
      </c>
      <c r="B1902" t="s">
        <v>1467</v>
      </c>
      <c r="C1902" t="s">
        <v>5</v>
      </c>
      <c r="D1902" t="s">
        <v>6</v>
      </c>
    </row>
    <row r="1903" spans="1:4" x14ac:dyDescent="0.35">
      <c r="A1903">
        <v>368</v>
      </c>
      <c r="B1903" t="s">
        <v>1468</v>
      </c>
      <c r="C1903" t="s">
        <v>5</v>
      </c>
      <c r="D1903" t="s">
        <v>6</v>
      </c>
    </row>
    <row r="1904" spans="1:4" x14ac:dyDescent="0.35">
      <c r="A1904">
        <v>368</v>
      </c>
      <c r="B1904" t="s">
        <v>1469</v>
      </c>
      <c r="C1904" t="s">
        <v>5</v>
      </c>
      <c r="D1904" t="s">
        <v>6</v>
      </c>
    </row>
    <row r="1905" spans="1:4" x14ac:dyDescent="0.35">
      <c r="A1905">
        <v>369</v>
      </c>
      <c r="B1905" t="s">
        <v>1470</v>
      </c>
      <c r="C1905" t="s">
        <v>16</v>
      </c>
      <c r="D1905" t="s">
        <v>13</v>
      </c>
    </row>
    <row r="1906" spans="1:4" x14ac:dyDescent="0.35">
      <c r="A1906">
        <v>369</v>
      </c>
      <c r="B1906" t="s">
        <v>1471</v>
      </c>
      <c r="C1906" t="s">
        <v>5</v>
      </c>
      <c r="D1906" t="s">
        <v>6</v>
      </c>
    </row>
    <row r="1907" spans="1:4" x14ac:dyDescent="0.35">
      <c r="A1907">
        <v>369</v>
      </c>
      <c r="B1907" t="s">
        <v>62</v>
      </c>
      <c r="C1907" t="s">
        <v>16</v>
      </c>
      <c r="D1907" t="s">
        <v>13</v>
      </c>
    </row>
    <row r="1908" spans="1:4" x14ac:dyDescent="0.35">
      <c r="A1908">
        <v>369</v>
      </c>
      <c r="B1908" t="s">
        <v>1472</v>
      </c>
      <c r="C1908" t="s">
        <v>16</v>
      </c>
      <c r="D1908" t="s">
        <v>13</v>
      </c>
    </row>
    <row r="1909" spans="1:4" x14ac:dyDescent="0.35">
      <c r="A1909">
        <v>369</v>
      </c>
      <c r="B1909" t="s">
        <v>1473</v>
      </c>
      <c r="C1909" t="s">
        <v>5</v>
      </c>
      <c r="D1909" t="s">
        <v>6</v>
      </c>
    </row>
    <row r="1910" spans="1:4" x14ac:dyDescent="0.35">
      <c r="A1910">
        <v>369</v>
      </c>
      <c r="B1910" t="s">
        <v>1474</v>
      </c>
      <c r="C1910" t="s">
        <v>5</v>
      </c>
      <c r="D1910" t="s">
        <v>6</v>
      </c>
    </row>
    <row r="1911" spans="1:4" x14ac:dyDescent="0.35">
      <c r="A1911">
        <v>370</v>
      </c>
      <c r="B1911" t="s">
        <v>1475</v>
      </c>
      <c r="C1911" t="s">
        <v>189</v>
      </c>
      <c r="D1911" t="s">
        <v>6</v>
      </c>
    </row>
    <row r="1912" spans="1:4" x14ac:dyDescent="0.35">
      <c r="A1912">
        <v>370</v>
      </c>
      <c r="B1912" t="s">
        <v>1476</v>
      </c>
      <c r="C1912" t="s">
        <v>189</v>
      </c>
      <c r="D1912" t="s">
        <v>6</v>
      </c>
    </row>
    <row r="1913" spans="1:4" x14ac:dyDescent="0.35">
      <c r="A1913">
        <v>370</v>
      </c>
      <c r="B1913" t="s">
        <v>1477</v>
      </c>
      <c r="C1913" t="s">
        <v>189</v>
      </c>
      <c r="D1913" t="s">
        <v>6</v>
      </c>
    </row>
    <row r="1914" spans="1:4" x14ac:dyDescent="0.35">
      <c r="A1914">
        <v>371</v>
      </c>
      <c r="B1914" t="s">
        <v>327</v>
      </c>
      <c r="C1914" t="s">
        <v>101</v>
      </c>
      <c r="D1914" t="s">
        <v>6</v>
      </c>
    </row>
    <row r="1915" spans="1:4" x14ac:dyDescent="0.35">
      <c r="A1915">
        <v>371</v>
      </c>
      <c r="B1915" t="s">
        <v>303</v>
      </c>
      <c r="C1915" t="s">
        <v>93</v>
      </c>
      <c r="D1915" t="s">
        <v>13</v>
      </c>
    </row>
    <row r="1916" spans="1:4" x14ac:dyDescent="0.35">
      <c r="A1916">
        <v>371</v>
      </c>
      <c r="B1916" t="s">
        <v>303</v>
      </c>
      <c r="C1916" t="s">
        <v>101</v>
      </c>
      <c r="D1916" t="s">
        <v>6</v>
      </c>
    </row>
    <row r="1917" spans="1:4" x14ac:dyDescent="0.35">
      <c r="A1917">
        <v>371</v>
      </c>
      <c r="B1917" t="s">
        <v>616</v>
      </c>
      <c r="C1917" t="s">
        <v>93</v>
      </c>
      <c r="D1917" t="s">
        <v>13</v>
      </c>
    </row>
    <row r="1918" spans="1:4" x14ac:dyDescent="0.35">
      <c r="A1918">
        <v>371</v>
      </c>
      <c r="B1918" t="s">
        <v>1478</v>
      </c>
      <c r="C1918" t="s">
        <v>93</v>
      </c>
      <c r="D1918" t="s">
        <v>13</v>
      </c>
    </row>
    <row r="1919" spans="1:4" x14ac:dyDescent="0.35">
      <c r="A1919">
        <v>372</v>
      </c>
      <c r="B1919" t="s">
        <v>1479</v>
      </c>
      <c r="C1919" t="s">
        <v>189</v>
      </c>
      <c r="D1919" t="s">
        <v>6</v>
      </c>
    </row>
    <row r="1920" spans="1:4" x14ac:dyDescent="0.35">
      <c r="A1920">
        <v>372</v>
      </c>
      <c r="B1920" t="s">
        <v>1480</v>
      </c>
      <c r="C1920" t="s">
        <v>35</v>
      </c>
      <c r="D1920" t="s">
        <v>13</v>
      </c>
    </row>
    <row r="1921" spans="1:4" x14ac:dyDescent="0.35">
      <c r="A1921">
        <v>372</v>
      </c>
      <c r="B1921" t="s">
        <v>1481</v>
      </c>
      <c r="C1921" t="s">
        <v>35</v>
      </c>
      <c r="D1921" t="s">
        <v>13</v>
      </c>
    </row>
    <row r="1922" spans="1:4" x14ac:dyDescent="0.35">
      <c r="A1922">
        <v>372</v>
      </c>
      <c r="B1922" t="s">
        <v>1482</v>
      </c>
      <c r="C1922" t="s">
        <v>35</v>
      </c>
      <c r="D1922" t="s">
        <v>13</v>
      </c>
    </row>
    <row r="1923" spans="1:4" x14ac:dyDescent="0.35">
      <c r="A1923">
        <v>372</v>
      </c>
      <c r="B1923" t="s">
        <v>1483</v>
      </c>
      <c r="C1923" t="s">
        <v>35</v>
      </c>
      <c r="D1923" t="s">
        <v>13</v>
      </c>
    </row>
    <row r="1924" spans="1:4" x14ac:dyDescent="0.35">
      <c r="A1924">
        <v>372</v>
      </c>
      <c r="B1924" t="s">
        <v>1484</v>
      </c>
      <c r="C1924" t="s">
        <v>19</v>
      </c>
      <c r="D1924" t="s">
        <v>13</v>
      </c>
    </row>
    <row r="1925" spans="1:4" x14ac:dyDescent="0.35">
      <c r="A1925">
        <v>372</v>
      </c>
      <c r="B1925" t="s">
        <v>1485</v>
      </c>
      <c r="C1925" t="s">
        <v>189</v>
      </c>
      <c r="D1925" t="s">
        <v>6</v>
      </c>
    </row>
    <row r="1926" spans="1:4" x14ac:dyDescent="0.35">
      <c r="A1926">
        <v>372</v>
      </c>
      <c r="B1926" t="s">
        <v>659</v>
      </c>
      <c r="C1926" t="s">
        <v>189</v>
      </c>
      <c r="D1926" t="s">
        <v>6</v>
      </c>
    </row>
    <row r="1927" spans="1:4" x14ac:dyDescent="0.35">
      <c r="A1927">
        <v>373</v>
      </c>
      <c r="B1927" t="s">
        <v>1486</v>
      </c>
      <c r="C1927" t="s">
        <v>56</v>
      </c>
      <c r="D1927" t="s">
        <v>13</v>
      </c>
    </row>
    <row r="1928" spans="1:4" x14ac:dyDescent="0.35">
      <c r="A1928">
        <v>373</v>
      </c>
      <c r="B1928" t="s">
        <v>1487</v>
      </c>
      <c r="C1928" t="s">
        <v>189</v>
      </c>
      <c r="D1928" t="s">
        <v>6</v>
      </c>
    </row>
    <row r="1929" spans="1:4" x14ac:dyDescent="0.35">
      <c r="A1929">
        <v>373</v>
      </c>
      <c r="B1929" t="s">
        <v>1487</v>
      </c>
      <c r="C1929" t="s">
        <v>56</v>
      </c>
      <c r="D1929" t="s">
        <v>13</v>
      </c>
    </row>
    <row r="1930" spans="1:4" x14ac:dyDescent="0.35">
      <c r="A1930">
        <v>373</v>
      </c>
      <c r="B1930" t="s">
        <v>1487</v>
      </c>
      <c r="C1930" t="s">
        <v>19</v>
      </c>
      <c r="D1930" t="s">
        <v>13</v>
      </c>
    </row>
    <row r="1931" spans="1:4" x14ac:dyDescent="0.35">
      <c r="A1931">
        <v>373</v>
      </c>
      <c r="B1931" t="s">
        <v>1117</v>
      </c>
      <c r="C1931" t="s">
        <v>56</v>
      </c>
      <c r="D1931" t="s">
        <v>13</v>
      </c>
    </row>
    <row r="1932" spans="1:4" x14ac:dyDescent="0.35">
      <c r="A1932">
        <v>373</v>
      </c>
      <c r="B1932" t="s">
        <v>1488</v>
      </c>
      <c r="C1932" t="s">
        <v>35</v>
      </c>
      <c r="D1932" t="s">
        <v>13</v>
      </c>
    </row>
    <row r="1933" spans="1:4" x14ac:dyDescent="0.35">
      <c r="A1933">
        <v>373</v>
      </c>
      <c r="B1933" t="s">
        <v>1488</v>
      </c>
      <c r="C1933" t="s">
        <v>56</v>
      </c>
      <c r="D1933" t="s">
        <v>13</v>
      </c>
    </row>
    <row r="1934" spans="1:4" x14ac:dyDescent="0.35">
      <c r="A1934">
        <v>374</v>
      </c>
      <c r="B1934" t="s">
        <v>1124</v>
      </c>
      <c r="C1934" t="s">
        <v>231</v>
      </c>
      <c r="D1934" t="s">
        <v>6</v>
      </c>
    </row>
    <row r="1935" spans="1:4" x14ac:dyDescent="0.35">
      <c r="A1935">
        <v>374</v>
      </c>
      <c r="B1935" t="s">
        <v>228</v>
      </c>
      <c r="C1935" t="s">
        <v>157</v>
      </c>
      <c r="D1935" t="s">
        <v>6</v>
      </c>
    </row>
    <row r="1936" spans="1:4" x14ac:dyDescent="0.35">
      <c r="A1936">
        <v>374</v>
      </c>
      <c r="B1936" t="s">
        <v>242</v>
      </c>
      <c r="C1936" t="s">
        <v>231</v>
      </c>
      <c r="D1936" t="s">
        <v>6</v>
      </c>
    </row>
    <row r="1937" spans="1:4" x14ac:dyDescent="0.35">
      <c r="A1937">
        <v>374</v>
      </c>
      <c r="B1937" t="s">
        <v>230</v>
      </c>
      <c r="C1937" t="s">
        <v>157</v>
      </c>
      <c r="D1937" t="s">
        <v>6</v>
      </c>
    </row>
    <row r="1938" spans="1:4" x14ac:dyDescent="0.35">
      <c r="A1938">
        <v>374</v>
      </c>
      <c r="B1938" t="s">
        <v>230</v>
      </c>
      <c r="C1938" t="s">
        <v>231</v>
      </c>
      <c r="D1938" t="s">
        <v>6</v>
      </c>
    </row>
    <row r="1939" spans="1:4" x14ac:dyDescent="0.35">
      <c r="A1939">
        <v>374</v>
      </c>
      <c r="B1939" t="s">
        <v>243</v>
      </c>
      <c r="C1939" t="s">
        <v>231</v>
      </c>
      <c r="D1939" t="s">
        <v>6</v>
      </c>
    </row>
    <row r="1940" spans="1:4" x14ac:dyDescent="0.35">
      <c r="A1940">
        <v>375</v>
      </c>
      <c r="B1940" t="s">
        <v>1489</v>
      </c>
      <c r="C1940" t="s">
        <v>189</v>
      </c>
      <c r="D1940" t="s">
        <v>6</v>
      </c>
    </row>
    <row r="1941" spans="1:4" x14ac:dyDescent="0.35">
      <c r="A1941">
        <v>375</v>
      </c>
      <c r="B1941" t="s">
        <v>1490</v>
      </c>
      <c r="C1941" t="s">
        <v>189</v>
      </c>
      <c r="D1941" t="s">
        <v>6</v>
      </c>
    </row>
    <row r="1942" spans="1:4" x14ac:dyDescent="0.35">
      <c r="A1942">
        <v>375</v>
      </c>
      <c r="B1942" t="s">
        <v>840</v>
      </c>
      <c r="C1942" t="s">
        <v>189</v>
      </c>
      <c r="D1942" t="s">
        <v>6</v>
      </c>
    </row>
    <row r="1943" spans="1:4" x14ac:dyDescent="0.35">
      <c r="A1943">
        <v>376</v>
      </c>
      <c r="B1943" t="s">
        <v>584</v>
      </c>
      <c r="C1943" t="s">
        <v>231</v>
      </c>
      <c r="D1943" t="s">
        <v>6</v>
      </c>
    </row>
    <row r="1944" spans="1:4" x14ac:dyDescent="0.35">
      <c r="A1944">
        <v>376</v>
      </c>
      <c r="B1944" t="s">
        <v>1491</v>
      </c>
      <c r="C1944" t="s">
        <v>231</v>
      </c>
      <c r="D1944" t="s">
        <v>6</v>
      </c>
    </row>
    <row r="1945" spans="1:4" x14ac:dyDescent="0.35">
      <c r="A1945">
        <v>376</v>
      </c>
      <c r="B1945" t="s">
        <v>585</v>
      </c>
      <c r="C1945" t="s">
        <v>231</v>
      </c>
      <c r="D1945" t="s">
        <v>6</v>
      </c>
    </row>
    <row r="1946" spans="1:4" x14ac:dyDescent="0.35">
      <c r="A1946">
        <v>376</v>
      </c>
      <c r="B1946" t="s">
        <v>585</v>
      </c>
      <c r="C1946" t="s">
        <v>586</v>
      </c>
      <c r="D1946" t="s">
        <v>13</v>
      </c>
    </row>
    <row r="1947" spans="1:4" x14ac:dyDescent="0.35">
      <c r="A1947">
        <v>376</v>
      </c>
      <c r="B1947" t="s">
        <v>421</v>
      </c>
      <c r="C1947" t="s">
        <v>231</v>
      </c>
      <c r="D1947" t="s">
        <v>6</v>
      </c>
    </row>
    <row r="1948" spans="1:4" x14ac:dyDescent="0.35">
      <c r="A1948">
        <v>376</v>
      </c>
      <c r="B1948" t="s">
        <v>1041</v>
      </c>
      <c r="C1948" t="s">
        <v>231</v>
      </c>
      <c r="D1948" t="s">
        <v>6</v>
      </c>
    </row>
    <row r="1949" spans="1:4" x14ac:dyDescent="0.35">
      <c r="A1949">
        <v>377</v>
      </c>
      <c r="B1949" t="s">
        <v>1043</v>
      </c>
      <c r="C1949" t="s">
        <v>231</v>
      </c>
      <c r="D1949" t="s">
        <v>6</v>
      </c>
    </row>
    <row r="1950" spans="1:4" x14ac:dyDescent="0.35">
      <c r="A1950">
        <v>377</v>
      </c>
      <c r="B1950" t="s">
        <v>1044</v>
      </c>
      <c r="C1950" t="s">
        <v>231</v>
      </c>
      <c r="D1950" t="s">
        <v>6</v>
      </c>
    </row>
    <row r="1951" spans="1:4" x14ac:dyDescent="0.35">
      <c r="A1951">
        <v>377</v>
      </c>
      <c r="B1951" t="s">
        <v>1044</v>
      </c>
      <c r="C1951" t="s">
        <v>153</v>
      </c>
      <c r="D1951" t="s">
        <v>13</v>
      </c>
    </row>
    <row r="1952" spans="1:4" x14ac:dyDescent="0.35">
      <c r="A1952">
        <v>378</v>
      </c>
      <c r="B1952" t="s">
        <v>1492</v>
      </c>
      <c r="C1952" t="s">
        <v>98</v>
      </c>
      <c r="D1952" t="s">
        <v>13</v>
      </c>
    </row>
    <row r="1953" spans="1:4" x14ac:dyDescent="0.35">
      <c r="A1953">
        <v>378</v>
      </c>
      <c r="B1953" t="s">
        <v>1493</v>
      </c>
      <c r="C1953" t="s">
        <v>341</v>
      </c>
      <c r="D1953" t="s">
        <v>13</v>
      </c>
    </row>
    <row r="1954" spans="1:4" x14ac:dyDescent="0.35">
      <c r="A1954">
        <v>378</v>
      </c>
      <c r="B1954" t="s">
        <v>1493</v>
      </c>
      <c r="C1954" t="s">
        <v>98</v>
      </c>
      <c r="D1954" t="s">
        <v>13</v>
      </c>
    </row>
    <row r="1955" spans="1:4" x14ac:dyDescent="0.35">
      <c r="A1955">
        <v>378</v>
      </c>
      <c r="B1955" t="s">
        <v>1494</v>
      </c>
      <c r="C1955" t="s">
        <v>517</v>
      </c>
      <c r="D1955" t="s">
        <v>13</v>
      </c>
    </row>
    <row r="1956" spans="1:4" x14ac:dyDescent="0.35">
      <c r="A1956">
        <v>378</v>
      </c>
      <c r="B1956" t="s">
        <v>1495</v>
      </c>
      <c r="C1956" t="s">
        <v>517</v>
      </c>
      <c r="D1956" t="s">
        <v>13</v>
      </c>
    </row>
    <row r="1957" spans="1:4" x14ac:dyDescent="0.35">
      <c r="A1957">
        <v>378</v>
      </c>
      <c r="B1957" t="s">
        <v>1496</v>
      </c>
      <c r="C1957" t="s">
        <v>19</v>
      </c>
      <c r="D1957" t="s">
        <v>13</v>
      </c>
    </row>
    <row r="1958" spans="1:4" x14ac:dyDescent="0.35">
      <c r="A1958">
        <v>378</v>
      </c>
      <c r="B1958" t="s">
        <v>1497</v>
      </c>
      <c r="C1958" t="s">
        <v>517</v>
      </c>
      <c r="D1958" t="s">
        <v>13</v>
      </c>
    </row>
    <row r="1959" spans="1:4" x14ac:dyDescent="0.35">
      <c r="A1959">
        <v>378</v>
      </c>
      <c r="B1959" t="s">
        <v>1498</v>
      </c>
      <c r="C1959" t="s">
        <v>517</v>
      </c>
      <c r="D1959" t="s">
        <v>13</v>
      </c>
    </row>
    <row r="1960" spans="1:4" x14ac:dyDescent="0.35">
      <c r="A1960">
        <v>378</v>
      </c>
      <c r="B1960" t="s">
        <v>1499</v>
      </c>
      <c r="C1960" t="s">
        <v>98</v>
      </c>
      <c r="D1960" t="s">
        <v>13</v>
      </c>
    </row>
    <row r="1961" spans="1:4" x14ac:dyDescent="0.35">
      <c r="A1961">
        <v>378</v>
      </c>
      <c r="B1961" t="s">
        <v>1500</v>
      </c>
      <c r="C1961" t="s">
        <v>517</v>
      </c>
      <c r="D1961" t="s">
        <v>13</v>
      </c>
    </row>
    <row r="1962" spans="1:4" x14ac:dyDescent="0.35">
      <c r="A1962">
        <v>378</v>
      </c>
      <c r="B1962" t="s">
        <v>1501</v>
      </c>
      <c r="C1962" t="s">
        <v>517</v>
      </c>
      <c r="D1962" t="s">
        <v>13</v>
      </c>
    </row>
    <row r="1963" spans="1:4" x14ac:dyDescent="0.35">
      <c r="A1963">
        <v>378</v>
      </c>
      <c r="B1963" t="s">
        <v>1502</v>
      </c>
      <c r="C1963" t="s">
        <v>517</v>
      </c>
      <c r="D1963" t="s">
        <v>13</v>
      </c>
    </row>
    <row r="1964" spans="1:4" x14ac:dyDescent="0.35">
      <c r="A1964">
        <v>378</v>
      </c>
      <c r="B1964" t="s">
        <v>1503</v>
      </c>
      <c r="C1964" t="s">
        <v>64</v>
      </c>
      <c r="D1964" t="s">
        <v>13</v>
      </c>
    </row>
    <row r="1965" spans="1:4" x14ac:dyDescent="0.35">
      <c r="A1965">
        <v>378</v>
      </c>
      <c r="B1965" t="s">
        <v>1504</v>
      </c>
      <c r="C1965" t="s">
        <v>517</v>
      </c>
      <c r="D1965" t="s">
        <v>13</v>
      </c>
    </row>
    <row r="1966" spans="1:4" x14ac:dyDescent="0.35">
      <c r="A1966">
        <v>378</v>
      </c>
      <c r="B1966" t="s">
        <v>1505</v>
      </c>
      <c r="C1966" t="s">
        <v>341</v>
      </c>
      <c r="D1966" t="s">
        <v>13</v>
      </c>
    </row>
    <row r="1967" spans="1:4" x14ac:dyDescent="0.35">
      <c r="A1967">
        <v>378</v>
      </c>
      <c r="B1967" t="s">
        <v>1506</v>
      </c>
      <c r="C1967" t="s">
        <v>93</v>
      </c>
      <c r="D1967" t="s">
        <v>13</v>
      </c>
    </row>
    <row r="1968" spans="1:4" x14ac:dyDescent="0.35">
      <c r="A1968">
        <v>378</v>
      </c>
      <c r="B1968" t="s">
        <v>1507</v>
      </c>
      <c r="C1968" t="s">
        <v>93</v>
      </c>
      <c r="D1968" t="s">
        <v>13</v>
      </c>
    </row>
    <row r="1969" spans="1:4" x14ac:dyDescent="0.35">
      <c r="A1969">
        <v>378</v>
      </c>
      <c r="B1969" t="s">
        <v>1508</v>
      </c>
      <c r="C1969" t="s">
        <v>517</v>
      </c>
      <c r="D1969" t="s">
        <v>13</v>
      </c>
    </row>
    <row r="1970" spans="1:4" x14ac:dyDescent="0.35">
      <c r="A1970">
        <v>378</v>
      </c>
      <c r="B1970" t="s">
        <v>1509</v>
      </c>
      <c r="C1970" t="s">
        <v>98</v>
      </c>
      <c r="D1970" t="s">
        <v>13</v>
      </c>
    </row>
    <row r="1971" spans="1:4" x14ac:dyDescent="0.35">
      <c r="A1971">
        <v>378</v>
      </c>
      <c r="B1971" t="s">
        <v>1510</v>
      </c>
      <c r="C1971" t="s">
        <v>72</v>
      </c>
      <c r="D1971" t="s">
        <v>13</v>
      </c>
    </row>
    <row r="1972" spans="1:4" x14ac:dyDescent="0.35">
      <c r="A1972">
        <v>379</v>
      </c>
      <c r="B1972" t="s">
        <v>1511</v>
      </c>
      <c r="C1972" t="s">
        <v>189</v>
      </c>
      <c r="D1972" t="s">
        <v>6</v>
      </c>
    </row>
    <row r="1973" spans="1:4" x14ac:dyDescent="0.35">
      <c r="A1973">
        <v>379</v>
      </c>
      <c r="B1973" t="s">
        <v>1016</v>
      </c>
      <c r="C1973" t="s">
        <v>189</v>
      </c>
      <c r="D1973" t="s">
        <v>6</v>
      </c>
    </row>
    <row r="1974" spans="1:4" x14ac:dyDescent="0.35">
      <c r="A1974">
        <v>380</v>
      </c>
      <c r="B1974" t="s">
        <v>1512</v>
      </c>
      <c r="C1974" t="s">
        <v>231</v>
      </c>
      <c r="D1974" t="s">
        <v>6</v>
      </c>
    </row>
    <row r="1975" spans="1:4" x14ac:dyDescent="0.35">
      <c r="A1975">
        <v>380</v>
      </c>
      <c r="B1975" t="s">
        <v>1513</v>
      </c>
      <c r="C1975" t="s">
        <v>231</v>
      </c>
      <c r="D1975" t="s">
        <v>6</v>
      </c>
    </row>
    <row r="1976" spans="1:4" x14ac:dyDescent="0.35">
      <c r="A1976">
        <v>380</v>
      </c>
      <c r="B1976" t="s">
        <v>1514</v>
      </c>
      <c r="C1976" t="s">
        <v>231</v>
      </c>
      <c r="D1976" t="s">
        <v>6</v>
      </c>
    </row>
    <row r="1977" spans="1:4" x14ac:dyDescent="0.35">
      <c r="A1977">
        <v>381</v>
      </c>
      <c r="B1977" t="s">
        <v>1515</v>
      </c>
      <c r="C1977" t="s">
        <v>19</v>
      </c>
      <c r="D1977" t="s">
        <v>13</v>
      </c>
    </row>
    <row r="1978" spans="1:4" x14ac:dyDescent="0.35">
      <c r="A1978">
        <v>381</v>
      </c>
      <c r="B1978" t="s">
        <v>1516</v>
      </c>
      <c r="C1978" t="s">
        <v>19</v>
      </c>
      <c r="D1978" t="s">
        <v>13</v>
      </c>
    </row>
    <row r="1979" spans="1:4" x14ac:dyDescent="0.35">
      <c r="A1979">
        <v>382</v>
      </c>
      <c r="B1979" t="s">
        <v>412</v>
      </c>
      <c r="C1979" t="s">
        <v>189</v>
      </c>
      <c r="D1979" t="s">
        <v>6</v>
      </c>
    </row>
    <row r="1980" spans="1:4" x14ac:dyDescent="0.35">
      <c r="A1980">
        <v>382</v>
      </c>
      <c r="B1980" t="s">
        <v>356</v>
      </c>
      <c r="C1980" t="s">
        <v>231</v>
      </c>
      <c r="D1980" t="s">
        <v>6</v>
      </c>
    </row>
    <row r="1981" spans="1:4" x14ac:dyDescent="0.35">
      <c r="A1981">
        <v>382</v>
      </c>
      <c r="B1981" t="s">
        <v>293</v>
      </c>
      <c r="C1981" t="s">
        <v>101</v>
      </c>
      <c r="D1981" t="s">
        <v>6</v>
      </c>
    </row>
    <row r="1982" spans="1:4" x14ac:dyDescent="0.35">
      <c r="A1982">
        <v>382</v>
      </c>
      <c r="B1982" t="s">
        <v>357</v>
      </c>
      <c r="C1982" t="s">
        <v>231</v>
      </c>
      <c r="D1982" t="s">
        <v>6</v>
      </c>
    </row>
    <row r="1983" spans="1:4" x14ac:dyDescent="0.35">
      <c r="A1983">
        <v>382</v>
      </c>
      <c r="B1983" t="s">
        <v>348</v>
      </c>
      <c r="C1983" t="s">
        <v>45</v>
      </c>
      <c r="D1983" t="s">
        <v>6</v>
      </c>
    </row>
    <row r="1984" spans="1:4" x14ac:dyDescent="0.35">
      <c r="A1984">
        <v>382</v>
      </c>
      <c r="B1984" t="s">
        <v>418</v>
      </c>
      <c r="C1984" t="s">
        <v>45</v>
      </c>
      <c r="D1984" t="s">
        <v>6</v>
      </c>
    </row>
    <row r="1985" spans="1:4" x14ac:dyDescent="0.35">
      <c r="A1985">
        <v>382</v>
      </c>
      <c r="B1985" t="s">
        <v>417</v>
      </c>
      <c r="C1985" t="s">
        <v>5</v>
      </c>
      <c r="D1985" t="s">
        <v>6</v>
      </c>
    </row>
    <row r="1986" spans="1:4" x14ac:dyDescent="0.35">
      <c r="A1986">
        <v>382</v>
      </c>
      <c r="B1986" t="s">
        <v>291</v>
      </c>
      <c r="C1986" t="s">
        <v>45</v>
      </c>
      <c r="D1986" t="s">
        <v>6</v>
      </c>
    </row>
    <row r="1987" spans="1:4" x14ac:dyDescent="0.35">
      <c r="A1987">
        <v>382</v>
      </c>
      <c r="B1987" t="s">
        <v>360</v>
      </c>
      <c r="C1987" t="s">
        <v>231</v>
      </c>
      <c r="D1987" t="s">
        <v>6</v>
      </c>
    </row>
    <row r="1988" spans="1:4" x14ac:dyDescent="0.35">
      <c r="A1988">
        <v>383</v>
      </c>
      <c r="B1988" t="s">
        <v>1367</v>
      </c>
      <c r="C1988" t="s">
        <v>352</v>
      </c>
      <c r="D1988" t="s">
        <v>13</v>
      </c>
    </row>
    <row r="1989" spans="1:4" x14ac:dyDescent="0.35">
      <c r="A1989">
        <v>383</v>
      </c>
      <c r="B1989" t="s">
        <v>1517</v>
      </c>
      <c r="C1989" t="s">
        <v>352</v>
      </c>
      <c r="D1989" t="s">
        <v>13</v>
      </c>
    </row>
    <row r="1990" spans="1:4" x14ac:dyDescent="0.35">
      <c r="A1990">
        <v>383</v>
      </c>
      <c r="B1990" t="s">
        <v>1518</v>
      </c>
      <c r="C1990" t="s">
        <v>352</v>
      </c>
      <c r="D1990" t="s">
        <v>13</v>
      </c>
    </row>
    <row r="1991" spans="1:4" x14ac:dyDescent="0.35">
      <c r="A1991">
        <v>383</v>
      </c>
      <c r="B1991" t="s">
        <v>1519</v>
      </c>
      <c r="C1991" t="s">
        <v>72</v>
      </c>
      <c r="D1991" t="s">
        <v>13</v>
      </c>
    </row>
    <row r="1992" spans="1:4" x14ac:dyDescent="0.35">
      <c r="A1992">
        <v>384</v>
      </c>
      <c r="B1992" t="s">
        <v>1520</v>
      </c>
      <c r="C1992" t="s">
        <v>72</v>
      </c>
      <c r="D1992" t="s">
        <v>13</v>
      </c>
    </row>
    <row r="1993" spans="1:4" x14ac:dyDescent="0.35">
      <c r="A1993">
        <v>384</v>
      </c>
      <c r="B1993" t="s">
        <v>1146</v>
      </c>
      <c r="C1993" t="s">
        <v>72</v>
      </c>
      <c r="D1993" t="s">
        <v>13</v>
      </c>
    </row>
    <row r="1994" spans="1:4" x14ac:dyDescent="0.35">
      <c r="A1994">
        <v>384</v>
      </c>
      <c r="B1994" t="s">
        <v>1521</v>
      </c>
      <c r="C1994" t="s">
        <v>72</v>
      </c>
      <c r="D1994" t="s">
        <v>13</v>
      </c>
    </row>
    <row r="1995" spans="1:4" x14ac:dyDescent="0.35">
      <c r="A1995">
        <v>385</v>
      </c>
      <c r="B1995" t="s">
        <v>1522</v>
      </c>
      <c r="C1995" t="s">
        <v>45</v>
      </c>
      <c r="D1995" t="s">
        <v>6</v>
      </c>
    </row>
    <row r="1996" spans="1:4" x14ac:dyDescent="0.35">
      <c r="A1996">
        <v>385</v>
      </c>
      <c r="B1996" t="s">
        <v>1523</v>
      </c>
      <c r="C1996" t="s">
        <v>261</v>
      </c>
      <c r="D1996" t="s">
        <v>13</v>
      </c>
    </row>
    <row r="1997" spans="1:4" x14ac:dyDescent="0.35">
      <c r="A1997">
        <v>385</v>
      </c>
      <c r="B1997" t="s">
        <v>1524</v>
      </c>
      <c r="C1997" t="s">
        <v>261</v>
      </c>
      <c r="D1997" t="s">
        <v>13</v>
      </c>
    </row>
    <row r="1998" spans="1:4" x14ac:dyDescent="0.35">
      <c r="A1998">
        <v>385</v>
      </c>
      <c r="B1998" t="s">
        <v>1524</v>
      </c>
      <c r="C1998" t="s">
        <v>45</v>
      </c>
      <c r="D1998" t="s">
        <v>6</v>
      </c>
    </row>
    <row r="1999" spans="1:4" x14ac:dyDescent="0.35">
      <c r="A1999">
        <v>385</v>
      </c>
      <c r="B1999" t="s">
        <v>1525</v>
      </c>
      <c r="C1999" t="s">
        <v>45</v>
      </c>
      <c r="D1999" t="s">
        <v>6</v>
      </c>
    </row>
    <row r="2000" spans="1:4" x14ac:dyDescent="0.35">
      <c r="A2000">
        <v>385</v>
      </c>
      <c r="B2000" t="s">
        <v>1526</v>
      </c>
      <c r="C2000" t="s">
        <v>45</v>
      </c>
      <c r="D2000" t="s">
        <v>6</v>
      </c>
    </row>
    <row r="2001" spans="1:4" x14ac:dyDescent="0.35">
      <c r="A2001">
        <v>386</v>
      </c>
      <c r="B2001" t="s">
        <v>1527</v>
      </c>
      <c r="C2001" t="s">
        <v>48</v>
      </c>
      <c r="D2001" t="s">
        <v>13</v>
      </c>
    </row>
    <row r="2002" spans="1:4" x14ac:dyDescent="0.35">
      <c r="A2002">
        <v>387</v>
      </c>
      <c r="B2002" t="s">
        <v>1528</v>
      </c>
      <c r="C2002" t="s">
        <v>45</v>
      </c>
      <c r="D2002" t="s">
        <v>6</v>
      </c>
    </row>
    <row r="2003" spans="1:4" x14ac:dyDescent="0.35">
      <c r="A2003">
        <v>388</v>
      </c>
      <c r="B2003" t="s">
        <v>1529</v>
      </c>
      <c r="C2003" t="s">
        <v>189</v>
      </c>
      <c r="D2003" t="s">
        <v>6</v>
      </c>
    </row>
    <row r="2004" spans="1:4" x14ac:dyDescent="0.35">
      <c r="A2004">
        <v>388</v>
      </c>
      <c r="B2004" t="s">
        <v>1530</v>
      </c>
      <c r="C2004" t="s">
        <v>261</v>
      </c>
      <c r="D2004" t="s">
        <v>13</v>
      </c>
    </row>
    <row r="2005" spans="1:4" x14ac:dyDescent="0.35">
      <c r="A2005">
        <v>388</v>
      </c>
      <c r="B2005" t="s">
        <v>1531</v>
      </c>
      <c r="C2005" t="s">
        <v>261</v>
      </c>
      <c r="D2005" t="s">
        <v>13</v>
      </c>
    </row>
    <row r="2006" spans="1:4" x14ac:dyDescent="0.35">
      <c r="A2006">
        <v>388</v>
      </c>
      <c r="B2006" t="s">
        <v>1531</v>
      </c>
      <c r="C2006" t="s">
        <v>189</v>
      </c>
      <c r="D2006" t="s">
        <v>6</v>
      </c>
    </row>
    <row r="2007" spans="1:4" x14ac:dyDescent="0.35">
      <c r="A2007">
        <v>388</v>
      </c>
      <c r="B2007" t="s">
        <v>1532</v>
      </c>
      <c r="C2007" t="s">
        <v>261</v>
      </c>
      <c r="D2007" t="s">
        <v>13</v>
      </c>
    </row>
    <row r="2008" spans="1:4" x14ac:dyDescent="0.35">
      <c r="A2008">
        <v>389</v>
      </c>
      <c r="B2008" t="s">
        <v>1115</v>
      </c>
      <c r="C2008" t="s">
        <v>56</v>
      </c>
      <c r="D2008" t="s">
        <v>13</v>
      </c>
    </row>
    <row r="2009" spans="1:4" x14ac:dyDescent="0.35">
      <c r="A2009">
        <v>389</v>
      </c>
      <c r="B2009" t="s">
        <v>1115</v>
      </c>
      <c r="C2009" t="s">
        <v>189</v>
      </c>
      <c r="D2009" t="s">
        <v>6</v>
      </c>
    </row>
    <row r="2010" spans="1:4" x14ac:dyDescent="0.35">
      <c r="A2010">
        <v>389</v>
      </c>
      <c r="B2010" t="s">
        <v>1533</v>
      </c>
      <c r="C2010" t="s">
        <v>56</v>
      </c>
      <c r="D2010" t="s">
        <v>13</v>
      </c>
    </row>
    <row r="2011" spans="1:4" x14ac:dyDescent="0.35">
      <c r="A2011">
        <v>389</v>
      </c>
      <c r="B2011" t="s">
        <v>1534</v>
      </c>
      <c r="C2011" t="s">
        <v>56</v>
      </c>
      <c r="D2011" t="s">
        <v>13</v>
      </c>
    </row>
    <row r="2012" spans="1:4" x14ac:dyDescent="0.35">
      <c r="A2012">
        <v>390</v>
      </c>
      <c r="B2012" t="s">
        <v>1535</v>
      </c>
      <c r="C2012" t="s">
        <v>144</v>
      </c>
      <c r="D2012" t="s">
        <v>13</v>
      </c>
    </row>
    <row r="2013" spans="1:4" x14ac:dyDescent="0.35">
      <c r="A2013">
        <v>390</v>
      </c>
      <c r="B2013" t="s">
        <v>1536</v>
      </c>
      <c r="C2013" t="s">
        <v>144</v>
      </c>
      <c r="D2013" t="s">
        <v>13</v>
      </c>
    </row>
    <row r="2014" spans="1:4" x14ac:dyDescent="0.35">
      <c r="A2014">
        <v>390</v>
      </c>
      <c r="B2014" t="s">
        <v>1537</v>
      </c>
      <c r="C2014" t="s">
        <v>144</v>
      </c>
      <c r="D2014" t="s">
        <v>13</v>
      </c>
    </row>
    <row r="2015" spans="1:4" x14ac:dyDescent="0.35">
      <c r="A2015">
        <v>390</v>
      </c>
      <c r="B2015" t="s">
        <v>1538</v>
      </c>
      <c r="C2015" t="s">
        <v>144</v>
      </c>
      <c r="D2015" t="s">
        <v>13</v>
      </c>
    </row>
    <row r="2016" spans="1:4" x14ac:dyDescent="0.35">
      <c r="A2016">
        <v>391</v>
      </c>
      <c r="B2016" t="s">
        <v>1539</v>
      </c>
      <c r="C2016" t="s">
        <v>189</v>
      </c>
      <c r="D2016" t="s">
        <v>6</v>
      </c>
    </row>
    <row r="2017" spans="1:4" x14ac:dyDescent="0.35">
      <c r="A2017">
        <v>391</v>
      </c>
      <c r="B2017" t="s">
        <v>1540</v>
      </c>
      <c r="C2017" t="s">
        <v>189</v>
      </c>
      <c r="D2017" t="s">
        <v>6</v>
      </c>
    </row>
    <row r="2018" spans="1:4" x14ac:dyDescent="0.35">
      <c r="A2018">
        <v>391</v>
      </c>
      <c r="B2018" t="s">
        <v>1541</v>
      </c>
      <c r="C2018" t="s">
        <v>189</v>
      </c>
      <c r="D2018" t="s">
        <v>6</v>
      </c>
    </row>
    <row r="2019" spans="1:4" x14ac:dyDescent="0.35">
      <c r="A2019">
        <v>392</v>
      </c>
      <c r="B2019" t="s">
        <v>1542</v>
      </c>
      <c r="C2019" t="s">
        <v>19</v>
      </c>
      <c r="D2019" t="s">
        <v>13</v>
      </c>
    </row>
    <row r="2020" spans="1:4" x14ac:dyDescent="0.35">
      <c r="A2020">
        <v>392</v>
      </c>
      <c r="B2020" t="s">
        <v>1543</v>
      </c>
      <c r="C2020" t="s">
        <v>19</v>
      </c>
      <c r="D2020" t="s">
        <v>13</v>
      </c>
    </row>
    <row r="2021" spans="1:4" x14ac:dyDescent="0.35">
      <c r="A2021">
        <v>392</v>
      </c>
      <c r="B2021" t="s">
        <v>1544</v>
      </c>
      <c r="C2021" t="s">
        <v>19</v>
      </c>
      <c r="D2021" t="s">
        <v>13</v>
      </c>
    </row>
    <row r="2022" spans="1:4" x14ac:dyDescent="0.35">
      <c r="A2022">
        <v>392</v>
      </c>
      <c r="B2022" t="s">
        <v>1545</v>
      </c>
      <c r="C2022" t="s">
        <v>19</v>
      </c>
      <c r="D2022" t="s">
        <v>13</v>
      </c>
    </row>
    <row r="2023" spans="1:4" x14ac:dyDescent="0.35">
      <c r="A2023">
        <v>392</v>
      </c>
      <c r="B2023" t="s">
        <v>1546</v>
      </c>
      <c r="C2023" t="s">
        <v>19</v>
      </c>
      <c r="D2023" t="s">
        <v>13</v>
      </c>
    </row>
    <row r="2024" spans="1:4" x14ac:dyDescent="0.35">
      <c r="A2024">
        <v>392</v>
      </c>
      <c r="B2024" t="s">
        <v>1547</v>
      </c>
      <c r="C2024" t="s">
        <v>189</v>
      </c>
      <c r="D2024" t="s">
        <v>6</v>
      </c>
    </row>
    <row r="2025" spans="1:4" x14ac:dyDescent="0.35">
      <c r="A2025">
        <v>392</v>
      </c>
      <c r="B2025" t="s">
        <v>1548</v>
      </c>
      <c r="C2025" t="s">
        <v>189</v>
      </c>
      <c r="D2025" t="s">
        <v>6</v>
      </c>
    </row>
    <row r="2026" spans="1:4" x14ac:dyDescent="0.35">
      <c r="A2026">
        <v>392</v>
      </c>
      <c r="B2026" t="s">
        <v>1549</v>
      </c>
      <c r="C2026" t="s">
        <v>19</v>
      </c>
      <c r="D2026" t="s">
        <v>13</v>
      </c>
    </row>
    <row r="2027" spans="1:4" x14ac:dyDescent="0.35">
      <c r="A2027">
        <v>392</v>
      </c>
      <c r="B2027" t="s">
        <v>1550</v>
      </c>
      <c r="C2027" t="s">
        <v>19</v>
      </c>
      <c r="D2027" t="s">
        <v>13</v>
      </c>
    </row>
    <row r="2028" spans="1:4" x14ac:dyDescent="0.35">
      <c r="A2028">
        <v>392</v>
      </c>
      <c r="B2028" t="s">
        <v>1551</v>
      </c>
      <c r="C2028" t="s">
        <v>19</v>
      </c>
      <c r="D2028" t="s">
        <v>13</v>
      </c>
    </row>
    <row r="2029" spans="1:4" x14ac:dyDescent="0.35">
      <c r="A2029">
        <v>392</v>
      </c>
      <c r="B2029" t="s">
        <v>1552</v>
      </c>
      <c r="C2029" t="s">
        <v>189</v>
      </c>
      <c r="D2029" t="s">
        <v>6</v>
      </c>
    </row>
    <row r="2030" spans="1:4" x14ac:dyDescent="0.35">
      <c r="A2030">
        <v>392</v>
      </c>
      <c r="B2030" t="s">
        <v>1553</v>
      </c>
      <c r="C2030" t="s">
        <v>189</v>
      </c>
      <c r="D2030" t="s">
        <v>6</v>
      </c>
    </row>
    <row r="2031" spans="1:4" x14ac:dyDescent="0.35">
      <c r="A2031">
        <v>392</v>
      </c>
      <c r="B2031" t="s">
        <v>1554</v>
      </c>
      <c r="C2031" t="s">
        <v>19</v>
      </c>
      <c r="D2031" t="s">
        <v>13</v>
      </c>
    </row>
    <row r="2032" spans="1:4" x14ac:dyDescent="0.35">
      <c r="A2032">
        <v>392</v>
      </c>
      <c r="B2032" t="s">
        <v>1555</v>
      </c>
      <c r="C2032" t="s">
        <v>19</v>
      </c>
      <c r="D2032" t="s">
        <v>13</v>
      </c>
    </row>
    <row r="2033" spans="1:4" x14ac:dyDescent="0.35">
      <c r="A2033">
        <v>393</v>
      </c>
      <c r="B2033" t="s">
        <v>1556</v>
      </c>
      <c r="C2033" t="s">
        <v>157</v>
      </c>
      <c r="D2033" t="s">
        <v>6</v>
      </c>
    </row>
    <row r="2034" spans="1:4" x14ac:dyDescent="0.35">
      <c r="A2034">
        <v>393</v>
      </c>
      <c r="B2034" t="s">
        <v>1557</v>
      </c>
      <c r="C2034" t="s">
        <v>157</v>
      </c>
      <c r="D2034" t="s">
        <v>6</v>
      </c>
    </row>
    <row r="2035" spans="1:4" x14ac:dyDescent="0.35">
      <c r="A2035">
        <v>393</v>
      </c>
      <c r="B2035" t="s">
        <v>1557</v>
      </c>
      <c r="C2035" t="s">
        <v>93</v>
      </c>
      <c r="D2035" t="s">
        <v>13</v>
      </c>
    </row>
    <row r="2036" spans="1:4" x14ac:dyDescent="0.35">
      <c r="A2036">
        <v>393</v>
      </c>
      <c r="B2036" t="s">
        <v>1557</v>
      </c>
      <c r="C2036" t="s">
        <v>90</v>
      </c>
      <c r="D2036" t="s">
        <v>13</v>
      </c>
    </row>
    <row r="2037" spans="1:4" x14ac:dyDescent="0.35">
      <c r="A2037">
        <v>393</v>
      </c>
      <c r="B2037" t="s">
        <v>1558</v>
      </c>
      <c r="C2037" t="s">
        <v>157</v>
      </c>
      <c r="D2037" t="s">
        <v>6</v>
      </c>
    </row>
    <row r="2038" spans="1:4" x14ac:dyDescent="0.35">
      <c r="A2038">
        <v>393</v>
      </c>
      <c r="B2038" t="s">
        <v>1559</v>
      </c>
      <c r="C2038" t="s">
        <v>157</v>
      </c>
      <c r="D2038" t="s">
        <v>6</v>
      </c>
    </row>
    <row r="2039" spans="1:4" x14ac:dyDescent="0.35">
      <c r="A2039">
        <v>393</v>
      </c>
      <c r="B2039" t="s">
        <v>1560</v>
      </c>
      <c r="C2039" t="s">
        <v>189</v>
      </c>
      <c r="D2039" t="s">
        <v>6</v>
      </c>
    </row>
    <row r="2040" spans="1:4" x14ac:dyDescent="0.35">
      <c r="A2040">
        <v>394</v>
      </c>
      <c r="B2040" t="s">
        <v>1561</v>
      </c>
      <c r="C2040" t="s">
        <v>189</v>
      </c>
      <c r="D2040" t="s">
        <v>6</v>
      </c>
    </row>
    <row r="2041" spans="1:4" x14ac:dyDescent="0.35">
      <c r="A2041">
        <v>394</v>
      </c>
      <c r="B2041" t="s">
        <v>1562</v>
      </c>
      <c r="C2041" t="s">
        <v>189</v>
      </c>
      <c r="D2041" t="s">
        <v>6</v>
      </c>
    </row>
    <row r="2042" spans="1:4" x14ac:dyDescent="0.35">
      <c r="A2042">
        <v>394</v>
      </c>
      <c r="B2042" t="s">
        <v>1563</v>
      </c>
      <c r="C2042" t="s">
        <v>189</v>
      </c>
      <c r="D2042" t="s">
        <v>6</v>
      </c>
    </row>
    <row r="2043" spans="1:4" x14ac:dyDescent="0.35">
      <c r="A2043">
        <v>395</v>
      </c>
      <c r="B2043" t="s">
        <v>1564</v>
      </c>
      <c r="C2043" t="s">
        <v>189</v>
      </c>
      <c r="D2043" t="s">
        <v>6</v>
      </c>
    </row>
    <row r="2044" spans="1:4" x14ac:dyDescent="0.35">
      <c r="A2044">
        <v>395</v>
      </c>
      <c r="B2044" t="s">
        <v>1565</v>
      </c>
      <c r="C2044" t="s">
        <v>231</v>
      </c>
      <c r="D2044" t="s">
        <v>6</v>
      </c>
    </row>
    <row r="2045" spans="1:4" x14ac:dyDescent="0.35">
      <c r="A2045">
        <v>395</v>
      </c>
      <c r="B2045" t="s">
        <v>1566</v>
      </c>
      <c r="C2045" t="s">
        <v>189</v>
      </c>
      <c r="D2045" t="s">
        <v>6</v>
      </c>
    </row>
    <row r="2046" spans="1:4" x14ac:dyDescent="0.35">
      <c r="A2046">
        <v>395</v>
      </c>
      <c r="B2046" t="s">
        <v>1567</v>
      </c>
      <c r="C2046" t="s">
        <v>231</v>
      </c>
      <c r="D2046" t="s">
        <v>6</v>
      </c>
    </row>
    <row r="2047" spans="1:4" x14ac:dyDescent="0.35">
      <c r="A2047">
        <v>395</v>
      </c>
      <c r="B2047" t="s">
        <v>1568</v>
      </c>
      <c r="C2047" t="s">
        <v>231</v>
      </c>
      <c r="D2047" t="s">
        <v>6</v>
      </c>
    </row>
    <row r="2048" spans="1:4" x14ac:dyDescent="0.35">
      <c r="A2048">
        <v>395</v>
      </c>
      <c r="B2048" t="s">
        <v>230</v>
      </c>
      <c r="C2048" t="s">
        <v>231</v>
      </c>
      <c r="D2048" t="s">
        <v>6</v>
      </c>
    </row>
    <row r="2049" spans="1:4" x14ac:dyDescent="0.35">
      <c r="A2049">
        <v>395</v>
      </c>
      <c r="B2049" t="s">
        <v>1569</v>
      </c>
      <c r="C2049" t="s">
        <v>231</v>
      </c>
      <c r="D2049" t="s">
        <v>6</v>
      </c>
    </row>
    <row r="2050" spans="1:4" x14ac:dyDescent="0.35">
      <c r="A2050">
        <v>396</v>
      </c>
      <c r="B2050" t="s">
        <v>1570</v>
      </c>
      <c r="C2050" t="s">
        <v>78</v>
      </c>
      <c r="D2050" t="s">
        <v>13</v>
      </c>
    </row>
    <row r="2051" spans="1:4" x14ac:dyDescent="0.35">
      <c r="A2051">
        <v>396</v>
      </c>
      <c r="B2051" t="s">
        <v>161</v>
      </c>
      <c r="C2051" t="s">
        <v>157</v>
      </c>
      <c r="D2051" t="s">
        <v>6</v>
      </c>
    </row>
    <row r="2052" spans="1:4" x14ac:dyDescent="0.35">
      <c r="A2052">
        <v>396</v>
      </c>
      <c r="B2052" t="s">
        <v>1142</v>
      </c>
      <c r="C2052" t="s">
        <v>157</v>
      </c>
      <c r="D2052" t="s">
        <v>6</v>
      </c>
    </row>
    <row r="2053" spans="1:4" x14ac:dyDescent="0.35">
      <c r="A2053">
        <v>397</v>
      </c>
      <c r="B2053" t="s">
        <v>1571</v>
      </c>
      <c r="C2053" t="s">
        <v>72</v>
      </c>
      <c r="D2053" t="s">
        <v>13</v>
      </c>
    </row>
    <row r="2054" spans="1:4" x14ac:dyDescent="0.35">
      <c r="A2054">
        <v>397</v>
      </c>
      <c r="B2054" t="s">
        <v>1572</v>
      </c>
      <c r="C2054" t="s">
        <v>72</v>
      </c>
      <c r="D2054" t="s">
        <v>13</v>
      </c>
    </row>
    <row r="2055" spans="1:4" x14ac:dyDescent="0.35">
      <c r="A2055">
        <v>397</v>
      </c>
      <c r="B2055" t="s">
        <v>1573</v>
      </c>
      <c r="C2055" t="s">
        <v>72</v>
      </c>
      <c r="D2055" t="s">
        <v>13</v>
      </c>
    </row>
    <row r="2056" spans="1:4" x14ac:dyDescent="0.35">
      <c r="A2056">
        <v>397</v>
      </c>
      <c r="B2056" t="s">
        <v>1574</v>
      </c>
      <c r="C2056" t="s">
        <v>72</v>
      </c>
      <c r="D2056" t="s">
        <v>13</v>
      </c>
    </row>
    <row r="2057" spans="1:4" x14ac:dyDescent="0.35">
      <c r="A2057">
        <v>397</v>
      </c>
      <c r="B2057" t="s">
        <v>1575</v>
      </c>
      <c r="C2057" t="s">
        <v>72</v>
      </c>
      <c r="D2057" t="s">
        <v>13</v>
      </c>
    </row>
    <row r="2058" spans="1:4" x14ac:dyDescent="0.35">
      <c r="A2058">
        <v>398</v>
      </c>
      <c r="B2058" t="s">
        <v>1576</v>
      </c>
      <c r="C2058" t="s">
        <v>189</v>
      </c>
      <c r="D2058" t="s">
        <v>6</v>
      </c>
    </row>
    <row r="2059" spans="1:4" x14ac:dyDescent="0.35">
      <c r="A2059">
        <v>398</v>
      </c>
      <c r="B2059" t="s">
        <v>1577</v>
      </c>
      <c r="C2059" t="s">
        <v>189</v>
      </c>
      <c r="D2059" t="s">
        <v>6</v>
      </c>
    </row>
    <row r="2060" spans="1:4" x14ac:dyDescent="0.35">
      <c r="A2060">
        <v>398</v>
      </c>
      <c r="B2060" t="s">
        <v>1578</v>
      </c>
      <c r="C2060" t="s">
        <v>189</v>
      </c>
      <c r="D2060" t="s">
        <v>6</v>
      </c>
    </row>
    <row r="2061" spans="1:4" x14ac:dyDescent="0.35">
      <c r="A2061">
        <v>398</v>
      </c>
      <c r="B2061" t="s">
        <v>1578</v>
      </c>
      <c r="C2061" t="s">
        <v>56</v>
      </c>
      <c r="D2061" t="s">
        <v>13</v>
      </c>
    </row>
    <row r="2062" spans="1:4" x14ac:dyDescent="0.35">
      <c r="A2062">
        <v>399</v>
      </c>
      <c r="B2062" t="s">
        <v>925</v>
      </c>
      <c r="C2062" t="s">
        <v>22</v>
      </c>
      <c r="D2062" t="s">
        <v>13</v>
      </c>
    </row>
    <row r="2063" spans="1:4" x14ac:dyDescent="0.35">
      <c r="A2063">
        <v>399</v>
      </c>
      <c r="B2063" t="s">
        <v>256</v>
      </c>
      <c r="C2063" t="s">
        <v>22</v>
      </c>
      <c r="D2063" t="s">
        <v>13</v>
      </c>
    </row>
    <row r="2064" spans="1:4" x14ac:dyDescent="0.35">
      <c r="A2064">
        <v>399</v>
      </c>
      <c r="B2064" t="s">
        <v>257</v>
      </c>
      <c r="C2064" t="s">
        <v>22</v>
      </c>
      <c r="D2064" t="s">
        <v>13</v>
      </c>
    </row>
    <row r="2065" spans="1:4" x14ac:dyDescent="0.35">
      <c r="A2065">
        <v>399</v>
      </c>
      <c r="B2065" t="s">
        <v>259</v>
      </c>
      <c r="C2065" t="s">
        <v>22</v>
      </c>
      <c r="D2065" t="s">
        <v>13</v>
      </c>
    </row>
    <row r="2066" spans="1:4" x14ac:dyDescent="0.35">
      <c r="A2066">
        <v>400</v>
      </c>
      <c r="B2066" t="s">
        <v>1579</v>
      </c>
      <c r="C2066" t="s">
        <v>261</v>
      </c>
      <c r="D2066" t="s">
        <v>13</v>
      </c>
    </row>
    <row r="2067" spans="1:4" x14ac:dyDescent="0.35">
      <c r="A2067">
        <v>400</v>
      </c>
      <c r="B2067" t="s">
        <v>1580</v>
      </c>
      <c r="C2067" t="s">
        <v>261</v>
      </c>
      <c r="D2067" t="s">
        <v>13</v>
      </c>
    </row>
    <row r="2068" spans="1:4" x14ac:dyDescent="0.35">
      <c r="A2068">
        <v>400</v>
      </c>
      <c r="B2068" t="s">
        <v>1581</v>
      </c>
      <c r="C2068" t="s">
        <v>261</v>
      </c>
      <c r="D2068" t="s">
        <v>13</v>
      </c>
    </row>
    <row r="2069" spans="1:4" x14ac:dyDescent="0.35">
      <c r="A2069">
        <v>401</v>
      </c>
      <c r="B2069" t="s">
        <v>1314</v>
      </c>
      <c r="C2069" t="s">
        <v>231</v>
      </c>
      <c r="D2069" t="s">
        <v>6</v>
      </c>
    </row>
    <row r="2070" spans="1:4" x14ac:dyDescent="0.35">
      <c r="A2070">
        <v>401</v>
      </c>
      <c r="B2070" t="s">
        <v>1315</v>
      </c>
      <c r="C2070" t="s">
        <v>231</v>
      </c>
      <c r="D2070" t="s">
        <v>6</v>
      </c>
    </row>
    <row r="2071" spans="1:4" x14ac:dyDescent="0.35">
      <c r="A2071">
        <v>401</v>
      </c>
      <c r="B2071" t="s">
        <v>1316</v>
      </c>
      <c r="C2071" t="s">
        <v>231</v>
      </c>
      <c r="D2071" t="s">
        <v>6</v>
      </c>
    </row>
    <row r="2072" spans="1:4" x14ac:dyDescent="0.35">
      <c r="A2072">
        <v>402</v>
      </c>
      <c r="B2072" t="s">
        <v>1582</v>
      </c>
      <c r="C2072" t="s">
        <v>231</v>
      </c>
      <c r="D2072" t="s">
        <v>6</v>
      </c>
    </row>
    <row r="2073" spans="1:4" x14ac:dyDescent="0.35">
      <c r="A2073">
        <v>402</v>
      </c>
      <c r="B2073" t="s">
        <v>1583</v>
      </c>
      <c r="C2073" t="s">
        <v>231</v>
      </c>
      <c r="D2073" t="s">
        <v>6</v>
      </c>
    </row>
    <row r="2074" spans="1:4" x14ac:dyDescent="0.35">
      <c r="A2074">
        <v>402</v>
      </c>
      <c r="B2074" t="s">
        <v>635</v>
      </c>
      <c r="C2074" t="s">
        <v>231</v>
      </c>
      <c r="D2074" t="s">
        <v>6</v>
      </c>
    </row>
    <row r="2075" spans="1:4" x14ac:dyDescent="0.35">
      <c r="A2075">
        <v>402</v>
      </c>
      <c r="B2075" t="s">
        <v>1584</v>
      </c>
      <c r="C2075" t="s">
        <v>231</v>
      </c>
      <c r="D2075" t="s">
        <v>6</v>
      </c>
    </row>
    <row r="2076" spans="1:4" x14ac:dyDescent="0.35">
      <c r="A2076">
        <v>403</v>
      </c>
      <c r="B2076" t="s">
        <v>1585</v>
      </c>
      <c r="C2076" t="s">
        <v>231</v>
      </c>
      <c r="D2076" t="s">
        <v>6</v>
      </c>
    </row>
    <row r="2077" spans="1:4" x14ac:dyDescent="0.35">
      <c r="A2077">
        <v>403</v>
      </c>
      <c r="B2077" t="s">
        <v>1586</v>
      </c>
      <c r="C2077" t="s">
        <v>231</v>
      </c>
      <c r="D2077" t="s">
        <v>6</v>
      </c>
    </row>
    <row r="2078" spans="1:4" x14ac:dyDescent="0.35">
      <c r="A2078">
        <v>403</v>
      </c>
      <c r="B2078" t="s">
        <v>1587</v>
      </c>
      <c r="C2078" t="s">
        <v>231</v>
      </c>
      <c r="D2078" t="s">
        <v>6</v>
      </c>
    </row>
    <row r="2079" spans="1:4" x14ac:dyDescent="0.35">
      <c r="A2079">
        <v>403</v>
      </c>
      <c r="B2079" t="s">
        <v>1587</v>
      </c>
      <c r="C2079" t="s">
        <v>153</v>
      </c>
      <c r="D2079" t="s">
        <v>13</v>
      </c>
    </row>
    <row r="2080" spans="1:4" x14ac:dyDescent="0.35">
      <c r="A2080">
        <v>403</v>
      </c>
      <c r="B2080" t="s">
        <v>1588</v>
      </c>
      <c r="C2080" t="s">
        <v>231</v>
      </c>
      <c r="D2080" t="s">
        <v>6</v>
      </c>
    </row>
    <row r="2081" spans="1:4" x14ac:dyDescent="0.35">
      <c r="A2081">
        <v>403</v>
      </c>
      <c r="B2081" t="s">
        <v>1589</v>
      </c>
      <c r="C2081" t="s">
        <v>231</v>
      </c>
      <c r="D2081" t="s">
        <v>6</v>
      </c>
    </row>
    <row r="2082" spans="1:4" x14ac:dyDescent="0.35">
      <c r="A2082">
        <v>404</v>
      </c>
      <c r="B2082" t="s">
        <v>1590</v>
      </c>
      <c r="C2082" t="s">
        <v>48</v>
      </c>
      <c r="D2082" t="s">
        <v>13</v>
      </c>
    </row>
    <row r="2083" spans="1:4" x14ac:dyDescent="0.35">
      <c r="A2083">
        <v>404</v>
      </c>
      <c r="B2083" t="s">
        <v>1591</v>
      </c>
      <c r="C2083" t="s">
        <v>48</v>
      </c>
      <c r="D2083" t="s">
        <v>13</v>
      </c>
    </row>
    <row r="2084" spans="1:4" x14ac:dyDescent="0.35">
      <c r="A2084">
        <v>404</v>
      </c>
      <c r="B2084" t="s">
        <v>1592</v>
      </c>
      <c r="C2084" t="s">
        <v>25</v>
      </c>
      <c r="D2084" t="s">
        <v>13</v>
      </c>
    </row>
    <row r="2085" spans="1:4" x14ac:dyDescent="0.35">
      <c r="A2085">
        <v>405</v>
      </c>
      <c r="B2085" t="s">
        <v>357</v>
      </c>
      <c r="C2085" t="s">
        <v>231</v>
      </c>
      <c r="D2085" t="s">
        <v>6</v>
      </c>
    </row>
    <row r="2086" spans="1:4" x14ac:dyDescent="0.35">
      <c r="A2086">
        <v>405</v>
      </c>
      <c r="B2086" t="s">
        <v>1593</v>
      </c>
      <c r="C2086" t="s">
        <v>64</v>
      </c>
      <c r="D2086" t="s">
        <v>13</v>
      </c>
    </row>
    <row r="2087" spans="1:4" x14ac:dyDescent="0.35">
      <c r="A2087">
        <v>405</v>
      </c>
      <c r="B2087" t="s">
        <v>359</v>
      </c>
      <c r="C2087" t="s">
        <v>231</v>
      </c>
      <c r="D2087" t="s">
        <v>6</v>
      </c>
    </row>
    <row r="2088" spans="1:4" x14ac:dyDescent="0.35">
      <c r="A2088">
        <v>405</v>
      </c>
      <c r="B2088" t="s">
        <v>360</v>
      </c>
      <c r="C2088" t="s">
        <v>231</v>
      </c>
      <c r="D2088" t="s">
        <v>6</v>
      </c>
    </row>
    <row r="2089" spans="1:4" x14ac:dyDescent="0.35">
      <c r="A2089">
        <v>405</v>
      </c>
      <c r="B2089" t="s">
        <v>1594</v>
      </c>
      <c r="C2089" t="s">
        <v>64</v>
      </c>
      <c r="D2089" t="s">
        <v>13</v>
      </c>
    </row>
    <row r="2090" spans="1:4" x14ac:dyDescent="0.35">
      <c r="A2090">
        <v>406</v>
      </c>
      <c r="B2090" t="s">
        <v>1595</v>
      </c>
      <c r="C2090" t="s">
        <v>19</v>
      </c>
      <c r="D2090" t="s">
        <v>13</v>
      </c>
    </row>
    <row r="2091" spans="1:4" x14ac:dyDescent="0.35">
      <c r="A2091">
        <v>406</v>
      </c>
      <c r="B2091" t="s">
        <v>1596</v>
      </c>
      <c r="C2091" t="s">
        <v>19</v>
      </c>
      <c r="D2091" t="s">
        <v>13</v>
      </c>
    </row>
    <row r="2092" spans="1:4" x14ac:dyDescent="0.35">
      <c r="A2092">
        <v>406</v>
      </c>
      <c r="B2092" t="s">
        <v>1597</v>
      </c>
      <c r="C2092" t="s">
        <v>25</v>
      </c>
      <c r="D2092" t="s">
        <v>13</v>
      </c>
    </row>
    <row r="2093" spans="1:4" x14ac:dyDescent="0.35">
      <c r="A2093">
        <v>406</v>
      </c>
      <c r="B2093" t="s">
        <v>219</v>
      </c>
      <c r="C2093" t="s">
        <v>25</v>
      </c>
      <c r="D2093" t="s">
        <v>13</v>
      </c>
    </row>
    <row r="2094" spans="1:4" x14ac:dyDescent="0.35">
      <c r="A2094">
        <v>406</v>
      </c>
      <c r="B2094" t="s">
        <v>220</v>
      </c>
      <c r="C2094" t="s">
        <v>25</v>
      </c>
      <c r="D2094" t="s">
        <v>13</v>
      </c>
    </row>
    <row r="2095" spans="1:4" x14ac:dyDescent="0.35">
      <c r="A2095">
        <v>407</v>
      </c>
      <c r="B2095" t="s">
        <v>1598</v>
      </c>
      <c r="C2095" t="s">
        <v>93</v>
      </c>
      <c r="D2095" t="s">
        <v>13</v>
      </c>
    </row>
    <row r="2096" spans="1:4" x14ac:dyDescent="0.35">
      <c r="A2096">
        <v>407</v>
      </c>
      <c r="B2096" t="s">
        <v>1599</v>
      </c>
      <c r="C2096" t="s">
        <v>93</v>
      </c>
      <c r="D2096" t="s">
        <v>13</v>
      </c>
    </row>
    <row r="2097" spans="1:4" x14ac:dyDescent="0.35">
      <c r="A2097">
        <v>407</v>
      </c>
      <c r="B2097" t="s">
        <v>1600</v>
      </c>
      <c r="C2097" t="s">
        <v>93</v>
      </c>
      <c r="D2097" t="s">
        <v>13</v>
      </c>
    </row>
    <row r="2098" spans="1:4" x14ac:dyDescent="0.35">
      <c r="A2098">
        <v>407</v>
      </c>
      <c r="B2098" t="s">
        <v>1278</v>
      </c>
      <c r="C2098" t="s">
        <v>231</v>
      </c>
      <c r="D2098" t="s">
        <v>6</v>
      </c>
    </row>
    <row r="2099" spans="1:4" x14ac:dyDescent="0.35">
      <c r="A2099">
        <v>407</v>
      </c>
      <c r="B2099" t="s">
        <v>1601</v>
      </c>
      <c r="C2099" t="s">
        <v>93</v>
      </c>
      <c r="D2099" t="s">
        <v>13</v>
      </c>
    </row>
    <row r="2100" spans="1:4" x14ac:dyDescent="0.35">
      <c r="A2100">
        <v>407</v>
      </c>
      <c r="B2100" t="s">
        <v>1602</v>
      </c>
      <c r="C2100" t="s">
        <v>93</v>
      </c>
      <c r="D2100" t="s">
        <v>13</v>
      </c>
    </row>
    <row r="2101" spans="1:4" x14ac:dyDescent="0.35">
      <c r="A2101">
        <v>407</v>
      </c>
      <c r="B2101" t="s">
        <v>1603</v>
      </c>
      <c r="C2101" t="s">
        <v>93</v>
      </c>
      <c r="D2101" t="s">
        <v>13</v>
      </c>
    </row>
    <row r="2102" spans="1:4" x14ac:dyDescent="0.35">
      <c r="A2102">
        <v>408</v>
      </c>
      <c r="B2102" t="s">
        <v>1604</v>
      </c>
      <c r="C2102" t="s">
        <v>98</v>
      </c>
      <c r="D2102" t="s">
        <v>13</v>
      </c>
    </row>
    <row r="2103" spans="1:4" x14ac:dyDescent="0.35">
      <c r="A2103">
        <v>408</v>
      </c>
      <c r="B2103" t="s">
        <v>1605</v>
      </c>
      <c r="C2103" t="s">
        <v>189</v>
      </c>
      <c r="D2103" t="s">
        <v>6</v>
      </c>
    </row>
    <row r="2104" spans="1:4" x14ac:dyDescent="0.35">
      <c r="A2104">
        <v>408</v>
      </c>
      <c r="B2104" t="s">
        <v>1606</v>
      </c>
      <c r="C2104" t="s">
        <v>189</v>
      </c>
      <c r="D2104" t="s">
        <v>6</v>
      </c>
    </row>
    <row r="2105" spans="1:4" x14ac:dyDescent="0.35">
      <c r="A2105">
        <v>408</v>
      </c>
      <c r="B2105" t="s">
        <v>1607</v>
      </c>
      <c r="C2105" t="s">
        <v>517</v>
      </c>
      <c r="D2105" t="s">
        <v>13</v>
      </c>
    </row>
    <row r="2106" spans="1:4" x14ac:dyDescent="0.35">
      <c r="A2106">
        <v>408</v>
      </c>
      <c r="B2106" t="s">
        <v>1607</v>
      </c>
      <c r="C2106" t="s">
        <v>98</v>
      </c>
      <c r="D2106" t="s">
        <v>13</v>
      </c>
    </row>
    <row r="2107" spans="1:4" x14ac:dyDescent="0.35">
      <c r="A2107">
        <v>408</v>
      </c>
      <c r="B2107" t="s">
        <v>1608</v>
      </c>
      <c r="C2107" t="s">
        <v>19</v>
      </c>
      <c r="D2107" t="s">
        <v>13</v>
      </c>
    </row>
    <row r="2108" spans="1:4" x14ac:dyDescent="0.35">
      <c r="A2108">
        <v>408</v>
      </c>
      <c r="B2108" t="s">
        <v>1609</v>
      </c>
      <c r="C2108" t="s">
        <v>98</v>
      </c>
      <c r="D2108" t="s">
        <v>13</v>
      </c>
    </row>
    <row r="2109" spans="1:4" x14ac:dyDescent="0.35">
      <c r="A2109">
        <v>408</v>
      </c>
      <c r="B2109" t="s">
        <v>1610</v>
      </c>
      <c r="C2109" t="s">
        <v>98</v>
      </c>
      <c r="D2109" t="s">
        <v>13</v>
      </c>
    </row>
    <row r="2110" spans="1:4" x14ac:dyDescent="0.35">
      <c r="A2110">
        <v>408</v>
      </c>
      <c r="B2110" t="s">
        <v>1611</v>
      </c>
      <c r="C2110" t="s">
        <v>19</v>
      </c>
      <c r="D2110" t="s">
        <v>13</v>
      </c>
    </row>
    <row r="2111" spans="1:4" x14ac:dyDescent="0.35">
      <c r="A2111">
        <v>409</v>
      </c>
      <c r="B2111" t="s">
        <v>1612</v>
      </c>
      <c r="C2111" t="s">
        <v>35</v>
      </c>
      <c r="D2111" t="s">
        <v>13</v>
      </c>
    </row>
    <row r="2112" spans="1:4" x14ac:dyDescent="0.35">
      <c r="A2112">
        <v>409</v>
      </c>
      <c r="B2112" t="s">
        <v>1613</v>
      </c>
      <c r="C2112" t="s">
        <v>35</v>
      </c>
      <c r="D2112" t="s">
        <v>13</v>
      </c>
    </row>
    <row r="2113" spans="1:4" x14ac:dyDescent="0.35">
      <c r="A2113">
        <v>409</v>
      </c>
      <c r="B2113" t="s">
        <v>1614</v>
      </c>
      <c r="C2113" t="s">
        <v>35</v>
      </c>
      <c r="D2113" t="s">
        <v>13</v>
      </c>
    </row>
    <row r="2114" spans="1:4" x14ac:dyDescent="0.35">
      <c r="A2114">
        <v>409</v>
      </c>
      <c r="B2114" t="s">
        <v>1614</v>
      </c>
      <c r="C2114" t="s">
        <v>45</v>
      </c>
      <c r="D2114" t="s">
        <v>6</v>
      </c>
    </row>
    <row r="2115" spans="1:4" x14ac:dyDescent="0.35">
      <c r="A2115">
        <v>409</v>
      </c>
      <c r="B2115" t="s">
        <v>1615</v>
      </c>
      <c r="C2115" t="s">
        <v>35</v>
      </c>
      <c r="D2115" t="s">
        <v>13</v>
      </c>
    </row>
    <row r="2116" spans="1:4" x14ac:dyDescent="0.35">
      <c r="A2116">
        <v>410</v>
      </c>
      <c r="B2116" t="s">
        <v>1616</v>
      </c>
      <c r="C2116" t="s">
        <v>517</v>
      </c>
      <c r="D2116" t="s">
        <v>13</v>
      </c>
    </row>
    <row r="2117" spans="1:4" x14ac:dyDescent="0.35">
      <c r="A2117">
        <v>410</v>
      </c>
      <c r="B2117" t="s">
        <v>1617</v>
      </c>
      <c r="C2117" t="s">
        <v>517</v>
      </c>
      <c r="D2117" t="s">
        <v>13</v>
      </c>
    </row>
    <row r="2118" spans="1:4" x14ac:dyDescent="0.35">
      <c r="A2118">
        <v>410</v>
      </c>
      <c r="B2118" t="s">
        <v>1618</v>
      </c>
      <c r="C2118" t="s">
        <v>517</v>
      </c>
      <c r="D2118" t="s">
        <v>13</v>
      </c>
    </row>
    <row r="2119" spans="1:4" x14ac:dyDescent="0.35">
      <c r="A2119">
        <v>410</v>
      </c>
      <c r="B2119" t="s">
        <v>1618</v>
      </c>
      <c r="C2119" t="s">
        <v>45</v>
      </c>
      <c r="D2119" t="s">
        <v>6</v>
      </c>
    </row>
    <row r="2120" spans="1:4" x14ac:dyDescent="0.35">
      <c r="A2120">
        <v>410</v>
      </c>
      <c r="B2120" t="s">
        <v>1619</v>
      </c>
      <c r="C2120" t="s">
        <v>45</v>
      </c>
      <c r="D2120" t="s">
        <v>6</v>
      </c>
    </row>
    <row r="2121" spans="1:4" x14ac:dyDescent="0.35">
      <c r="A2121">
        <v>410</v>
      </c>
      <c r="B2121" t="s">
        <v>1620</v>
      </c>
      <c r="C2121" t="s">
        <v>517</v>
      </c>
      <c r="D2121" t="s">
        <v>13</v>
      </c>
    </row>
    <row r="2122" spans="1:4" x14ac:dyDescent="0.35">
      <c r="A2122">
        <v>410</v>
      </c>
      <c r="B2122" t="s">
        <v>1621</v>
      </c>
      <c r="C2122" t="s">
        <v>45</v>
      </c>
      <c r="D2122" t="s">
        <v>6</v>
      </c>
    </row>
    <row r="2123" spans="1:4" x14ac:dyDescent="0.35">
      <c r="A2123">
        <v>410</v>
      </c>
      <c r="B2123" t="s">
        <v>1622</v>
      </c>
      <c r="C2123" t="s">
        <v>517</v>
      </c>
      <c r="D2123" t="s">
        <v>13</v>
      </c>
    </row>
    <row r="2124" spans="1:4" x14ac:dyDescent="0.35">
      <c r="A2124">
        <v>410</v>
      </c>
      <c r="B2124" t="s">
        <v>1622</v>
      </c>
      <c r="C2124" t="s">
        <v>45</v>
      </c>
      <c r="D2124" t="s">
        <v>6</v>
      </c>
    </row>
    <row r="2125" spans="1:4" x14ac:dyDescent="0.35">
      <c r="A2125">
        <v>411</v>
      </c>
      <c r="B2125" t="s">
        <v>1623</v>
      </c>
      <c r="C2125" t="s">
        <v>19</v>
      </c>
      <c r="D2125" t="s">
        <v>13</v>
      </c>
    </row>
    <row r="2126" spans="1:4" x14ac:dyDescent="0.35">
      <c r="A2126">
        <v>411</v>
      </c>
      <c r="B2126" t="s">
        <v>1624</v>
      </c>
      <c r="C2126" t="s">
        <v>19</v>
      </c>
      <c r="D2126" t="s">
        <v>13</v>
      </c>
    </row>
    <row r="2127" spans="1:4" x14ac:dyDescent="0.35">
      <c r="A2127">
        <v>411</v>
      </c>
      <c r="B2127" t="s">
        <v>1625</v>
      </c>
      <c r="C2127" t="s">
        <v>35</v>
      </c>
      <c r="D2127" t="s">
        <v>13</v>
      </c>
    </row>
    <row r="2128" spans="1:4" x14ac:dyDescent="0.35">
      <c r="A2128">
        <v>411</v>
      </c>
      <c r="B2128" t="s">
        <v>1625</v>
      </c>
      <c r="C2128" t="s">
        <v>562</v>
      </c>
      <c r="D2128" t="s">
        <v>13</v>
      </c>
    </row>
    <row r="2129" spans="1:4" x14ac:dyDescent="0.35">
      <c r="A2129">
        <v>411</v>
      </c>
      <c r="B2129" t="s">
        <v>1626</v>
      </c>
      <c r="C2129" t="s">
        <v>35</v>
      </c>
      <c r="D2129" t="s">
        <v>13</v>
      </c>
    </row>
    <row r="2130" spans="1:4" x14ac:dyDescent="0.35">
      <c r="A2130">
        <v>411</v>
      </c>
      <c r="B2130" t="s">
        <v>1627</v>
      </c>
      <c r="C2130" t="s">
        <v>19</v>
      </c>
      <c r="D2130" t="s">
        <v>13</v>
      </c>
    </row>
    <row r="2131" spans="1:4" x14ac:dyDescent="0.35">
      <c r="A2131">
        <v>411</v>
      </c>
      <c r="B2131" t="s">
        <v>1628</v>
      </c>
      <c r="C2131" t="s">
        <v>35</v>
      </c>
      <c r="D2131" t="s">
        <v>13</v>
      </c>
    </row>
    <row r="2132" spans="1:4" x14ac:dyDescent="0.35">
      <c r="A2132">
        <v>411</v>
      </c>
      <c r="B2132" t="s">
        <v>1629</v>
      </c>
      <c r="C2132" t="s">
        <v>19</v>
      </c>
      <c r="D2132" t="s">
        <v>13</v>
      </c>
    </row>
    <row r="2133" spans="1:4" x14ac:dyDescent="0.35">
      <c r="A2133">
        <v>411</v>
      </c>
      <c r="B2133" t="s">
        <v>1629</v>
      </c>
      <c r="C2133" t="s">
        <v>35</v>
      </c>
      <c r="D2133" t="s">
        <v>13</v>
      </c>
    </row>
    <row r="2134" spans="1:4" x14ac:dyDescent="0.35">
      <c r="A2134">
        <v>411</v>
      </c>
      <c r="B2134" t="s">
        <v>1630</v>
      </c>
      <c r="C2134" t="s">
        <v>35</v>
      </c>
      <c r="D2134" t="s">
        <v>13</v>
      </c>
    </row>
    <row r="2135" spans="1:4" x14ac:dyDescent="0.35">
      <c r="A2135">
        <v>411</v>
      </c>
      <c r="B2135" t="s">
        <v>1631</v>
      </c>
      <c r="C2135" t="s">
        <v>1632</v>
      </c>
      <c r="D2135" t="s">
        <v>13</v>
      </c>
    </row>
    <row r="2136" spans="1:4" x14ac:dyDescent="0.35">
      <c r="A2136">
        <v>411</v>
      </c>
      <c r="B2136" t="s">
        <v>1631</v>
      </c>
      <c r="C2136" t="s">
        <v>517</v>
      </c>
      <c r="D2136" t="s">
        <v>13</v>
      </c>
    </row>
    <row r="2137" spans="1:4" x14ac:dyDescent="0.35">
      <c r="A2137">
        <v>412</v>
      </c>
      <c r="B2137" t="s">
        <v>167</v>
      </c>
      <c r="C2137" t="s">
        <v>16</v>
      </c>
      <c r="D2137" t="s">
        <v>13</v>
      </c>
    </row>
    <row r="2138" spans="1:4" x14ac:dyDescent="0.35">
      <c r="A2138">
        <v>412</v>
      </c>
      <c r="B2138" t="s">
        <v>1174</v>
      </c>
      <c r="C2138" t="s">
        <v>16</v>
      </c>
      <c r="D2138" t="s">
        <v>13</v>
      </c>
    </row>
    <row r="2139" spans="1:4" x14ac:dyDescent="0.35">
      <c r="A2139">
        <v>412</v>
      </c>
      <c r="B2139" t="s">
        <v>1633</v>
      </c>
      <c r="C2139" t="s">
        <v>16</v>
      </c>
      <c r="D2139" t="s">
        <v>13</v>
      </c>
    </row>
    <row r="2140" spans="1:4" x14ac:dyDescent="0.35">
      <c r="A2140">
        <v>412</v>
      </c>
      <c r="B2140" t="s">
        <v>1108</v>
      </c>
      <c r="C2140" t="s">
        <v>16</v>
      </c>
      <c r="D2140" t="s">
        <v>13</v>
      </c>
    </row>
    <row r="2141" spans="1:4" x14ac:dyDescent="0.35">
      <c r="A2141">
        <v>413</v>
      </c>
      <c r="B2141" t="s">
        <v>1425</v>
      </c>
      <c r="C2141" t="s">
        <v>16</v>
      </c>
      <c r="D2141" t="s">
        <v>13</v>
      </c>
    </row>
    <row r="2142" spans="1:4" x14ac:dyDescent="0.35">
      <c r="A2142">
        <v>413</v>
      </c>
      <c r="B2142" t="s">
        <v>1426</v>
      </c>
      <c r="C2142" t="s">
        <v>16</v>
      </c>
      <c r="D2142" t="s">
        <v>13</v>
      </c>
    </row>
    <row r="2143" spans="1:4" x14ac:dyDescent="0.35">
      <c r="A2143">
        <v>414</v>
      </c>
      <c r="B2143" t="s">
        <v>1634</v>
      </c>
      <c r="C2143" t="s">
        <v>517</v>
      </c>
      <c r="D2143" t="s">
        <v>13</v>
      </c>
    </row>
    <row r="2144" spans="1:4" x14ac:dyDescent="0.35">
      <c r="A2144">
        <v>414</v>
      </c>
      <c r="B2144" t="s">
        <v>1557</v>
      </c>
      <c r="C2144" t="s">
        <v>93</v>
      </c>
      <c r="D2144" t="s">
        <v>13</v>
      </c>
    </row>
    <row r="2145" spans="1:4" x14ac:dyDescent="0.35">
      <c r="A2145">
        <v>414</v>
      </c>
      <c r="B2145" t="s">
        <v>1557</v>
      </c>
      <c r="C2145" t="s">
        <v>90</v>
      </c>
      <c r="D2145" t="s">
        <v>13</v>
      </c>
    </row>
    <row r="2146" spans="1:4" x14ac:dyDescent="0.35">
      <c r="A2146">
        <v>414</v>
      </c>
      <c r="B2146" t="s">
        <v>1635</v>
      </c>
      <c r="C2146" t="s">
        <v>189</v>
      </c>
      <c r="D2146" t="s">
        <v>6</v>
      </c>
    </row>
    <row r="2147" spans="1:4" x14ac:dyDescent="0.35">
      <c r="A2147">
        <v>414</v>
      </c>
      <c r="B2147" t="s">
        <v>1636</v>
      </c>
      <c r="C2147" t="s">
        <v>517</v>
      </c>
      <c r="D2147" t="s">
        <v>13</v>
      </c>
    </row>
    <row r="2148" spans="1:4" x14ac:dyDescent="0.35">
      <c r="A2148">
        <v>414</v>
      </c>
      <c r="B2148" t="s">
        <v>1502</v>
      </c>
      <c r="C2148" t="s">
        <v>517</v>
      </c>
      <c r="D2148" t="s">
        <v>13</v>
      </c>
    </row>
    <row r="2149" spans="1:4" x14ac:dyDescent="0.35">
      <c r="A2149">
        <v>414</v>
      </c>
      <c r="B2149" t="s">
        <v>1637</v>
      </c>
      <c r="C2149" t="s">
        <v>517</v>
      </c>
      <c r="D2149" t="s">
        <v>13</v>
      </c>
    </row>
    <row r="2150" spans="1:4" x14ac:dyDescent="0.35">
      <c r="A2150">
        <v>414</v>
      </c>
      <c r="B2150" t="s">
        <v>1638</v>
      </c>
      <c r="C2150" t="s">
        <v>517</v>
      </c>
      <c r="D2150" t="s">
        <v>13</v>
      </c>
    </row>
    <row r="2151" spans="1:4" x14ac:dyDescent="0.35">
      <c r="A2151">
        <v>414</v>
      </c>
      <c r="B2151" t="s">
        <v>1639</v>
      </c>
      <c r="C2151" t="s">
        <v>189</v>
      </c>
      <c r="D2151" t="s">
        <v>6</v>
      </c>
    </row>
    <row r="2152" spans="1:4" x14ac:dyDescent="0.35">
      <c r="A2152">
        <v>414</v>
      </c>
      <c r="B2152" t="s">
        <v>1305</v>
      </c>
      <c r="C2152" t="s">
        <v>189</v>
      </c>
      <c r="D2152" t="s">
        <v>6</v>
      </c>
    </row>
    <row r="2153" spans="1:4" x14ac:dyDescent="0.35">
      <c r="A2153">
        <v>414</v>
      </c>
      <c r="B2153" t="s">
        <v>1640</v>
      </c>
      <c r="C2153" t="s">
        <v>19</v>
      </c>
      <c r="D2153" t="s">
        <v>13</v>
      </c>
    </row>
    <row r="2154" spans="1:4" x14ac:dyDescent="0.35">
      <c r="A2154">
        <v>414</v>
      </c>
      <c r="B2154" t="s">
        <v>1641</v>
      </c>
      <c r="C2154" t="s">
        <v>189</v>
      </c>
      <c r="D2154" t="s">
        <v>6</v>
      </c>
    </row>
    <row r="2155" spans="1:4" x14ac:dyDescent="0.35">
      <c r="A2155">
        <v>414</v>
      </c>
      <c r="B2155" t="s">
        <v>1642</v>
      </c>
      <c r="C2155" t="s">
        <v>517</v>
      </c>
      <c r="D2155" t="s">
        <v>13</v>
      </c>
    </row>
    <row r="2156" spans="1:4" x14ac:dyDescent="0.35">
      <c r="A2156">
        <v>415</v>
      </c>
      <c r="B2156" t="s">
        <v>1643</v>
      </c>
      <c r="C2156" t="s">
        <v>189</v>
      </c>
      <c r="D2156" t="s">
        <v>6</v>
      </c>
    </row>
    <row r="2157" spans="1:4" x14ac:dyDescent="0.35">
      <c r="A2157">
        <v>415</v>
      </c>
      <c r="B2157" t="s">
        <v>1477</v>
      </c>
      <c r="C2157" t="s">
        <v>189</v>
      </c>
      <c r="D2157" t="s">
        <v>6</v>
      </c>
    </row>
    <row r="2158" spans="1:4" x14ac:dyDescent="0.35">
      <c r="A2158">
        <v>416</v>
      </c>
      <c r="B2158" t="s">
        <v>1644</v>
      </c>
      <c r="C2158" t="s">
        <v>72</v>
      </c>
      <c r="D2158" t="s">
        <v>13</v>
      </c>
    </row>
    <row r="2159" spans="1:4" x14ac:dyDescent="0.35">
      <c r="A2159">
        <v>416</v>
      </c>
      <c r="B2159" t="s">
        <v>1644</v>
      </c>
      <c r="C2159" t="s">
        <v>48</v>
      </c>
      <c r="D2159" t="s">
        <v>13</v>
      </c>
    </row>
    <row r="2160" spans="1:4" x14ac:dyDescent="0.35">
      <c r="A2160">
        <v>416</v>
      </c>
      <c r="B2160" t="s">
        <v>1645</v>
      </c>
      <c r="C2160" t="s">
        <v>72</v>
      </c>
      <c r="D2160" t="s">
        <v>13</v>
      </c>
    </row>
    <row r="2161" spans="1:4" x14ac:dyDescent="0.35">
      <c r="A2161">
        <v>416</v>
      </c>
      <c r="B2161" t="s">
        <v>1646</v>
      </c>
      <c r="C2161" t="s">
        <v>72</v>
      </c>
      <c r="D2161" t="s">
        <v>13</v>
      </c>
    </row>
    <row r="2162" spans="1:4" x14ac:dyDescent="0.35">
      <c r="A2162">
        <v>416</v>
      </c>
      <c r="B2162" t="s">
        <v>1646</v>
      </c>
      <c r="C2162" t="s">
        <v>48</v>
      </c>
      <c r="D2162" t="s">
        <v>13</v>
      </c>
    </row>
    <row r="2163" spans="1:4" x14ac:dyDescent="0.35">
      <c r="A2163">
        <v>416</v>
      </c>
      <c r="B2163" t="s">
        <v>1647</v>
      </c>
      <c r="C2163" t="s">
        <v>48</v>
      </c>
      <c r="D2163" t="s">
        <v>13</v>
      </c>
    </row>
    <row r="2164" spans="1:4" x14ac:dyDescent="0.35">
      <c r="A2164">
        <v>416</v>
      </c>
      <c r="B2164" t="s">
        <v>1648</v>
      </c>
      <c r="C2164" t="s">
        <v>72</v>
      </c>
      <c r="D2164" t="s">
        <v>13</v>
      </c>
    </row>
    <row r="2165" spans="1:4" x14ac:dyDescent="0.35">
      <c r="A2165">
        <v>416</v>
      </c>
      <c r="B2165" t="s">
        <v>1648</v>
      </c>
      <c r="C2165" t="s">
        <v>48</v>
      </c>
      <c r="D2165" t="s">
        <v>13</v>
      </c>
    </row>
    <row r="2166" spans="1:4" x14ac:dyDescent="0.35">
      <c r="A2166">
        <v>416</v>
      </c>
      <c r="B2166" t="s">
        <v>1649</v>
      </c>
      <c r="C2166" t="s">
        <v>72</v>
      </c>
      <c r="D2166" t="s">
        <v>13</v>
      </c>
    </row>
    <row r="2167" spans="1:4" x14ac:dyDescent="0.35">
      <c r="A2167">
        <v>416</v>
      </c>
      <c r="B2167" t="s">
        <v>1649</v>
      </c>
      <c r="C2167" t="s">
        <v>48</v>
      </c>
      <c r="D2167" t="s">
        <v>13</v>
      </c>
    </row>
    <row r="2168" spans="1:4" x14ac:dyDescent="0.35">
      <c r="A2168">
        <v>417</v>
      </c>
      <c r="B2168" t="s">
        <v>1650</v>
      </c>
      <c r="C2168" t="s">
        <v>56</v>
      </c>
      <c r="D2168" t="s">
        <v>13</v>
      </c>
    </row>
    <row r="2169" spans="1:4" x14ac:dyDescent="0.35">
      <c r="A2169">
        <v>417</v>
      </c>
      <c r="B2169" t="s">
        <v>1651</v>
      </c>
      <c r="C2169" t="s">
        <v>56</v>
      </c>
      <c r="D2169" t="s">
        <v>13</v>
      </c>
    </row>
    <row r="2170" spans="1:4" x14ac:dyDescent="0.35">
      <c r="A2170">
        <v>417</v>
      </c>
      <c r="B2170" t="s">
        <v>1652</v>
      </c>
      <c r="C2170" t="s">
        <v>56</v>
      </c>
      <c r="D2170" t="s">
        <v>13</v>
      </c>
    </row>
    <row r="2171" spans="1:4" x14ac:dyDescent="0.35">
      <c r="A2171">
        <v>417</v>
      </c>
      <c r="B2171" t="s">
        <v>1653</v>
      </c>
      <c r="C2171" t="s">
        <v>517</v>
      </c>
      <c r="D2171" t="s">
        <v>13</v>
      </c>
    </row>
    <row r="2172" spans="1:4" x14ac:dyDescent="0.35">
      <c r="A2172">
        <v>417</v>
      </c>
      <c r="B2172" t="s">
        <v>1653</v>
      </c>
      <c r="C2172" t="s">
        <v>56</v>
      </c>
      <c r="D2172" t="s">
        <v>13</v>
      </c>
    </row>
    <row r="2173" spans="1:4" x14ac:dyDescent="0.35">
      <c r="A2173">
        <v>418</v>
      </c>
      <c r="B2173" t="s">
        <v>1654</v>
      </c>
      <c r="C2173" t="s">
        <v>72</v>
      </c>
      <c r="D2173" t="s">
        <v>13</v>
      </c>
    </row>
    <row r="2174" spans="1:4" x14ac:dyDescent="0.35">
      <c r="A2174">
        <v>418</v>
      </c>
      <c r="B2174" t="s">
        <v>1655</v>
      </c>
      <c r="C2174" t="s">
        <v>72</v>
      </c>
      <c r="D2174" t="s">
        <v>13</v>
      </c>
    </row>
    <row r="2175" spans="1:4" x14ac:dyDescent="0.35">
      <c r="A2175">
        <v>418</v>
      </c>
      <c r="B2175" t="s">
        <v>1656</v>
      </c>
      <c r="C2175" t="s">
        <v>72</v>
      </c>
      <c r="D2175" t="s">
        <v>13</v>
      </c>
    </row>
    <row r="2176" spans="1:4" x14ac:dyDescent="0.35">
      <c r="A2176">
        <v>418</v>
      </c>
      <c r="B2176" t="s">
        <v>1657</v>
      </c>
      <c r="C2176" t="s">
        <v>72</v>
      </c>
      <c r="D2176" t="s">
        <v>13</v>
      </c>
    </row>
    <row r="2177" spans="1:4" x14ac:dyDescent="0.35">
      <c r="A2177">
        <v>419</v>
      </c>
      <c r="B2177" t="s">
        <v>67</v>
      </c>
      <c r="C2177" t="s">
        <v>16</v>
      </c>
      <c r="D2177" t="s">
        <v>13</v>
      </c>
    </row>
    <row r="2178" spans="1:4" x14ac:dyDescent="0.35">
      <c r="A2178">
        <v>420</v>
      </c>
      <c r="B2178" t="s">
        <v>1658</v>
      </c>
      <c r="C2178" t="s">
        <v>19</v>
      </c>
      <c r="D2178" t="s">
        <v>13</v>
      </c>
    </row>
    <row r="2179" spans="1:4" x14ac:dyDescent="0.35">
      <c r="A2179">
        <v>420</v>
      </c>
      <c r="B2179" t="s">
        <v>1659</v>
      </c>
      <c r="C2179" t="s">
        <v>19</v>
      </c>
      <c r="D2179" t="s">
        <v>13</v>
      </c>
    </row>
    <row r="2180" spans="1:4" x14ac:dyDescent="0.35">
      <c r="A2180">
        <v>420</v>
      </c>
      <c r="B2180" t="s">
        <v>1660</v>
      </c>
      <c r="C2180" t="s">
        <v>19</v>
      </c>
      <c r="D2180" t="s">
        <v>13</v>
      </c>
    </row>
    <row r="2181" spans="1:4" x14ac:dyDescent="0.35">
      <c r="A2181">
        <v>420</v>
      </c>
      <c r="B2181" t="s">
        <v>1661</v>
      </c>
      <c r="C2181" t="s">
        <v>19</v>
      </c>
      <c r="D2181" t="s">
        <v>13</v>
      </c>
    </row>
    <row r="2182" spans="1:4" x14ac:dyDescent="0.35">
      <c r="A2182">
        <v>421</v>
      </c>
      <c r="B2182" t="s">
        <v>1662</v>
      </c>
      <c r="C2182" t="s">
        <v>72</v>
      </c>
      <c r="D2182" t="s">
        <v>13</v>
      </c>
    </row>
    <row r="2183" spans="1:4" x14ac:dyDescent="0.35">
      <c r="A2183">
        <v>421</v>
      </c>
      <c r="B2183" t="s">
        <v>1663</v>
      </c>
      <c r="C2183" t="s">
        <v>72</v>
      </c>
      <c r="D2183" t="s">
        <v>13</v>
      </c>
    </row>
    <row r="2184" spans="1:4" x14ac:dyDescent="0.35">
      <c r="A2184">
        <v>421</v>
      </c>
      <c r="B2184" t="s">
        <v>1664</v>
      </c>
      <c r="C2184" t="s">
        <v>19</v>
      </c>
      <c r="D2184" t="s">
        <v>13</v>
      </c>
    </row>
    <row r="2185" spans="1:4" x14ac:dyDescent="0.35">
      <c r="A2185">
        <v>421</v>
      </c>
      <c r="B2185" t="s">
        <v>1664</v>
      </c>
      <c r="C2185" t="s">
        <v>72</v>
      </c>
      <c r="D2185" t="s">
        <v>13</v>
      </c>
    </row>
    <row r="2186" spans="1:4" x14ac:dyDescent="0.35">
      <c r="A2186">
        <v>421</v>
      </c>
      <c r="B2186" t="s">
        <v>1665</v>
      </c>
      <c r="C2186" t="s">
        <v>72</v>
      </c>
      <c r="D2186" t="s">
        <v>13</v>
      </c>
    </row>
    <row r="2187" spans="1:4" x14ac:dyDescent="0.35">
      <c r="A2187">
        <v>421</v>
      </c>
      <c r="B2187" t="s">
        <v>1666</v>
      </c>
      <c r="C2187" t="s">
        <v>72</v>
      </c>
      <c r="D2187" t="s">
        <v>13</v>
      </c>
    </row>
    <row r="2188" spans="1:4" x14ac:dyDescent="0.35">
      <c r="A2188">
        <v>421</v>
      </c>
      <c r="B2188" t="s">
        <v>1667</v>
      </c>
      <c r="C2188" t="s">
        <v>72</v>
      </c>
      <c r="D2188" t="s">
        <v>13</v>
      </c>
    </row>
    <row r="2189" spans="1:4" x14ac:dyDescent="0.35">
      <c r="A2189">
        <v>421</v>
      </c>
      <c r="B2189" t="s">
        <v>1319</v>
      </c>
      <c r="C2189" t="s">
        <v>72</v>
      </c>
      <c r="D2189" t="s">
        <v>13</v>
      </c>
    </row>
    <row r="2190" spans="1:4" x14ac:dyDescent="0.35">
      <c r="A2190">
        <v>421</v>
      </c>
      <c r="B2190" t="s">
        <v>1668</v>
      </c>
      <c r="C2190" t="s">
        <v>72</v>
      </c>
      <c r="D2190" t="s">
        <v>13</v>
      </c>
    </row>
    <row r="2191" spans="1:4" x14ac:dyDescent="0.35">
      <c r="A2191">
        <v>422</v>
      </c>
      <c r="B2191" t="s">
        <v>1669</v>
      </c>
      <c r="C2191" t="s">
        <v>72</v>
      </c>
      <c r="D2191" t="s">
        <v>13</v>
      </c>
    </row>
    <row r="2192" spans="1:4" x14ac:dyDescent="0.35">
      <c r="A2192">
        <v>422</v>
      </c>
      <c r="B2192" t="s">
        <v>1670</v>
      </c>
      <c r="C2192" t="s">
        <v>72</v>
      </c>
      <c r="D2192" t="s">
        <v>13</v>
      </c>
    </row>
    <row r="2193" spans="1:4" x14ac:dyDescent="0.35">
      <c r="A2193">
        <v>422</v>
      </c>
      <c r="B2193" t="s">
        <v>1671</v>
      </c>
      <c r="C2193" t="s">
        <v>72</v>
      </c>
      <c r="D2193" t="s">
        <v>13</v>
      </c>
    </row>
    <row r="2194" spans="1:4" x14ac:dyDescent="0.35">
      <c r="A2194">
        <v>422</v>
      </c>
      <c r="B2194" t="s">
        <v>1672</v>
      </c>
      <c r="C2194" t="s">
        <v>72</v>
      </c>
      <c r="D2194" t="s">
        <v>13</v>
      </c>
    </row>
    <row r="2195" spans="1:4" x14ac:dyDescent="0.35">
      <c r="A2195">
        <v>423</v>
      </c>
      <c r="B2195" t="s">
        <v>1673</v>
      </c>
      <c r="C2195" t="s">
        <v>72</v>
      </c>
      <c r="D2195" t="s">
        <v>13</v>
      </c>
    </row>
    <row r="2196" spans="1:4" x14ac:dyDescent="0.35">
      <c r="A2196">
        <v>423</v>
      </c>
      <c r="B2196" t="s">
        <v>1673</v>
      </c>
      <c r="C2196" t="s">
        <v>35</v>
      </c>
      <c r="D2196" t="s">
        <v>13</v>
      </c>
    </row>
    <row r="2197" spans="1:4" x14ac:dyDescent="0.35">
      <c r="A2197">
        <v>423</v>
      </c>
      <c r="B2197" t="s">
        <v>1674</v>
      </c>
      <c r="C2197" t="s">
        <v>35</v>
      </c>
      <c r="D2197" t="s">
        <v>13</v>
      </c>
    </row>
    <row r="2198" spans="1:4" x14ac:dyDescent="0.35">
      <c r="A2198">
        <v>423</v>
      </c>
      <c r="B2198" t="s">
        <v>1675</v>
      </c>
      <c r="C2198" t="s">
        <v>72</v>
      </c>
      <c r="D2198" t="s">
        <v>13</v>
      </c>
    </row>
    <row r="2199" spans="1:4" x14ac:dyDescent="0.35">
      <c r="A2199">
        <v>423</v>
      </c>
      <c r="B2199" t="s">
        <v>1675</v>
      </c>
      <c r="C2199" t="s">
        <v>35</v>
      </c>
      <c r="D2199" t="s">
        <v>13</v>
      </c>
    </row>
    <row r="2200" spans="1:4" x14ac:dyDescent="0.35">
      <c r="A2200">
        <v>423</v>
      </c>
      <c r="B2200" t="s">
        <v>173</v>
      </c>
      <c r="C2200" t="s">
        <v>72</v>
      </c>
      <c r="D2200" t="s">
        <v>13</v>
      </c>
    </row>
    <row r="2201" spans="1:4" x14ac:dyDescent="0.35">
      <c r="A2201">
        <v>423</v>
      </c>
      <c r="B2201" t="s">
        <v>1676</v>
      </c>
      <c r="C2201" t="s">
        <v>35</v>
      </c>
      <c r="D2201" t="s">
        <v>13</v>
      </c>
    </row>
    <row r="2202" spans="1:4" x14ac:dyDescent="0.35">
      <c r="A2202">
        <v>424</v>
      </c>
      <c r="B2202" t="s">
        <v>1677</v>
      </c>
      <c r="C2202" t="s">
        <v>25</v>
      </c>
      <c r="D2202" t="s">
        <v>13</v>
      </c>
    </row>
    <row r="2203" spans="1:4" x14ac:dyDescent="0.35">
      <c r="A2203">
        <v>424</v>
      </c>
      <c r="B2203" t="s">
        <v>1678</v>
      </c>
      <c r="C2203" t="s">
        <v>25</v>
      </c>
      <c r="D2203" t="s">
        <v>13</v>
      </c>
    </row>
    <row r="2204" spans="1:4" x14ac:dyDescent="0.35">
      <c r="A2204">
        <v>424</v>
      </c>
      <c r="B2204" t="s">
        <v>1679</v>
      </c>
      <c r="C2204" t="s">
        <v>25</v>
      </c>
      <c r="D2204" t="s">
        <v>13</v>
      </c>
    </row>
    <row r="2205" spans="1:4" x14ac:dyDescent="0.35">
      <c r="A2205">
        <v>424</v>
      </c>
      <c r="B2205" t="s">
        <v>1680</v>
      </c>
      <c r="C2205" t="s">
        <v>25</v>
      </c>
      <c r="D2205" t="s">
        <v>13</v>
      </c>
    </row>
    <row r="2206" spans="1:4" x14ac:dyDescent="0.35">
      <c r="A2206">
        <v>424</v>
      </c>
      <c r="B2206" t="s">
        <v>1681</v>
      </c>
      <c r="C2206" t="s">
        <v>25</v>
      </c>
      <c r="D2206" t="s">
        <v>13</v>
      </c>
    </row>
    <row r="2207" spans="1:4" x14ac:dyDescent="0.35">
      <c r="A2207">
        <v>425</v>
      </c>
      <c r="B2207" t="s">
        <v>1682</v>
      </c>
      <c r="C2207" t="s">
        <v>19</v>
      </c>
      <c r="D2207" t="s">
        <v>13</v>
      </c>
    </row>
    <row r="2208" spans="1:4" x14ac:dyDescent="0.35">
      <c r="A2208">
        <v>425</v>
      </c>
      <c r="B2208" t="s">
        <v>1683</v>
      </c>
      <c r="C2208" t="s">
        <v>19</v>
      </c>
      <c r="D2208" t="s">
        <v>13</v>
      </c>
    </row>
    <row r="2209" spans="1:4" x14ac:dyDescent="0.35">
      <c r="A2209">
        <v>425</v>
      </c>
      <c r="B2209" t="s">
        <v>1684</v>
      </c>
      <c r="C2209" t="s">
        <v>19</v>
      </c>
      <c r="D2209" t="s">
        <v>13</v>
      </c>
    </row>
    <row r="2210" spans="1:4" x14ac:dyDescent="0.35">
      <c r="A2210">
        <v>425</v>
      </c>
      <c r="B2210" t="s">
        <v>1685</v>
      </c>
      <c r="C2210" t="s">
        <v>19</v>
      </c>
      <c r="D2210" t="s">
        <v>13</v>
      </c>
    </row>
    <row r="2211" spans="1:4" x14ac:dyDescent="0.35">
      <c r="A2211">
        <v>425</v>
      </c>
      <c r="B2211" t="s">
        <v>1686</v>
      </c>
      <c r="C2211" t="s">
        <v>19</v>
      </c>
      <c r="D2211" t="s">
        <v>13</v>
      </c>
    </row>
    <row r="2212" spans="1:4" x14ac:dyDescent="0.35">
      <c r="A2212">
        <v>425</v>
      </c>
      <c r="B2212" t="s">
        <v>1687</v>
      </c>
      <c r="C2212" t="s">
        <v>19</v>
      </c>
      <c r="D2212" t="s">
        <v>13</v>
      </c>
    </row>
    <row r="2213" spans="1:4" x14ac:dyDescent="0.35">
      <c r="A2213">
        <v>425</v>
      </c>
      <c r="B2213" t="s">
        <v>1442</v>
      </c>
      <c r="C2213" t="s">
        <v>19</v>
      </c>
      <c r="D2213" t="s">
        <v>13</v>
      </c>
    </row>
    <row r="2214" spans="1:4" x14ac:dyDescent="0.35">
      <c r="A2214">
        <v>425</v>
      </c>
      <c r="B2214" t="s">
        <v>1688</v>
      </c>
      <c r="C2214" t="s">
        <v>19</v>
      </c>
      <c r="D2214" t="s">
        <v>13</v>
      </c>
    </row>
    <row r="2215" spans="1:4" x14ac:dyDescent="0.35">
      <c r="A2215">
        <v>426</v>
      </c>
      <c r="B2215" t="s">
        <v>1689</v>
      </c>
      <c r="C2215" t="s">
        <v>101</v>
      </c>
      <c r="D2215" t="s">
        <v>6</v>
      </c>
    </row>
    <row r="2216" spans="1:4" x14ac:dyDescent="0.35">
      <c r="A2216">
        <v>426</v>
      </c>
      <c r="B2216" t="s">
        <v>1690</v>
      </c>
      <c r="C2216" t="s">
        <v>35</v>
      </c>
      <c r="D2216" t="s">
        <v>13</v>
      </c>
    </row>
    <row r="2217" spans="1:4" x14ac:dyDescent="0.35">
      <c r="A2217">
        <v>426</v>
      </c>
      <c r="B2217" t="s">
        <v>1690</v>
      </c>
      <c r="C2217" t="s">
        <v>101</v>
      </c>
      <c r="D2217" t="s">
        <v>6</v>
      </c>
    </row>
    <row r="2218" spans="1:4" x14ac:dyDescent="0.35">
      <c r="A2218">
        <v>426</v>
      </c>
      <c r="B2218" t="s">
        <v>1691</v>
      </c>
      <c r="C2218" t="s">
        <v>101</v>
      </c>
      <c r="D2218" t="s">
        <v>6</v>
      </c>
    </row>
    <row r="2219" spans="1:4" x14ac:dyDescent="0.35">
      <c r="A2219">
        <v>426</v>
      </c>
      <c r="B2219" t="s">
        <v>1692</v>
      </c>
      <c r="C2219" t="s">
        <v>101</v>
      </c>
      <c r="D2219" t="s">
        <v>6</v>
      </c>
    </row>
    <row r="2220" spans="1:4" x14ac:dyDescent="0.35">
      <c r="A2220">
        <v>426</v>
      </c>
      <c r="B2220" t="s">
        <v>1693</v>
      </c>
      <c r="C2220" t="s">
        <v>101</v>
      </c>
      <c r="D2220" t="s">
        <v>6</v>
      </c>
    </row>
    <row r="2221" spans="1:4" x14ac:dyDescent="0.35">
      <c r="A2221">
        <v>426</v>
      </c>
      <c r="B2221" t="s">
        <v>1694</v>
      </c>
      <c r="C2221" t="s">
        <v>19</v>
      </c>
      <c r="D2221" t="s">
        <v>13</v>
      </c>
    </row>
    <row r="2222" spans="1:4" x14ac:dyDescent="0.35">
      <c r="A2222">
        <v>426</v>
      </c>
      <c r="B2222" t="s">
        <v>1695</v>
      </c>
      <c r="C2222" t="s">
        <v>101</v>
      </c>
      <c r="D2222" t="s">
        <v>6</v>
      </c>
    </row>
    <row r="2223" spans="1:4" x14ac:dyDescent="0.35">
      <c r="A2223">
        <v>427</v>
      </c>
      <c r="B2223" t="s">
        <v>1696</v>
      </c>
      <c r="C2223" t="s">
        <v>19</v>
      </c>
      <c r="D2223" t="s">
        <v>13</v>
      </c>
    </row>
    <row r="2224" spans="1:4" x14ac:dyDescent="0.35">
      <c r="A2224">
        <v>427</v>
      </c>
      <c r="B2224" t="s">
        <v>1696</v>
      </c>
      <c r="C2224" t="s">
        <v>72</v>
      </c>
      <c r="D2224" t="s">
        <v>13</v>
      </c>
    </row>
    <row r="2225" spans="1:4" x14ac:dyDescent="0.35">
      <c r="A2225">
        <v>427</v>
      </c>
      <c r="B2225" t="s">
        <v>1697</v>
      </c>
      <c r="C2225" t="s">
        <v>72</v>
      </c>
      <c r="D2225" t="s">
        <v>13</v>
      </c>
    </row>
    <row r="2226" spans="1:4" x14ac:dyDescent="0.35">
      <c r="A2226">
        <v>427</v>
      </c>
      <c r="B2226" t="s">
        <v>1698</v>
      </c>
      <c r="C2226" t="s">
        <v>72</v>
      </c>
      <c r="D2226" t="s">
        <v>13</v>
      </c>
    </row>
    <row r="2227" spans="1:4" x14ac:dyDescent="0.35">
      <c r="A2227">
        <v>428</v>
      </c>
      <c r="B2227" t="s">
        <v>1699</v>
      </c>
      <c r="C2227" t="s">
        <v>19</v>
      </c>
      <c r="D2227" t="s">
        <v>13</v>
      </c>
    </row>
    <row r="2228" spans="1:4" x14ac:dyDescent="0.35">
      <c r="A2228">
        <v>428</v>
      </c>
      <c r="B2228" t="s">
        <v>1700</v>
      </c>
      <c r="C2228" t="s">
        <v>19</v>
      </c>
      <c r="D2228" t="s">
        <v>13</v>
      </c>
    </row>
    <row r="2229" spans="1:4" x14ac:dyDescent="0.35">
      <c r="A2229">
        <v>428</v>
      </c>
      <c r="B2229" t="s">
        <v>1701</v>
      </c>
      <c r="C2229" t="s">
        <v>19</v>
      </c>
      <c r="D2229" t="s">
        <v>13</v>
      </c>
    </row>
    <row r="2230" spans="1:4" x14ac:dyDescent="0.35">
      <c r="A2230">
        <v>428</v>
      </c>
      <c r="B2230" t="s">
        <v>1702</v>
      </c>
      <c r="C2230" t="s">
        <v>19</v>
      </c>
      <c r="D2230" t="s">
        <v>13</v>
      </c>
    </row>
    <row r="2231" spans="1:4" x14ac:dyDescent="0.35">
      <c r="A2231">
        <v>428</v>
      </c>
      <c r="B2231" t="s">
        <v>1703</v>
      </c>
      <c r="C2231" t="s">
        <v>19</v>
      </c>
      <c r="D2231" t="s">
        <v>13</v>
      </c>
    </row>
    <row r="2232" spans="1:4" x14ac:dyDescent="0.35">
      <c r="A2232">
        <v>428</v>
      </c>
      <c r="B2232" t="s">
        <v>1704</v>
      </c>
      <c r="C2232" t="s">
        <v>19</v>
      </c>
      <c r="D2232" t="s">
        <v>13</v>
      </c>
    </row>
    <row r="2233" spans="1:4" x14ac:dyDescent="0.35">
      <c r="A2233">
        <v>428</v>
      </c>
      <c r="B2233" t="s">
        <v>1705</v>
      </c>
      <c r="C2233" t="s">
        <v>19</v>
      </c>
      <c r="D2233" t="s">
        <v>13</v>
      </c>
    </row>
    <row r="2234" spans="1:4" x14ac:dyDescent="0.35">
      <c r="A2234">
        <v>428</v>
      </c>
      <c r="B2234" t="s">
        <v>1706</v>
      </c>
      <c r="C2234" t="s">
        <v>19</v>
      </c>
      <c r="D2234" t="s">
        <v>13</v>
      </c>
    </row>
    <row r="2235" spans="1:4" x14ac:dyDescent="0.35">
      <c r="A2235">
        <v>428</v>
      </c>
      <c r="B2235" t="s">
        <v>1707</v>
      </c>
      <c r="C2235" t="s">
        <v>19</v>
      </c>
      <c r="D2235" t="s">
        <v>13</v>
      </c>
    </row>
    <row r="2236" spans="1:4" x14ac:dyDescent="0.35">
      <c r="A2236">
        <v>429</v>
      </c>
      <c r="B2236" t="s">
        <v>1708</v>
      </c>
      <c r="C2236" t="s">
        <v>72</v>
      </c>
      <c r="D2236" t="s">
        <v>13</v>
      </c>
    </row>
    <row r="2237" spans="1:4" x14ac:dyDescent="0.35">
      <c r="A2237">
        <v>429</v>
      </c>
      <c r="B2237" t="s">
        <v>1709</v>
      </c>
      <c r="C2237" t="s">
        <v>19</v>
      </c>
      <c r="D2237" t="s">
        <v>13</v>
      </c>
    </row>
    <row r="2238" spans="1:4" x14ac:dyDescent="0.35">
      <c r="A2238">
        <v>429</v>
      </c>
      <c r="B2238" t="s">
        <v>1710</v>
      </c>
      <c r="C2238" t="s">
        <v>19</v>
      </c>
      <c r="D2238" t="s">
        <v>13</v>
      </c>
    </row>
    <row r="2239" spans="1:4" x14ac:dyDescent="0.35">
      <c r="A2239">
        <v>429</v>
      </c>
      <c r="B2239" t="s">
        <v>1711</v>
      </c>
      <c r="C2239" t="s">
        <v>19</v>
      </c>
      <c r="D2239" t="s">
        <v>13</v>
      </c>
    </row>
    <row r="2240" spans="1:4" x14ac:dyDescent="0.35">
      <c r="A2240">
        <v>429</v>
      </c>
      <c r="B2240" t="s">
        <v>1712</v>
      </c>
      <c r="C2240" t="s">
        <v>72</v>
      </c>
      <c r="D2240" t="s">
        <v>13</v>
      </c>
    </row>
    <row r="2241" spans="1:4" x14ac:dyDescent="0.35">
      <c r="A2241">
        <v>429</v>
      </c>
      <c r="B2241" t="s">
        <v>1713</v>
      </c>
      <c r="C2241" t="s">
        <v>72</v>
      </c>
      <c r="D2241" t="s">
        <v>13</v>
      </c>
    </row>
    <row r="2242" spans="1:4" x14ac:dyDescent="0.35">
      <c r="A2242">
        <v>429</v>
      </c>
      <c r="B2242" t="s">
        <v>1714</v>
      </c>
      <c r="C2242" t="s">
        <v>72</v>
      </c>
      <c r="D2242" t="s">
        <v>13</v>
      </c>
    </row>
    <row r="2243" spans="1:4" x14ac:dyDescent="0.35">
      <c r="A2243">
        <v>430</v>
      </c>
      <c r="B2243" t="s">
        <v>1715</v>
      </c>
      <c r="C2243" t="s">
        <v>12</v>
      </c>
      <c r="D2243" t="s">
        <v>13</v>
      </c>
    </row>
    <row r="2244" spans="1:4" x14ac:dyDescent="0.35">
      <c r="A2244">
        <v>430</v>
      </c>
      <c r="B2244" t="s">
        <v>1716</v>
      </c>
      <c r="C2244" t="s">
        <v>12</v>
      </c>
      <c r="D2244" t="s">
        <v>13</v>
      </c>
    </row>
    <row r="2245" spans="1:4" x14ac:dyDescent="0.35">
      <c r="A2245">
        <v>430</v>
      </c>
      <c r="B2245" t="s">
        <v>1717</v>
      </c>
      <c r="C2245" t="s">
        <v>12</v>
      </c>
      <c r="D2245" t="s">
        <v>13</v>
      </c>
    </row>
    <row r="2246" spans="1:4" x14ac:dyDescent="0.35">
      <c r="A2246">
        <v>430</v>
      </c>
      <c r="B2246" t="s">
        <v>1718</v>
      </c>
      <c r="C2246" t="s">
        <v>12</v>
      </c>
      <c r="D2246" t="s">
        <v>13</v>
      </c>
    </row>
    <row r="2247" spans="1:4" x14ac:dyDescent="0.35">
      <c r="A2247">
        <v>430</v>
      </c>
      <c r="B2247" t="s">
        <v>1719</v>
      </c>
      <c r="C2247" t="s">
        <v>12</v>
      </c>
      <c r="D2247" t="s">
        <v>13</v>
      </c>
    </row>
    <row r="2248" spans="1:4" x14ac:dyDescent="0.35">
      <c r="A2248">
        <v>430</v>
      </c>
      <c r="B2248" t="s">
        <v>1720</v>
      </c>
      <c r="C2248" t="s">
        <v>12</v>
      </c>
      <c r="D2248" t="s">
        <v>13</v>
      </c>
    </row>
    <row r="2249" spans="1:4" x14ac:dyDescent="0.35">
      <c r="A2249">
        <v>431</v>
      </c>
      <c r="B2249" t="s">
        <v>1127</v>
      </c>
      <c r="C2249" t="s">
        <v>231</v>
      </c>
      <c r="D2249" t="s">
        <v>6</v>
      </c>
    </row>
    <row r="2250" spans="1:4" x14ac:dyDescent="0.35">
      <c r="A2250">
        <v>431</v>
      </c>
      <c r="B2250" t="s">
        <v>1721</v>
      </c>
      <c r="C2250" t="s">
        <v>231</v>
      </c>
      <c r="D2250" t="s">
        <v>6</v>
      </c>
    </row>
    <row r="2251" spans="1:4" x14ac:dyDescent="0.35">
      <c r="A2251">
        <v>431</v>
      </c>
      <c r="B2251" t="s">
        <v>1722</v>
      </c>
      <c r="C2251" t="s">
        <v>231</v>
      </c>
      <c r="D2251" t="s">
        <v>6</v>
      </c>
    </row>
    <row r="2252" spans="1:4" x14ac:dyDescent="0.35">
      <c r="A2252">
        <v>431</v>
      </c>
      <c r="B2252" t="s">
        <v>1723</v>
      </c>
      <c r="C2252" t="s">
        <v>231</v>
      </c>
      <c r="D2252" t="s">
        <v>6</v>
      </c>
    </row>
    <row r="2253" spans="1:4" x14ac:dyDescent="0.35">
      <c r="A2253">
        <v>431</v>
      </c>
      <c r="B2253" t="s">
        <v>1724</v>
      </c>
      <c r="C2253" t="s">
        <v>231</v>
      </c>
      <c r="D2253" t="s">
        <v>6</v>
      </c>
    </row>
    <row r="2254" spans="1:4" x14ac:dyDescent="0.35">
      <c r="A2254">
        <v>431</v>
      </c>
      <c r="B2254" t="s">
        <v>1725</v>
      </c>
      <c r="C2254" t="s">
        <v>231</v>
      </c>
      <c r="D2254" t="s">
        <v>6</v>
      </c>
    </row>
    <row r="2255" spans="1:4" x14ac:dyDescent="0.35">
      <c r="A2255">
        <v>432</v>
      </c>
      <c r="B2255" t="s">
        <v>1726</v>
      </c>
      <c r="C2255" t="s">
        <v>231</v>
      </c>
      <c r="D2255" t="s">
        <v>6</v>
      </c>
    </row>
    <row r="2256" spans="1:4" x14ac:dyDescent="0.35">
      <c r="A2256">
        <v>432</v>
      </c>
      <c r="B2256" t="s">
        <v>1726</v>
      </c>
      <c r="C2256" t="s">
        <v>153</v>
      </c>
      <c r="D2256" t="s">
        <v>13</v>
      </c>
    </row>
    <row r="2257" spans="1:4" x14ac:dyDescent="0.35">
      <c r="A2257">
        <v>432</v>
      </c>
      <c r="B2257" t="s">
        <v>1727</v>
      </c>
      <c r="C2257" t="s">
        <v>231</v>
      </c>
      <c r="D2257" t="s">
        <v>6</v>
      </c>
    </row>
    <row r="2258" spans="1:4" x14ac:dyDescent="0.35">
      <c r="A2258">
        <v>432</v>
      </c>
      <c r="B2258" t="s">
        <v>1728</v>
      </c>
      <c r="C2258" t="s">
        <v>48</v>
      </c>
      <c r="D2258" t="s">
        <v>13</v>
      </c>
    </row>
    <row r="2259" spans="1:4" x14ac:dyDescent="0.35">
      <c r="A2259">
        <v>432</v>
      </c>
      <c r="B2259" t="s">
        <v>1729</v>
      </c>
      <c r="C2259" t="s">
        <v>231</v>
      </c>
      <c r="D2259" t="s">
        <v>6</v>
      </c>
    </row>
    <row r="2260" spans="1:4" x14ac:dyDescent="0.35">
      <c r="A2260">
        <v>433</v>
      </c>
      <c r="B2260" t="s">
        <v>1730</v>
      </c>
      <c r="C2260" t="s">
        <v>45</v>
      </c>
      <c r="D2260" t="s">
        <v>6</v>
      </c>
    </row>
    <row r="2261" spans="1:4" x14ac:dyDescent="0.35">
      <c r="A2261">
        <v>433</v>
      </c>
      <c r="B2261" t="s">
        <v>1237</v>
      </c>
      <c r="C2261" t="s">
        <v>16</v>
      </c>
      <c r="D2261" t="s">
        <v>13</v>
      </c>
    </row>
    <row r="2262" spans="1:4" x14ac:dyDescent="0.35">
      <c r="A2262">
        <v>433</v>
      </c>
      <c r="B2262" t="s">
        <v>1238</v>
      </c>
      <c r="C2262" t="s">
        <v>16</v>
      </c>
      <c r="D2262" t="s">
        <v>13</v>
      </c>
    </row>
    <row r="2263" spans="1:4" x14ac:dyDescent="0.35">
      <c r="A2263">
        <v>434</v>
      </c>
      <c r="B2263" t="s">
        <v>1101</v>
      </c>
      <c r="C2263" t="s">
        <v>157</v>
      </c>
      <c r="D2263" t="s">
        <v>6</v>
      </c>
    </row>
    <row r="2264" spans="1:4" x14ac:dyDescent="0.35">
      <c r="A2264">
        <v>434</v>
      </c>
      <c r="B2264" t="s">
        <v>1731</v>
      </c>
      <c r="C2264" t="s">
        <v>157</v>
      </c>
      <c r="D2264" t="s">
        <v>6</v>
      </c>
    </row>
    <row r="2265" spans="1:4" x14ac:dyDescent="0.35">
      <c r="A2265">
        <v>434</v>
      </c>
      <c r="B2265" t="s">
        <v>328</v>
      </c>
      <c r="C2265" t="s">
        <v>93</v>
      </c>
      <c r="D2265" t="s">
        <v>13</v>
      </c>
    </row>
    <row r="2266" spans="1:4" x14ac:dyDescent="0.35">
      <c r="A2266">
        <v>434</v>
      </c>
      <c r="B2266" t="s">
        <v>328</v>
      </c>
      <c r="C2266" t="s">
        <v>157</v>
      </c>
      <c r="D2266" t="s">
        <v>6</v>
      </c>
    </row>
    <row r="2267" spans="1:4" x14ac:dyDescent="0.35">
      <c r="A2267">
        <v>434</v>
      </c>
      <c r="B2267" t="s">
        <v>329</v>
      </c>
      <c r="C2267" t="s">
        <v>157</v>
      </c>
      <c r="D2267" t="s">
        <v>6</v>
      </c>
    </row>
    <row r="2268" spans="1:4" x14ac:dyDescent="0.35">
      <c r="A2268">
        <v>434</v>
      </c>
      <c r="B2268" t="s">
        <v>1732</v>
      </c>
      <c r="C2268" t="s">
        <v>157</v>
      </c>
      <c r="D2268" t="s">
        <v>6</v>
      </c>
    </row>
    <row r="2269" spans="1:4" x14ac:dyDescent="0.35">
      <c r="A2269">
        <v>434</v>
      </c>
      <c r="B2269" t="s">
        <v>1733</v>
      </c>
      <c r="C2269" t="s">
        <v>45</v>
      </c>
      <c r="D2269" t="s">
        <v>6</v>
      </c>
    </row>
    <row r="2270" spans="1:4" x14ac:dyDescent="0.35">
      <c r="A2270">
        <v>434</v>
      </c>
      <c r="B2270" t="s">
        <v>1734</v>
      </c>
      <c r="C2270" t="s">
        <v>45</v>
      </c>
      <c r="D2270" t="s">
        <v>6</v>
      </c>
    </row>
    <row r="2271" spans="1:4" x14ac:dyDescent="0.35">
      <c r="A2271">
        <v>435</v>
      </c>
      <c r="B2271" t="s">
        <v>217</v>
      </c>
      <c r="C2271" t="s">
        <v>25</v>
      </c>
      <c r="D2271" t="s">
        <v>13</v>
      </c>
    </row>
    <row r="2272" spans="1:4" x14ac:dyDescent="0.35">
      <c r="A2272">
        <v>435</v>
      </c>
      <c r="B2272" t="s">
        <v>1735</v>
      </c>
      <c r="C2272" t="s">
        <v>25</v>
      </c>
      <c r="D2272" t="s">
        <v>13</v>
      </c>
    </row>
    <row r="2273" spans="1:4" x14ac:dyDescent="0.35">
      <c r="A2273">
        <v>435</v>
      </c>
      <c r="B2273" t="s">
        <v>218</v>
      </c>
      <c r="C2273" t="s">
        <v>25</v>
      </c>
      <c r="D2273" t="s">
        <v>13</v>
      </c>
    </row>
    <row r="2274" spans="1:4" x14ac:dyDescent="0.35">
      <c r="A2274">
        <v>435</v>
      </c>
      <c r="B2274" t="s">
        <v>220</v>
      </c>
      <c r="C2274" t="s">
        <v>25</v>
      </c>
      <c r="D2274" t="s">
        <v>13</v>
      </c>
    </row>
    <row r="2275" spans="1:4" x14ac:dyDescent="0.35">
      <c r="A2275">
        <v>436</v>
      </c>
      <c r="B2275" t="s">
        <v>1736</v>
      </c>
      <c r="C2275" t="s">
        <v>189</v>
      </c>
      <c r="D2275" t="s">
        <v>6</v>
      </c>
    </row>
    <row r="2276" spans="1:4" x14ac:dyDescent="0.35">
      <c r="A2276">
        <v>436</v>
      </c>
      <c r="B2276" t="s">
        <v>1737</v>
      </c>
      <c r="C2276" t="s">
        <v>157</v>
      </c>
      <c r="D2276" t="s">
        <v>6</v>
      </c>
    </row>
    <row r="2277" spans="1:4" x14ac:dyDescent="0.35">
      <c r="A2277">
        <v>436</v>
      </c>
      <c r="B2277" t="s">
        <v>1738</v>
      </c>
      <c r="C2277" t="s">
        <v>157</v>
      </c>
      <c r="D2277" t="s">
        <v>6</v>
      </c>
    </row>
    <row r="2278" spans="1:4" x14ac:dyDescent="0.35">
      <c r="A2278">
        <v>436</v>
      </c>
      <c r="B2278" t="s">
        <v>1739</v>
      </c>
      <c r="C2278" t="s">
        <v>189</v>
      </c>
      <c r="D2278" t="s">
        <v>6</v>
      </c>
    </row>
    <row r="2279" spans="1:4" x14ac:dyDescent="0.35">
      <c r="A2279">
        <v>436</v>
      </c>
      <c r="B2279" t="s">
        <v>1740</v>
      </c>
      <c r="C2279" t="s">
        <v>189</v>
      </c>
      <c r="D2279" t="s">
        <v>6</v>
      </c>
    </row>
    <row r="2280" spans="1:4" x14ac:dyDescent="0.35">
      <c r="A2280">
        <v>436</v>
      </c>
      <c r="B2280" t="s">
        <v>1741</v>
      </c>
      <c r="C2280" t="s">
        <v>98</v>
      </c>
      <c r="D2280" t="s">
        <v>13</v>
      </c>
    </row>
    <row r="2281" spans="1:4" x14ac:dyDescent="0.35">
      <c r="A2281">
        <v>436</v>
      </c>
      <c r="B2281" t="s">
        <v>1742</v>
      </c>
      <c r="C2281" t="s">
        <v>189</v>
      </c>
      <c r="D2281" t="s">
        <v>6</v>
      </c>
    </row>
    <row r="2282" spans="1:4" x14ac:dyDescent="0.35">
      <c r="A2282">
        <v>437</v>
      </c>
      <c r="B2282" t="s">
        <v>1225</v>
      </c>
      <c r="C2282" t="s">
        <v>72</v>
      </c>
      <c r="D2282" t="s">
        <v>13</v>
      </c>
    </row>
    <row r="2283" spans="1:4" x14ac:dyDescent="0.35">
      <c r="A2283">
        <v>437</v>
      </c>
      <c r="B2283" t="s">
        <v>1743</v>
      </c>
      <c r="C2283" t="s">
        <v>1744</v>
      </c>
      <c r="D2283" t="s">
        <v>13</v>
      </c>
    </row>
    <row r="2284" spans="1:4" x14ac:dyDescent="0.35">
      <c r="A2284">
        <v>437</v>
      </c>
      <c r="B2284" t="s">
        <v>1745</v>
      </c>
      <c r="C2284" t="s">
        <v>72</v>
      </c>
      <c r="D2284" t="s">
        <v>13</v>
      </c>
    </row>
    <row r="2285" spans="1:4" x14ac:dyDescent="0.35">
      <c r="A2285">
        <v>438</v>
      </c>
      <c r="B2285" t="s">
        <v>1746</v>
      </c>
      <c r="C2285" t="s">
        <v>72</v>
      </c>
      <c r="D2285" t="s">
        <v>13</v>
      </c>
    </row>
    <row r="2286" spans="1:4" x14ac:dyDescent="0.35">
      <c r="A2286">
        <v>438</v>
      </c>
      <c r="B2286" t="s">
        <v>1747</v>
      </c>
      <c r="C2286" t="s">
        <v>72</v>
      </c>
      <c r="D2286" t="s">
        <v>13</v>
      </c>
    </row>
    <row r="2287" spans="1:4" x14ac:dyDescent="0.35">
      <c r="A2287">
        <v>438</v>
      </c>
      <c r="B2287" t="s">
        <v>1145</v>
      </c>
      <c r="C2287" t="s">
        <v>72</v>
      </c>
      <c r="D2287" t="s">
        <v>13</v>
      </c>
    </row>
    <row r="2288" spans="1:4" x14ac:dyDescent="0.35">
      <c r="A2288">
        <v>439</v>
      </c>
      <c r="B2288" t="s">
        <v>1748</v>
      </c>
      <c r="C2288" t="s">
        <v>189</v>
      </c>
      <c r="D2288" t="s">
        <v>6</v>
      </c>
    </row>
    <row r="2289" spans="1:4" x14ac:dyDescent="0.35">
      <c r="A2289">
        <v>439</v>
      </c>
      <c r="B2289" t="s">
        <v>1749</v>
      </c>
      <c r="C2289" t="s">
        <v>517</v>
      </c>
      <c r="D2289" t="s">
        <v>13</v>
      </c>
    </row>
    <row r="2290" spans="1:4" x14ac:dyDescent="0.35">
      <c r="A2290">
        <v>439</v>
      </c>
      <c r="B2290" t="s">
        <v>1750</v>
      </c>
      <c r="C2290" t="s">
        <v>48</v>
      </c>
      <c r="D2290" t="s">
        <v>13</v>
      </c>
    </row>
    <row r="2291" spans="1:4" x14ac:dyDescent="0.35">
      <c r="A2291">
        <v>439</v>
      </c>
      <c r="B2291" t="s">
        <v>1606</v>
      </c>
      <c r="C2291" t="s">
        <v>189</v>
      </c>
      <c r="D2291" t="s">
        <v>6</v>
      </c>
    </row>
    <row r="2292" spans="1:4" x14ac:dyDescent="0.35">
      <c r="A2292">
        <v>439</v>
      </c>
      <c r="B2292" t="s">
        <v>1751</v>
      </c>
      <c r="C2292" t="s">
        <v>517</v>
      </c>
      <c r="D2292" t="s">
        <v>13</v>
      </c>
    </row>
    <row r="2293" spans="1:4" x14ac:dyDescent="0.35">
      <c r="A2293">
        <v>439</v>
      </c>
      <c r="B2293" t="s">
        <v>1752</v>
      </c>
      <c r="C2293" t="s">
        <v>517</v>
      </c>
      <c r="D2293" t="s">
        <v>13</v>
      </c>
    </row>
    <row r="2294" spans="1:4" x14ac:dyDescent="0.35">
      <c r="A2294">
        <v>439</v>
      </c>
      <c r="B2294" t="s">
        <v>1753</v>
      </c>
      <c r="C2294" t="s">
        <v>517</v>
      </c>
      <c r="D2294" t="s">
        <v>13</v>
      </c>
    </row>
    <row r="2295" spans="1:4" x14ac:dyDescent="0.35">
      <c r="A2295">
        <v>439</v>
      </c>
      <c r="B2295" t="s">
        <v>1754</v>
      </c>
      <c r="C2295" t="s">
        <v>517</v>
      </c>
      <c r="D2295" t="s">
        <v>13</v>
      </c>
    </row>
    <row r="2296" spans="1:4" x14ac:dyDescent="0.35">
      <c r="A2296">
        <v>440</v>
      </c>
      <c r="B2296" t="s">
        <v>739</v>
      </c>
      <c r="C2296" t="s">
        <v>245</v>
      </c>
      <c r="D2296" t="s">
        <v>13</v>
      </c>
    </row>
    <row r="2297" spans="1:4" x14ac:dyDescent="0.35">
      <c r="A2297">
        <v>440</v>
      </c>
      <c r="B2297" t="s">
        <v>739</v>
      </c>
      <c r="C2297" t="s">
        <v>231</v>
      </c>
      <c r="D2297" t="s">
        <v>6</v>
      </c>
    </row>
    <row r="2298" spans="1:4" x14ac:dyDescent="0.35">
      <c r="A2298">
        <v>440</v>
      </c>
      <c r="B2298" t="s">
        <v>590</v>
      </c>
      <c r="C2298" t="s">
        <v>22</v>
      </c>
      <c r="D2298" t="s">
        <v>13</v>
      </c>
    </row>
    <row r="2299" spans="1:4" x14ac:dyDescent="0.35">
      <c r="A2299">
        <v>440</v>
      </c>
      <c r="B2299" t="s">
        <v>1755</v>
      </c>
      <c r="C2299" t="s">
        <v>231</v>
      </c>
      <c r="D2299" t="s">
        <v>6</v>
      </c>
    </row>
    <row r="2300" spans="1:4" x14ac:dyDescent="0.35">
      <c r="A2300">
        <v>440</v>
      </c>
      <c r="B2300" t="s">
        <v>967</v>
      </c>
      <c r="C2300" t="s">
        <v>231</v>
      </c>
      <c r="D2300" t="s">
        <v>6</v>
      </c>
    </row>
    <row r="2301" spans="1:4" x14ac:dyDescent="0.35">
      <c r="A2301">
        <v>440</v>
      </c>
      <c r="B2301" t="s">
        <v>580</v>
      </c>
      <c r="C2301" t="s">
        <v>231</v>
      </c>
      <c r="D2301" t="s">
        <v>6</v>
      </c>
    </row>
    <row r="2302" spans="1:4" x14ac:dyDescent="0.35">
      <c r="A2302">
        <v>440</v>
      </c>
      <c r="B2302" t="s">
        <v>1126</v>
      </c>
      <c r="C2302" t="s">
        <v>72</v>
      </c>
      <c r="D2302" t="s">
        <v>13</v>
      </c>
    </row>
    <row r="2303" spans="1:4" x14ac:dyDescent="0.35">
      <c r="A2303">
        <v>440</v>
      </c>
      <c r="B2303" t="s">
        <v>1756</v>
      </c>
      <c r="C2303" t="s">
        <v>231</v>
      </c>
      <c r="D2303" t="s">
        <v>6</v>
      </c>
    </row>
    <row r="2304" spans="1:4" x14ac:dyDescent="0.35">
      <c r="A2304">
        <v>441</v>
      </c>
      <c r="B2304" t="s">
        <v>1757</v>
      </c>
      <c r="C2304" t="s">
        <v>93</v>
      </c>
      <c r="D2304" t="s">
        <v>13</v>
      </c>
    </row>
    <row r="2305" spans="1:4" x14ac:dyDescent="0.35">
      <c r="A2305">
        <v>441</v>
      </c>
      <c r="B2305" t="s">
        <v>1757</v>
      </c>
      <c r="C2305" t="s">
        <v>72</v>
      </c>
      <c r="D2305" t="s">
        <v>13</v>
      </c>
    </row>
    <row r="2306" spans="1:4" x14ac:dyDescent="0.35">
      <c r="A2306">
        <v>441</v>
      </c>
      <c r="B2306" t="s">
        <v>1758</v>
      </c>
      <c r="C2306" t="s">
        <v>72</v>
      </c>
      <c r="D2306" t="s">
        <v>13</v>
      </c>
    </row>
    <row r="2307" spans="1:4" x14ac:dyDescent="0.35">
      <c r="A2307">
        <v>441</v>
      </c>
      <c r="B2307" t="s">
        <v>1759</v>
      </c>
      <c r="C2307" t="s">
        <v>72</v>
      </c>
      <c r="D2307" t="s">
        <v>13</v>
      </c>
    </row>
    <row r="2308" spans="1:4" x14ac:dyDescent="0.35">
      <c r="A2308">
        <v>441</v>
      </c>
      <c r="B2308" t="s">
        <v>988</v>
      </c>
      <c r="C2308" t="s">
        <v>72</v>
      </c>
      <c r="D2308" t="s">
        <v>13</v>
      </c>
    </row>
    <row r="2309" spans="1:4" x14ac:dyDescent="0.35">
      <c r="A2309">
        <v>442</v>
      </c>
      <c r="B2309" t="s">
        <v>1760</v>
      </c>
      <c r="C2309" t="s">
        <v>16</v>
      </c>
      <c r="D2309" t="s">
        <v>13</v>
      </c>
    </row>
    <row r="2310" spans="1:4" x14ac:dyDescent="0.35">
      <c r="A2310">
        <v>442</v>
      </c>
      <c r="B2310" t="s">
        <v>535</v>
      </c>
      <c r="C2310" t="s">
        <v>16</v>
      </c>
      <c r="D2310" t="s">
        <v>13</v>
      </c>
    </row>
    <row r="2311" spans="1:4" x14ac:dyDescent="0.35">
      <c r="A2311">
        <v>442</v>
      </c>
      <c r="B2311" t="s">
        <v>1761</v>
      </c>
      <c r="C2311" t="s">
        <v>172</v>
      </c>
      <c r="D2311" t="s">
        <v>6</v>
      </c>
    </row>
    <row r="2312" spans="1:4" x14ac:dyDescent="0.35">
      <c r="A2312">
        <v>442</v>
      </c>
      <c r="B2312" t="s">
        <v>1762</v>
      </c>
      <c r="C2312" t="s">
        <v>172</v>
      </c>
      <c r="D2312" t="s">
        <v>6</v>
      </c>
    </row>
    <row r="2313" spans="1:4" x14ac:dyDescent="0.35">
      <c r="A2313">
        <v>442</v>
      </c>
      <c r="B2313" t="s">
        <v>1763</v>
      </c>
      <c r="C2313" t="s">
        <v>172</v>
      </c>
      <c r="D2313" t="s">
        <v>6</v>
      </c>
    </row>
    <row r="2314" spans="1:4" x14ac:dyDescent="0.35">
      <c r="A2314">
        <v>442</v>
      </c>
      <c r="B2314" t="s">
        <v>975</v>
      </c>
      <c r="C2314" t="s">
        <v>172</v>
      </c>
      <c r="D2314" t="s">
        <v>6</v>
      </c>
    </row>
    <row r="2315" spans="1:4" x14ac:dyDescent="0.35">
      <c r="A2315">
        <v>443</v>
      </c>
      <c r="B2315" t="s">
        <v>953</v>
      </c>
      <c r="C2315" t="s">
        <v>16</v>
      </c>
      <c r="D2315" t="s">
        <v>13</v>
      </c>
    </row>
    <row r="2316" spans="1:4" x14ac:dyDescent="0.35">
      <c r="A2316">
        <v>443</v>
      </c>
      <c r="B2316" t="s">
        <v>1764</v>
      </c>
      <c r="C2316" t="s">
        <v>16</v>
      </c>
      <c r="D2316" t="s">
        <v>13</v>
      </c>
    </row>
    <row r="2317" spans="1:4" x14ac:dyDescent="0.35">
      <c r="A2317">
        <v>443</v>
      </c>
      <c r="B2317" t="s">
        <v>1765</v>
      </c>
      <c r="C2317" t="s">
        <v>16</v>
      </c>
      <c r="D2317" t="s">
        <v>13</v>
      </c>
    </row>
    <row r="2318" spans="1:4" x14ac:dyDescent="0.35">
      <c r="A2318">
        <v>443</v>
      </c>
      <c r="B2318" t="s">
        <v>1766</v>
      </c>
      <c r="C2318" t="s">
        <v>16</v>
      </c>
      <c r="D2318" t="s">
        <v>13</v>
      </c>
    </row>
    <row r="2319" spans="1:4" x14ac:dyDescent="0.35">
      <c r="A2319">
        <v>443</v>
      </c>
      <c r="B2319" t="s">
        <v>1767</v>
      </c>
      <c r="C2319" t="s">
        <v>16</v>
      </c>
      <c r="D2319" t="s">
        <v>13</v>
      </c>
    </row>
    <row r="2320" spans="1:4" x14ac:dyDescent="0.35">
      <c r="A2320">
        <v>443</v>
      </c>
      <c r="B2320" t="s">
        <v>1768</v>
      </c>
      <c r="C2320" t="s">
        <v>16</v>
      </c>
      <c r="D2320" t="s">
        <v>13</v>
      </c>
    </row>
    <row r="2321" spans="1:4" x14ac:dyDescent="0.35">
      <c r="A2321">
        <v>443</v>
      </c>
      <c r="B2321" t="s">
        <v>1769</v>
      </c>
      <c r="C2321" t="s">
        <v>16</v>
      </c>
      <c r="D2321" t="s">
        <v>13</v>
      </c>
    </row>
    <row r="2322" spans="1:4" x14ac:dyDescent="0.35">
      <c r="A2322">
        <v>443</v>
      </c>
      <c r="B2322" t="s">
        <v>959</v>
      </c>
      <c r="C2322" t="s">
        <v>16</v>
      </c>
      <c r="D2322" t="s">
        <v>13</v>
      </c>
    </row>
    <row r="2323" spans="1:4" x14ac:dyDescent="0.35">
      <c r="A2323">
        <v>443</v>
      </c>
      <c r="B2323" t="s">
        <v>1770</v>
      </c>
      <c r="C2323" t="s">
        <v>16</v>
      </c>
      <c r="D2323" t="s">
        <v>13</v>
      </c>
    </row>
    <row r="2324" spans="1:4" x14ac:dyDescent="0.35">
      <c r="A2324">
        <v>444</v>
      </c>
      <c r="B2324" t="s">
        <v>1771</v>
      </c>
      <c r="C2324" t="s">
        <v>72</v>
      </c>
      <c r="D2324" t="s">
        <v>13</v>
      </c>
    </row>
    <row r="2325" spans="1:4" x14ac:dyDescent="0.35">
      <c r="A2325">
        <v>444</v>
      </c>
      <c r="B2325" t="s">
        <v>1772</v>
      </c>
      <c r="C2325" t="s">
        <v>72</v>
      </c>
      <c r="D2325" t="s">
        <v>13</v>
      </c>
    </row>
    <row r="2326" spans="1:4" x14ac:dyDescent="0.35">
      <c r="A2326">
        <v>444</v>
      </c>
      <c r="B2326" t="s">
        <v>1773</v>
      </c>
      <c r="C2326" t="s">
        <v>72</v>
      </c>
      <c r="D2326" t="s">
        <v>13</v>
      </c>
    </row>
    <row r="2327" spans="1:4" x14ac:dyDescent="0.35">
      <c r="A2327">
        <v>445</v>
      </c>
      <c r="B2327" t="s">
        <v>1774</v>
      </c>
      <c r="C2327" t="s">
        <v>72</v>
      </c>
      <c r="D2327" t="s">
        <v>13</v>
      </c>
    </row>
    <row r="2328" spans="1:4" x14ac:dyDescent="0.35">
      <c r="A2328">
        <v>445</v>
      </c>
      <c r="B2328" t="s">
        <v>1775</v>
      </c>
      <c r="C2328" t="s">
        <v>72</v>
      </c>
      <c r="D2328" t="s">
        <v>13</v>
      </c>
    </row>
    <row r="2329" spans="1:4" x14ac:dyDescent="0.35">
      <c r="A2329">
        <v>445</v>
      </c>
      <c r="B2329" t="s">
        <v>1775</v>
      </c>
      <c r="C2329" t="s">
        <v>19</v>
      </c>
      <c r="D2329" t="s">
        <v>13</v>
      </c>
    </row>
    <row r="2330" spans="1:4" x14ac:dyDescent="0.35">
      <c r="A2330">
        <v>445</v>
      </c>
      <c r="B2330" t="s">
        <v>1776</v>
      </c>
      <c r="C2330" t="s">
        <v>19</v>
      </c>
      <c r="D2330" t="s">
        <v>13</v>
      </c>
    </row>
    <row r="2331" spans="1:4" x14ac:dyDescent="0.35">
      <c r="A2331">
        <v>445</v>
      </c>
      <c r="B2331" t="s">
        <v>1777</v>
      </c>
      <c r="C2331" t="s">
        <v>72</v>
      </c>
      <c r="D2331" t="s">
        <v>13</v>
      </c>
    </row>
    <row r="2332" spans="1:4" x14ac:dyDescent="0.35">
      <c r="A2332">
        <v>445</v>
      </c>
      <c r="B2332" t="s">
        <v>1778</v>
      </c>
      <c r="C2332" t="s">
        <v>19</v>
      </c>
      <c r="D2332" t="s">
        <v>13</v>
      </c>
    </row>
    <row r="2333" spans="1:4" x14ac:dyDescent="0.35">
      <c r="A2333">
        <v>446</v>
      </c>
      <c r="B2333" t="s">
        <v>1779</v>
      </c>
      <c r="C2333" t="s">
        <v>72</v>
      </c>
      <c r="D2333" t="s">
        <v>13</v>
      </c>
    </row>
    <row r="2334" spans="1:4" x14ac:dyDescent="0.35">
      <c r="A2334">
        <v>446</v>
      </c>
      <c r="B2334" t="s">
        <v>1780</v>
      </c>
      <c r="C2334" t="s">
        <v>72</v>
      </c>
      <c r="D2334" t="s">
        <v>13</v>
      </c>
    </row>
    <row r="2335" spans="1:4" x14ac:dyDescent="0.35">
      <c r="A2335">
        <v>446</v>
      </c>
      <c r="B2335" t="s">
        <v>1781</v>
      </c>
      <c r="C2335" t="s">
        <v>72</v>
      </c>
      <c r="D2335" t="s">
        <v>13</v>
      </c>
    </row>
    <row r="2336" spans="1:4" x14ac:dyDescent="0.35">
      <c r="A2336">
        <v>446</v>
      </c>
      <c r="B2336" t="s">
        <v>1782</v>
      </c>
      <c r="C2336" t="s">
        <v>72</v>
      </c>
      <c r="D2336" t="s">
        <v>13</v>
      </c>
    </row>
    <row r="2337" spans="1:4" x14ac:dyDescent="0.35">
      <c r="A2337">
        <v>446</v>
      </c>
      <c r="B2337" t="s">
        <v>1783</v>
      </c>
      <c r="C2337" t="s">
        <v>72</v>
      </c>
      <c r="D2337" t="s">
        <v>13</v>
      </c>
    </row>
    <row r="2338" spans="1:4" x14ac:dyDescent="0.35">
      <c r="A2338">
        <v>446</v>
      </c>
      <c r="B2338" t="s">
        <v>1784</v>
      </c>
      <c r="C2338" t="s">
        <v>72</v>
      </c>
      <c r="D2338" t="s">
        <v>13</v>
      </c>
    </row>
    <row r="2339" spans="1:4" x14ac:dyDescent="0.35">
      <c r="A2339">
        <v>447</v>
      </c>
      <c r="B2339" t="s">
        <v>1785</v>
      </c>
      <c r="C2339" t="s">
        <v>231</v>
      </c>
      <c r="D2339" t="s">
        <v>6</v>
      </c>
    </row>
    <row r="2340" spans="1:4" x14ac:dyDescent="0.35">
      <c r="A2340">
        <v>447</v>
      </c>
      <c r="B2340" t="s">
        <v>357</v>
      </c>
      <c r="C2340" t="s">
        <v>231</v>
      </c>
      <c r="D2340" t="s">
        <v>6</v>
      </c>
    </row>
    <row r="2341" spans="1:4" x14ac:dyDescent="0.35">
      <c r="A2341">
        <v>447</v>
      </c>
      <c r="B2341" t="s">
        <v>1786</v>
      </c>
      <c r="C2341" t="s">
        <v>231</v>
      </c>
      <c r="D2341" t="s">
        <v>6</v>
      </c>
    </row>
    <row r="2342" spans="1:4" x14ac:dyDescent="0.35">
      <c r="A2342">
        <v>447</v>
      </c>
      <c r="B2342" t="s">
        <v>1787</v>
      </c>
      <c r="C2342" t="s">
        <v>231</v>
      </c>
      <c r="D2342" t="s">
        <v>6</v>
      </c>
    </row>
    <row r="2343" spans="1:4" x14ac:dyDescent="0.35">
      <c r="A2343">
        <v>447</v>
      </c>
      <c r="B2343" t="s">
        <v>1788</v>
      </c>
      <c r="C2343" t="s">
        <v>231</v>
      </c>
      <c r="D2343" t="s">
        <v>6</v>
      </c>
    </row>
    <row r="2344" spans="1:4" x14ac:dyDescent="0.35">
      <c r="A2344">
        <v>447</v>
      </c>
      <c r="B2344" t="s">
        <v>1789</v>
      </c>
      <c r="C2344" t="s">
        <v>231</v>
      </c>
      <c r="D2344" t="s">
        <v>6</v>
      </c>
    </row>
    <row r="2345" spans="1:4" x14ac:dyDescent="0.35">
      <c r="A2345">
        <v>448</v>
      </c>
      <c r="B2345" t="s">
        <v>1790</v>
      </c>
      <c r="C2345" t="s">
        <v>261</v>
      </c>
      <c r="D2345" t="s">
        <v>13</v>
      </c>
    </row>
    <row r="2346" spans="1:4" x14ac:dyDescent="0.35">
      <c r="A2346">
        <v>448</v>
      </c>
      <c r="B2346" t="s">
        <v>1791</v>
      </c>
      <c r="C2346" t="s">
        <v>261</v>
      </c>
      <c r="D2346" t="s">
        <v>13</v>
      </c>
    </row>
    <row r="2347" spans="1:4" x14ac:dyDescent="0.35">
      <c r="A2347">
        <v>448</v>
      </c>
      <c r="B2347" t="s">
        <v>1792</v>
      </c>
      <c r="C2347" t="s">
        <v>261</v>
      </c>
      <c r="D2347" t="s">
        <v>13</v>
      </c>
    </row>
    <row r="2348" spans="1:4" x14ac:dyDescent="0.35">
      <c r="A2348">
        <v>449</v>
      </c>
      <c r="B2348" t="s">
        <v>1793</v>
      </c>
      <c r="C2348" t="s">
        <v>35</v>
      </c>
      <c r="D2348" t="s">
        <v>13</v>
      </c>
    </row>
    <row r="2349" spans="1:4" x14ac:dyDescent="0.35">
      <c r="A2349">
        <v>449</v>
      </c>
      <c r="B2349" t="s">
        <v>1794</v>
      </c>
      <c r="C2349" t="s">
        <v>35</v>
      </c>
      <c r="D2349" t="s">
        <v>13</v>
      </c>
    </row>
    <row r="2350" spans="1:4" x14ac:dyDescent="0.35">
      <c r="A2350">
        <v>449</v>
      </c>
      <c r="B2350" t="s">
        <v>1795</v>
      </c>
      <c r="C2350" t="s">
        <v>35</v>
      </c>
      <c r="D2350" t="s">
        <v>13</v>
      </c>
    </row>
    <row r="2351" spans="1:4" x14ac:dyDescent="0.35">
      <c r="A2351">
        <v>449</v>
      </c>
      <c r="B2351" t="s">
        <v>1796</v>
      </c>
      <c r="C2351" t="s">
        <v>35</v>
      </c>
      <c r="D2351" t="s">
        <v>13</v>
      </c>
    </row>
    <row r="2352" spans="1:4" x14ac:dyDescent="0.35">
      <c r="A2352">
        <v>449</v>
      </c>
      <c r="B2352" t="s">
        <v>1797</v>
      </c>
      <c r="C2352" t="s">
        <v>45</v>
      </c>
      <c r="D2352" t="s">
        <v>6</v>
      </c>
    </row>
    <row r="2353" spans="1:4" x14ac:dyDescent="0.35">
      <c r="A2353">
        <v>449</v>
      </c>
      <c r="B2353" t="s">
        <v>1798</v>
      </c>
      <c r="C2353" t="s">
        <v>35</v>
      </c>
      <c r="D2353" t="s">
        <v>13</v>
      </c>
    </row>
    <row r="2354" spans="1:4" x14ac:dyDescent="0.35">
      <c r="A2354">
        <v>449</v>
      </c>
      <c r="B2354" t="s">
        <v>1799</v>
      </c>
      <c r="C2354" t="s">
        <v>35</v>
      </c>
      <c r="D2354" t="s">
        <v>13</v>
      </c>
    </row>
    <row r="2355" spans="1:4" x14ac:dyDescent="0.35">
      <c r="A2355">
        <v>449</v>
      </c>
      <c r="B2355" t="s">
        <v>1800</v>
      </c>
      <c r="C2355" t="s">
        <v>35</v>
      </c>
      <c r="D2355" t="s">
        <v>13</v>
      </c>
    </row>
    <row r="2356" spans="1:4" x14ac:dyDescent="0.35">
      <c r="A2356">
        <v>450</v>
      </c>
      <c r="B2356" t="s">
        <v>1801</v>
      </c>
      <c r="C2356" t="s">
        <v>157</v>
      </c>
      <c r="D2356" t="s">
        <v>6</v>
      </c>
    </row>
    <row r="2357" spans="1:4" x14ac:dyDescent="0.35">
      <c r="A2357">
        <v>450</v>
      </c>
      <c r="B2357" t="s">
        <v>568</v>
      </c>
      <c r="C2357" t="s">
        <v>157</v>
      </c>
      <c r="D2357" t="s">
        <v>6</v>
      </c>
    </row>
    <row r="2358" spans="1:4" x14ac:dyDescent="0.35">
      <c r="A2358">
        <v>450</v>
      </c>
      <c r="B2358" t="s">
        <v>1000</v>
      </c>
      <c r="C2358" t="s">
        <v>157</v>
      </c>
      <c r="D2358" t="s">
        <v>6</v>
      </c>
    </row>
    <row r="2359" spans="1:4" x14ac:dyDescent="0.35">
      <c r="A2359">
        <v>450</v>
      </c>
      <c r="B2359" t="s">
        <v>1802</v>
      </c>
      <c r="C2359" t="s">
        <v>157</v>
      </c>
      <c r="D2359" t="s">
        <v>6</v>
      </c>
    </row>
    <row r="2360" spans="1:4" x14ac:dyDescent="0.35">
      <c r="A2360">
        <v>450</v>
      </c>
      <c r="B2360" t="s">
        <v>1803</v>
      </c>
      <c r="C2360" t="s">
        <v>157</v>
      </c>
      <c r="D2360" t="s">
        <v>6</v>
      </c>
    </row>
    <row r="2361" spans="1:4" x14ac:dyDescent="0.35">
      <c r="A2361">
        <v>451</v>
      </c>
      <c r="B2361" t="s">
        <v>1804</v>
      </c>
      <c r="C2361" t="s">
        <v>101</v>
      </c>
      <c r="D2361" t="s">
        <v>6</v>
      </c>
    </row>
    <row r="2362" spans="1:4" x14ac:dyDescent="0.35">
      <c r="A2362">
        <v>451</v>
      </c>
      <c r="B2362" t="s">
        <v>1244</v>
      </c>
      <c r="C2362" t="s">
        <v>101</v>
      </c>
      <c r="D2362" t="s">
        <v>6</v>
      </c>
    </row>
    <row r="2363" spans="1:4" x14ac:dyDescent="0.35">
      <c r="A2363">
        <v>452</v>
      </c>
      <c r="B2363" t="s">
        <v>1805</v>
      </c>
      <c r="C2363" t="s">
        <v>1072</v>
      </c>
      <c r="D2363" t="s">
        <v>13</v>
      </c>
    </row>
    <row r="2364" spans="1:4" x14ac:dyDescent="0.35">
      <c r="A2364">
        <v>452</v>
      </c>
      <c r="B2364" t="s">
        <v>1806</v>
      </c>
      <c r="C2364" t="s">
        <v>1072</v>
      </c>
      <c r="D2364" t="s">
        <v>13</v>
      </c>
    </row>
    <row r="2365" spans="1:4" x14ac:dyDescent="0.35">
      <c r="A2365">
        <v>452</v>
      </c>
      <c r="B2365" t="s">
        <v>1807</v>
      </c>
      <c r="C2365" t="s">
        <v>1072</v>
      </c>
      <c r="D2365" t="s">
        <v>13</v>
      </c>
    </row>
    <row r="2366" spans="1:4" x14ac:dyDescent="0.35">
      <c r="A2366">
        <v>452</v>
      </c>
      <c r="B2366" t="s">
        <v>1808</v>
      </c>
      <c r="C2366" t="s">
        <v>1072</v>
      </c>
      <c r="D2366" t="s">
        <v>13</v>
      </c>
    </row>
    <row r="2367" spans="1:4" x14ac:dyDescent="0.35">
      <c r="A2367">
        <v>453</v>
      </c>
      <c r="B2367" t="s">
        <v>1809</v>
      </c>
      <c r="C2367" t="s">
        <v>16</v>
      </c>
      <c r="D2367" t="s">
        <v>13</v>
      </c>
    </row>
    <row r="2368" spans="1:4" x14ac:dyDescent="0.35">
      <c r="A2368">
        <v>453</v>
      </c>
      <c r="B2368" t="s">
        <v>1224</v>
      </c>
      <c r="C2368" t="s">
        <v>16</v>
      </c>
      <c r="D2368" t="s">
        <v>13</v>
      </c>
    </row>
    <row r="2369" spans="1:4" x14ac:dyDescent="0.35">
      <c r="A2369">
        <v>454</v>
      </c>
      <c r="B2369" t="s">
        <v>1810</v>
      </c>
      <c r="C2369" t="s">
        <v>72</v>
      </c>
      <c r="D2369" t="s">
        <v>13</v>
      </c>
    </row>
    <row r="2370" spans="1:4" x14ac:dyDescent="0.35">
      <c r="A2370">
        <v>454</v>
      </c>
      <c r="B2370" t="s">
        <v>1811</v>
      </c>
      <c r="C2370" t="s">
        <v>72</v>
      </c>
      <c r="D2370" t="s">
        <v>13</v>
      </c>
    </row>
    <row r="2371" spans="1:4" x14ac:dyDescent="0.35">
      <c r="A2371">
        <v>455</v>
      </c>
      <c r="B2371" t="s">
        <v>1812</v>
      </c>
      <c r="C2371" t="s">
        <v>5</v>
      </c>
      <c r="D2371" t="s">
        <v>6</v>
      </c>
    </row>
    <row r="2372" spans="1:4" x14ac:dyDescent="0.35">
      <c r="A2372">
        <v>455</v>
      </c>
      <c r="B2372" t="s">
        <v>1813</v>
      </c>
      <c r="C2372" t="s">
        <v>5</v>
      </c>
      <c r="D2372" t="s">
        <v>6</v>
      </c>
    </row>
    <row r="2373" spans="1:4" x14ac:dyDescent="0.35">
      <c r="A2373">
        <v>455</v>
      </c>
      <c r="B2373" t="s">
        <v>1814</v>
      </c>
      <c r="C2373" t="s">
        <v>5</v>
      </c>
      <c r="D2373" t="s">
        <v>6</v>
      </c>
    </row>
    <row r="2374" spans="1:4" x14ac:dyDescent="0.35">
      <c r="A2374">
        <v>455</v>
      </c>
      <c r="B2374" t="s">
        <v>265</v>
      </c>
      <c r="C2374" t="s">
        <v>189</v>
      </c>
      <c r="D2374" t="s">
        <v>6</v>
      </c>
    </row>
    <row r="2375" spans="1:4" x14ac:dyDescent="0.35">
      <c r="A2375">
        <v>455</v>
      </c>
      <c r="B2375" t="s">
        <v>265</v>
      </c>
      <c r="C2375" t="s">
        <v>5</v>
      </c>
      <c r="D2375" t="s">
        <v>6</v>
      </c>
    </row>
    <row r="2376" spans="1:4" x14ac:dyDescent="0.35">
      <c r="A2376">
        <v>455</v>
      </c>
      <c r="B2376" t="s">
        <v>266</v>
      </c>
      <c r="C2376" t="s">
        <v>5</v>
      </c>
      <c r="D2376" t="s">
        <v>6</v>
      </c>
    </row>
    <row r="2377" spans="1:4" x14ac:dyDescent="0.35">
      <c r="A2377">
        <v>455</v>
      </c>
      <c r="B2377" t="s">
        <v>266</v>
      </c>
      <c r="C2377" t="s">
        <v>189</v>
      </c>
      <c r="D2377" t="s">
        <v>6</v>
      </c>
    </row>
    <row r="2378" spans="1:4" x14ac:dyDescent="0.35">
      <c r="A2378">
        <v>456</v>
      </c>
      <c r="B2378" t="s">
        <v>293</v>
      </c>
      <c r="C2378" t="s">
        <v>101</v>
      </c>
      <c r="D2378" t="s">
        <v>6</v>
      </c>
    </row>
    <row r="2379" spans="1:4" x14ac:dyDescent="0.35">
      <c r="A2379">
        <v>456</v>
      </c>
      <c r="B2379" t="s">
        <v>276</v>
      </c>
      <c r="C2379" t="s">
        <v>16</v>
      </c>
      <c r="D2379" t="s">
        <v>13</v>
      </c>
    </row>
    <row r="2380" spans="1:4" x14ac:dyDescent="0.35">
      <c r="A2380">
        <v>457</v>
      </c>
      <c r="B2380" t="s">
        <v>1644</v>
      </c>
      <c r="C2380" t="s">
        <v>48</v>
      </c>
      <c r="D2380" t="s">
        <v>13</v>
      </c>
    </row>
    <row r="2381" spans="1:4" x14ac:dyDescent="0.35">
      <c r="A2381">
        <v>457</v>
      </c>
      <c r="B2381" t="s">
        <v>1647</v>
      </c>
      <c r="C2381" t="s">
        <v>48</v>
      </c>
      <c r="D2381" t="s">
        <v>13</v>
      </c>
    </row>
    <row r="2382" spans="1:4" x14ac:dyDescent="0.35">
      <c r="A2382">
        <v>458</v>
      </c>
      <c r="B2382" t="s">
        <v>347</v>
      </c>
      <c r="C2382" t="s">
        <v>16</v>
      </c>
      <c r="D2382" t="s">
        <v>13</v>
      </c>
    </row>
    <row r="2383" spans="1:4" x14ac:dyDescent="0.35">
      <c r="A2383">
        <v>458</v>
      </c>
      <c r="B2383" t="s">
        <v>1815</v>
      </c>
      <c r="C2383" t="s">
        <v>16</v>
      </c>
      <c r="D2383" t="s">
        <v>13</v>
      </c>
    </row>
    <row r="2384" spans="1:4" x14ac:dyDescent="0.35">
      <c r="A2384">
        <v>458</v>
      </c>
      <c r="B2384" t="s">
        <v>1816</v>
      </c>
      <c r="C2384" t="s">
        <v>16</v>
      </c>
      <c r="D2384" t="s">
        <v>13</v>
      </c>
    </row>
    <row r="2385" spans="1:4" x14ac:dyDescent="0.35">
      <c r="A2385">
        <v>458</v>
      </c>
      <c r="B2385" t="s">
        <v>1817</v>
      </c>
      <c r="C2385" t="s">
        <v>16</v>
      </c>
      <c r="D2385" t="s">
        <v>13</v>
      </c>
    </row>
    <row r="2386" spans="1:4" x14ac:dyDescent="0.35">
      <c r="A2386">
        <v>459</v>
      </c>
      <c r="B2386" t="s">
        <v>1818</v>
      </c>
      <c r="C2386" t="s">
        <v>352</v>
      </c>
      <c r="D2386" t="s">
        <v>13</v>
      </c>
    </row>
    <row r="2387" spans="1:4" x14ac:dyDescent="0.35">
      <c r="A2387">
        <v>459</v>
      </c>
      <c r="B2387" t="s">
        <v>1819</v>
      </c>
      <c r="C2387" t="s">
        <v>64</v>
      </c>
      <c r="D2387" t="s">
        <v>13</v>
      </c>
    </row>
    <row r="2388" spans="1:4" x14ac:dyDescent="0.35">
      <c r="A2388">
        <v>459</v>
      </c>
      <c r="B2388" t="s">
        <v>1820</v>
      </c>
      <c r="C2388" t="s">
        <v>157</v>
      </c>
      <c r="D2388" t="s">
        <v>6</v>
      </c>
    </row>
    <row r="2389" spans="1:4" x14ac:dyDescent="0.35">
      <c r="A2389">
        <v>459</v>
      </c>
      <c r="B2389" t="s">
        <v>1821</v>
      </c>
      <c r="C2389" t="s">
        <v>157</v>
      </c>
      <c r="D2389" t="s">
        <v>6</v>
      </c>
    </row>
    <row r="2390" spans="1:4" x14ac:dyDescent="0.35">
      <c r="A2390">
        <v>459</v>
      </c>
      <c r="B2390" t="s">
        <v>1822</v>
      </c>
      <c r="C2390" t="s">
        <v>261</v>
      </c>
      <c r="D2390" t="s">
        <v>13</v>
      </c>
    </row>
    <row r="2391" spans="1:4" x14ac:dyDescent="0.35">
      <c r="A2391">
        <v>460</v>
      </c>
      <c r="B2391" t="s">
        <v>1823</v>
      </c>
      <c r="C2391" t="s">
        <v>93</v>
      </c>
      <c r="D2391" t="s">
        <v>13</v>
      </c>
    </row>
    <row r="2392" spans="1:4" x14ac:dyDescent="0.35">
      <c r="A2392">
        <v>460</v>
      </c>
      <c r="B2392" t="s">
        <v>1824</v>
      </c>
      <c r="C2392" t="s">
        <v>93</v>
      </c>
      <c r="D2392" t="s">
        <v>13</v>
      </c>
    </row>
    <row r="2393" spans="1:4" x14ac:dyDescent="0.35">
      <c r="A2393">
        <v>460</v>
      </c>
      <c r="B2393" t="s">
        <v>1825</v>
      </c>
      <c r="C2393" t="s">
        <v>93</v>
      </c>
      <c r="D2393" t="s">
        <v>13</v>
      </c>
    </row>
    <row r="2394" spans="1:4" x14ac:dyDescent="0.35">
      <c r="A2394">
        <v>461</v>
      </c>
      <c r="B2394" t="s">
        <v>1826</v>
      </c>
      <c r="C2394" t="s">
        <v>352</v>
      </c>
      <c r="D2394" t="s">
        <v>13</v>
      </c>
    </row>
    <row r="2395" spans="1:4" x14ac:dyDescent="0.35">
      <c r="A2395">
        <v>461</v>
      </c>
      <c r="B2395" t="s">
        <v>1827</v>
      </c>
      <c r="C2395" t="s">
        <v>352</v>
      </c>
      <c r="D2395" t="s">
        <v>13</v>
      </c>
    </row>
    <row r="2396" spans="1:4" x14ac:dyDescent="0.35">
      <c r="A2396">
        <v>461</v>
      </c>
      <c r="B2396" t="s">
        <v>1828</v>
      </c>
      <c r="C2396" t="s">
        <v>352</v>
      </c>
      <c r="D2396" t="s">
        <v>13</v>
      </c>
    </row>
    <row r="2397" spans="1:4" x14ac:dyDescent="0.35">
      <c r="A2397">
        <v>461</v>
      </c>
      <c r="B2397" t="s">
        <v>1829</v>
      </c>
      <c r="C2397" t="s">
        <v>352</v>
      </c>
      <c r="D2397" t="s">
        <v>13</v>
      </c>
    </row>
    <row r="2398" spans="1:4" x14ac:dyDescent="0.35">
      <c r="A2398">
        <v>462</v>
      </c>
      <c r="B2398" t="s">
        <v>1830</v>
      </c>
      <c r="C2398" t="s">
        <v>19</v>
      </c>
      <c r="D2398" t="s">
        <v>13</v>
      </c>
    </row>
    <row r="2399" spans="1:4" x14ac:dyDescent="0.35">
      <c r="A2399">
        <v>462</v>
      </c>
      <c r="B2399" t="s">
        <v>1831</v>
      </c>
      <c r="C2399" t="s">
        <v>19</v>
      </c>
      <c r="D2399" t="s">
        <v>13</v>
      </c>
    </row>
    <row r="2400" spans="1:4" x14ac:dyDescent="0.35">
      <c r="A2400">
        <v>462</v>
      </c>
      <c r="B2400" t="s">
        <v>1832</v>
      </c>
      <c r="C2400" t="s">
        <v>562</v>
      </c>
      <c r="D2400" t="s">
        <v>13</v>
      </c>
    </row>
    <row r="2401" spans="1:4" x14ac:dyDescent="0.35">
      <c r="A2401">
        <v>462</v>
      </c>
      <c r="B2401" t="s">
        <v>1833</v>
      </c>
      <c r="C2401" t="s">
        <v>19</v>
      </c>
      <c r="D2401" t="s">
        <v>13</v>
      </c>
    </row>
    <row r="2402" spans="1:4" x14ac:dyDescent="0.35">
      <c r="A2402">
        <v>463</v>
      </c>
      <c r="B2402" t="s">
        <v>1834</v>
      </c>
      <c r="C2402" t="s">
        <v>72</v>
      </c>
      <c r="D2402" t="s">
        <v>13</v>
      </c>
    </row>
    <row r="2403" spans="1:4" x14ac:dyDescent="0.35">
      <c r="A2403">
        <v>463</v>
      </c>
      <c r="B2403" t="s">
        <v>1835</v>
      </c>
      <c r="C2403" t="s">
        <v>72</v>
      </c>
      <c r="D2403" t="s">
        <v>13</v>
      </c>
    </row>
    <row r="2404" spans="1:4" x14ac:dyDescent="0.35">
      <c r="A2404">
        <v>463</v>
      </c>
      <c r="B2404" t="s">
        <v>1836</v>
      </c>
      <c r="C2404" t="s">
        <v>72</v>
      </c>
      <c r="D2404" t="s">
        <v>13</v>
      </c>
    </row>
    <row r="2405" spans="1:4" x14ac:dyDescent="0.35">
      <c r="A2405">
        <v>463</v>
      </c>
      <c r="B2405" t="s">
        <v>1837</v>
      </c>
      <c r="C2405" t="s">
        <v>72</v>
      </c>
      <c r="D2405" t="s">
        <v>13</v>
      </c>
    </row>
    <row r="2406" spans="1:4" x14ac:dyDescent="0.35">
      <c r="A2406">
        <v>463</v>
      </c>
      <c r="B2406" t="s">
        <v>1838</v>
      </c>
      <c r="C2406" t="s">
        <v>72</v>
      </c>
      <c r="D2406" t="s">
        <v>13</v>
      </c>
    </row>
    <row r="2407" spans="1:4" x14ac:dyDescent="0.35">
      <c r="A2407">
        <v>463</v>
      </c>
      <c r="B2407" t="s">
        <v>1839</v>
      </c>
      <c r="C2407" t="s">
        <v>72</v>
      </c>
      <c r="D2407" t="s">
        <v>13</v>
      </c>
    </row>
    <row r="2408" spans="1:4" x14ac:dyDescent="0.35">
      <c r="A2408">
        <v>464</v>
      </c>
      <c r="B2408" t="s">
        <v>1840</v>
      </c>
      <c r="C2408" t="s">
        <v>231</v>
      </c>
      <c r="D2408" t="s">
        <v>6</v>
      </c>
    </row>
    <row r="2409" spans="1:4" x14ac:dyDescent="0.35">
      <c r="A2409">
        <v>464</v>
      </c>
      <c r="B2409" t="s">
        <v>297</v>
      </c>
      <c r="C2409" t="s">
        <v>231</v>
      </c>
      <c r="D2409" t="s">
        <v>6</v>
      </c>
    </row>
    <row r="2410" spans="1:4" x14ac:dyDescent="0.35">
      <c r="A2410">
        <v>465</v>
      </c>
      <c r="B2410" t="s">
        <v>1841</v>
      </c>
      <c r="C2410" t="s">
        <v>72</v>
      </c>
      <c r="D2410" t="s">
        <v>13</v>
      </c>
    </row>
    <row r="2411" spans="1:4" x14ac:dyDescent="0.35">
      <c r="A2411">
        <v>465</v>
      </c>
      <c r="B2411" t="s">
        <v>1842</v>
      </c>
      <c r="C2411" t="s">
        <v>72</v>
      </c>
      <c r="D2411" t="s">
        <v>13</v>
      </c>
    </row>
    <row r="2412" spans="1:4" x14ac:dyDescent="0.35">
      <c r="A2412">
        <v>466</v>
      </c>
      <c r="B2412" t="s">
        <v>1843</v>
      </c>
      <c r="C2412" t="s">
        <v>72</v>
      </c>
      <c r="D2412" t="s">
        <v>13</v>
      </c>
    </row>
    <row r="2413" spans="1:4" x14ac:dyDescent="0.35">
      <c r="A2413">
        <v>466</v>
      </c>
      <c r="B2413" t="s">
        <v>1844</v>
      </c>
      <c r="C2413" t="s">
        <v>72</v>
      </c>
      <c r="D2413" t="s">
        <v>13</v>
      </c>
    </row>
    <row r="2414" spans="1:4" x14ac:dyDescent="0.35">
      <c r="A2414">
        <v>466</v>
      </c>
      <c r="B2414" t="s">
        <v>1845</v>
      </c>
      <c r="C2414" t="s">
        <v>72</v>
      </c>
      <c r="D2414" t="s">
        <v>13</v>
      </c>
    </row>
    <row r="2415" spans="1:4" x14ac:dyDescent="0.35">
      <c r="A2415">
        <v>466</v>
      </c>
      <c r="B2415" t="s">
        <v>1846</v>
      </c>
      <c r="C2415" t="s">
        <v>72</v>
      </c>
      <c r="D2415" t="s">
        <v>13</v>
      </c>
    </row>
    <row r="2416" spans="1:4" x14ac:dyDescent="0.35">
      <c r="A2416">
        <v>467</v>
      </c>
      <c r="B2416" t="s">
        <v>1847</v>
      </c>
      <c r="C2416" t="s">
        <v>35</v>
      </c>
      <c r="D2416" t="s">
        <v>13</v>
      </c>
    </row>
    <row r="2417" spans="1:4" x14ac:dyDescent="0.35">
      <c r="A2417">
        <v>467</v>
      </c>
      <c r="B2417" t="s">
        <v>1848</v>
      </c>
      <c r="C2417" t="s">
        <v>35</v>
      </c>
      <c r="D2417" t="s">
        <v>13</v>
      </c>
    </row>
    <row r="2418" spans="1:4" x14ac:dyDescent="0.35">
      <c r="A2418">
        <v>467</v>
      </c>
      <c r="B2418" t="s">
        <v>1849</v>
      </c>
      <c r="C2418" t="s">
        <v>45</v>
      </c>
      <c r="D2418" t="s">
        <v>6</v>
      </c>
    </row>
    <row r="2419" spans="1:4" x14ac:dyDescent="0.35">
      <c r="A2419">
        <v>467</v>
      </c>
      <c r="B2419" t="s">
        <v>1850</v>
      </c>
      <c r="C2419" t="s">
        <v>45</v>
      </c>
      <c r="D2419" t="s">
        <v>6</v>
      </c>
    </row>
    <row r="2420" spans="1:4" x14ac:dyDescent="0.35">
      <c r="A2420">
        <v>467</v>
      </c>
      <c r="B2420" t="s">
        <v>1851</v>
      </c>
      <c r="C2420" t="s">
        <v>35</v>
      </c>
      <c r="D2420" t="s">
        <v>13</v>
      </c>
    </row>
    <row r="2421" spans="1:4" x14ac:dyDescent="0.35">
      <c r="A2421">
        <v>467</v>
      </c>
      <c r="B2421" t="s">
        <v>1851</v>
      </c>
      <c r="C2421" t="s">
        <v>45</v>
      </c>
      <c r="D2421" t="s">
        <v>6</v>
      </c>
    </row>
    <row r="2422" spans="1:4" x14ac:dyDescent="0.35">
      <c r="A2422">
        <v>467</v>
      </c>
      <c r="B2422" t="s">
        <v>1852</v>
      </c>
      <c r="C2422" t="s">
        <v>45</v>
      </c>
      <c r="D2422" t="s">
        <v>6</v>
      </c>
    </row>
    <row r="2423" spans="1:4" x14ac:dyDescent="0.35">
      <c r="A2423">
        <v>468</v>
      </c>
      <c r="B2423" t="s">
        <v>1853</v>
      </c>
      <c r="C2423" t="s">
        <v>101</v>
      </c>
      <c r="D2423" t="s">
        <v>6</v>
      </c>
    </row>
    <row r="2424" spans="1:4" x14ac:dyDescent="0.35">
      <c r="A2424">
        <v>468</v>
      </c>
      <c r="B2424" t="s">
        <v>556</v>
      </c>
      <c r="C2424" t="s">
        <v>101</v>
      </c>
      <c r="D2424" t="s">
        <v>6</v>
      </c>
    </row>
    <row r="2425" spans="1:4" x14ac:dyDescent="0.35">
      <c r="A2425">
        <v>468</v>
      </c>
      <c r="B2425" t="s">
        <v>557</v>
      </c>
      <c r="C2425" t="s">
        <v>19</v>
      </c>
      <c r="D2425" t="s">
        <v>13</v>
      </c>
    </row>
    <row r="2426" spans="1:4" x14ac:dyDescent="0.35">
      <c r="A2426">
        <v>468</v>
      </c>
      <c r="B2426" t="s">
        <v>1854</v>
      </c>
      <c r="C2426" t="s">
        <v>19</v>
      </c>
      <c r="D2426" t="s">
        <v>13</v>
      </c>
    </row>
    <row r="2427" spans="1:4" x14ac:dyDescent="0.35">
      <c r="A2427">
        <v>469</v>
      </c>
      <c r="B2427" t="s">
        <v>1855</v>
      </c>
      <c r="C2427" t="s">
        <v>72</v>
      </c>
      <c r="D2427" t="s">
        <v>13</v>
      </c>
    </row>
    <row r="2428" spans="1:4" x14ac:dyDescent="0.35">
      <c r="A2428">
        <v>469</v>
      </c>
      <c r="B2428" t="s">
        <v>1855</v>
      </c>
      <c r="C2428" t="s">
        <v>19</v>
      </c>
      <c r="D2428" t="s">
        <v>13</v>
      </c>
    </row>
    <row r="2429" spans="1:4" x14ac:dyDescent="0.35">
      <c r="A2429">
        <v>469</v>
      </c>
      <c r="B2429" t="s">
        <v>1856</v>
      </c>
      <c r="C2429" t="s">
        <v>72</v>
      </c>
      <c r="D2429" t="s">
        <v>13</v>
      </c>
    </row>
    <row r="2430" spans="1:4" x14ac:dyDescent="0.35">
      <c r="A2430">
        <v>469</v>
      </c>
      <c r="B2430" t="s">
        <v>1857</v>
      </c>
      <c r="C2430" t="s">
        <v>72</v>
      </c>
      <c r="D2430" t="s">
        <v>13</v>
      </c>
    </row>
    <row r="2431" spans="1:4" x14ac:dyDescent="0.35">
      <c r="A2431">
        <v>469</v>
      </c>
      <c r="B2431" t="s">
        <v>1858</v>
      </c>
      <c r="C2431" t="s">
        <v>93</v>
      </c>
      <c r="D2431" t="s">
        <v>13</v>
      </c>
    </row>
    <row r="2432" spans="1:4" x14ac:dyDescent="0.35">
      <c r="A2432">
        <v>469</v>
      </c>
      <c r="B2432" t="s">
        <v>1859</v>
      </c>
      <c r="C2432" t="s">
        <v>72</v>
      </c>
      <c r="D2432" t="s">
        <v>13</v>
      </c>
    </row>
    <row r="2433" spans="1:4" x14ac:dyDescent="0.35">
      <c r="A2433">
        <v>469</v>
      </c>
      <c r="B2433" t="s">
        <v>1860</v>
      </c>
      <c r="C2433" t="s">
        <v>35</v>
      </c>
      <c r="D2433" t="s">
        <v>13</v>
      </c>
    </row>
    <row r="2434" spans="1:4" x14ac:dyDescent="0.35">
      <c r="A2434">
        <v>469</v>
      </c>
      <c r="B2434" t="s">
        <v>1861</v>
      </c>
      <c r="C2434" t="s">
        <v>72</v>
      </c>
      <c r="D2434" t="s">
        <v>13</v>
      </c>
    </row>
    <row r="2435" spans="1:4" x14ac:dyDescent="0.35">
      <c r="A2435">
        <v>469</v>
      </c>
      <c r="B2435" t="s">
        <v>1862</v>
      </c>
      <c r="C2435" t="s">
        <v>19</v>
      </c>
      <c r="D2435" t="s">
        <v>13</v>
      </c>
    </row>
    <row r="2436" spans="1:4" x14ac:dyDescent="0.35">
      <c r="A2436">
        <v>469</v>
      </c>
      <c r="B2436" t="s">
        <v>1863</v>
      </c>
      <c r="C2436" t="s">
        <v>72</v>
      </c>
      <c r="D2436" t="s">
        <v>13</v>
      </c>
    </row>
    <row r="2437" spans="1:4" x14ac:dyDescent="0.35">
      <c r="A2437">
        <v>469</v>
      </c>
      <c r="B2437" t="s">
        <v>1864</v>
      </c>
      <c r="C2437" t="s">
        <v>35</v>
      </c>
      <c r="D2437" t="s">
        <v>13</v>
      </c>
    </row>
    <row r="2438" spans="1:4" x14ac:dyDescent="0.35">
      <c r="A2438">
        <v>469</v>
      </c>
      <c r="B2438" t="s">
        <v>1865</v>
      </c>
      <c r="C2438" t="s">
        <v>93</v>
      </c>
      <c r="D2438" t="s">
        <v>13</v>
      </c>
    </row>
    <row r="2439" spans="1:4" x14ac:dyDescent="0.35">
      <c r="A2439">
        <v>469</v>
      </c>
      <c r="B2439" t="s">
        <v>1865</v>
      </c>
      <c r="C2439" t="s">
        <v>35</v>
      </c>
      <c r="D2439" t="s">
        <v>13</v>
      </c>
    </row>
    <row r="2440" spans="1:4" x14ac:dyDescent="0.35">
      <c r="A2440">
        <v>469</v>
      </c>
      <c r="B2440" t="s">
        <v>1866</v>
      </c>
      <c r="C2440" t="s">
        <v>72</v>
      </c>
      <c r="D2440" t="s">
        <v>13</v>
      </c>
    </row>
    <row r="2441" spans="1:4" x14ac:dyDescent="0.35">
      <c r="A2441">
        <v>470</v>
      </c>
      <c r="B2441" t="s">
        <v>1867</v>
      </c>
      <c r="C2441" t="s">
        <v>16</v>
      </c>
      <c r="D2441" t="s">
        <v>13</v>
      </c>
    </row>
    <row r="2442" spans="1:4" x14ac:dyDescent="0.35">
      <c r="A2442">
        <v>470</v>
      </c>
      <c r="B2442" t="s">
        <v>1868</v>
      </c>
      <c r="C2442" t="s">
        <v>16</v>
      </c>
      <c r="D2442" t="s">
        <v>13</v>
      </c>
    </row>
    <row r="2443" spans="1:4" x14ac:dyDescent="0.35">
      <c r="A2443">
        <v>470</v>
      </c>
      <c r="B2443" t="s">
        <v>1817</v>
      </c>
      <c r="C2443" t="s">
        <v>16</v>
      </c>
      <c r="D2443" t="s">
        <v>13</v>
      </c>
    </row>
    <row r="2444" spans="1:4" x14ac:dyDescent="0.35">
      <c r="A2444">
        <v>471</v>
      </c>
      <c r="B2444" t="s">
        <v>925</v>
      </c>
      <c r="C2444" t="s">
        <v>22</v>
      </c>
      <c r="D2444" t="s">
        <v>13</v>
      </c>
    </row>
    <row r="2445" spans="1:4" x14ac:dyDescent="0.35">
      <c r="A2445">
        <v>471</v>
      </c>
      <c r="B2445" t="s">
        <v>256</v>
      </c>
      <c r="C2445" t="s">
        <v>22</v>
      </c>
      <c r="D2445" t="s">
        <v>13</v>
      </c>
    </row>
    <row r="2446" spans="1:4" x14ac:dyDescent="0.35">
      <c r="A2446">
        <v>471</v>
      </c>
      <c r="B2446" t="s">
        <v>258</v>
      </c>
      <c r="C2446" t="s">
        <v>22</v>
      </c>
      <c r="D2446" t="s">
        <v>13</v>
      </c>
    </row>
    <row r="2447" spans="1:4" x14ac:dyDescent="0.35">
      <c r="A2447">
        <v>471</v>
      </c>
      <c r="B2447" t="s">
        <v>259</v>
      </c>
      <c r="C2447" t="s">
        <v>22</v>
      </c>
      <c r="D2447" t="s">
        <v>13</v>
      </c>
    </row>
    <row r="2448" spans="1:4" x14ac:dyDescent="0.35">
      <c r="A2448">
        <v>472</v>
      </c>
      <c r="B2448" t="s">
        <v>309</v>
      </c>
      <c r="C2448" t="s">
        <v>72</v>
      </c>
      <c r="D2448" t="s">
        <v>13</v>
      </c>
    </row>
    <row r="2449" spans="1:4" x14ac:dyDescent="0.35">
      <c r="A2449">
        <v>472</v>
      </c>
      <c r="B2449" t="s">
        <v>313</v>
      </c>
      <c r="C2449" t="s">
        <v>72</v>
      </c>
      <c r="D2449" t="s">
        <v>13</v>
      </c>
    </row>
    <row r="2450" spans="1:4" x14ac:dyDescent="0.35">
      <c r="A2450">
        <v>473</v>
      </c>
      <c r="B2450" t="s">
        <v>1869</v>
      </c>
      <c r="C2450" t="s">
        <v>19</v>
      </c>
      <c r="D2450" t="s">
        <v>13</v>
      </c>
    </row>
    <row r="2451" spans="1:4" x14ac:dyDescent="0.35">
      <c r="A2451">
        <v>473</v>
      </c>
      <c r="B2451" t="s">
        <v>1870</v>
      </c>
      <c r="C2451" t="s">
        <v>261</v>
      </c>
      <c r="D2451" t="s">
        <v>13</v>
      </c>
    </row>
    <row r="2452" spans="1:4" x14ac:dyDescent="0.35">
      <c r="A2452">
        <v>473</v>
      </c>
      <c r="B2452" t="s">
        <v>1871</v>
      </c>
      <c r="C2452" t="s">
        <v>157</v>
      </c>
      <c r="D2452" t="s">
        <v>6</v>
      </c>
    </row>
    <row r="2453" spans="1:4" x14ac:dyDescent="0.35">
      <c r="A2453">
        <v>473</v>
      </c>
      <c r="B2453" t="s">
        <v>1871</v>
      </c>
      <c r="C2453" t="s">
        <v>19</v>
      </c>
      <c r="D2453" t="s">
        <v>13</v>
      </c>
    </row>
    <row r="2454" spans="1:4" x14ac:dyDescent="0.35">
      <c r="A2454">
        <v>473</v>
      </c>
      <c r="B2454" t="s">
        <v>1872</v>
      </c>
      <c r="C2454" t="s">
        <v>157</v>
      </c>
      <c r="D2454" t="s">
        <v>6</v>
      </c>
    </row>
    <row r="2455" spans="1:4" x14ac:dyDescent="0.35">
      <c r="A2455">
        <v>473</v>
      </c>
      <c r="B2455" t="s">
        <v>957</v>
      </c>
      <c r="C2455" t="s">
        <v>101</v>
      </c>
      <c r="D2455" t="s">
        <v>6</v>
      </c>
    </row>
    <row r="2456" spans="1:4" x14ac:dyDescent="0.35">
      <c r="A2456">
        <v>474</v>
      </c>
      <c r="B2456" t="s">
        <v>1873</v>
      </c>
      <c r="C2456" t="s">
        <v>72</v>
      </c>
      <c r="D2456" t="s">
        <v>13</v>
      </c>
    </row>
    <row r="2457" spans="1:4" x14ac:dyDescent="0.35">
      <c r="A2457">
        <v>474</v>
      </c>
      <c r="B2457" t="s">
        <v>1874</v>
      </c>
      <c r="C2457" t="s">
        <v>72</v>
      </c>
      <c r="D2457" t="s">
        <v>13</v>
      </c>
    </row>
    <row r="2458" spans="1:4" x14ac:dyDescent="0.35">
      <c r="A2458">
        <v>475</v>
      </c>
      <c r="B2458" t="s">
        <v>1875</v>
      </c>
      <c r="C2458" t="s">
        <v>22</v>
      </c>
      <c r="D2458" t="s">
        <v>13</v>
      </c>
    </row>
    <row r="2459" spans="1:4" x14ac:dyDescent="0.35">
      <c r="A2459">
        <v>475</v>
      </c>
      <c r="B2459" t="s">
        <v>1876</v>
      </c>
      <c r="C2459" t="s">
        <v>22</v>
      </c>
      <c r="D2459" t="s">
        <v>13</v>
      </c>
    </row>
    <row r="2460" spans="1:4" x14ac:dyDescent="0.35">
      <c r="A2460">
        <v>475</v>
      </c>
      <c r="B2460" t="s">
        <v>1877</v>
      </c>
      <c r="C2460" t="s">
        <v>22</v>
      </c>
      <c r="D2460" t="s">
        <v>13</v>
      </c>
    </row>
    <row r="2461" spans="1:4" x14ac:dyDescent="0.35">
      <c r="A2461">
        <v>475</v>
      </c>
      <c r="B2461" t="s">
        <v>1878</v>
      </c>
      <c r="C2461" t="s">
        <v>22</v>
      </c>
      <c r="D2461" t="s">
        <v>13</v>
      </c>
    </row>
    <row r="2462" spans="1:4" x14ac:dyDescent="0.35">
      <c r="A2462">
        <v>475</v>
      </c>
      <c r="B2462" t="s">
        <v>1879</v>
      </c>
      <c r="C2462" t="s">
        <v>22</v>
      </c>
      <c r="D2462" t="s">
        <v>13</v>
      </c>
    </row>
    <row r="2463" spans="1:4" x14ac:dyDescent="0.35">
      <c r="A2463">
        <v>475</v>
      </c>
      <c r="B2463" t="s">
        <v>1880</v>
      </c>
      <c r="C2463" t="s">
        <v>22</v>
      </c>
      <c r="D2463" t="s">
        <v>13</v>
      </c>
    </row>
    <row r="2464" spans="1:4" x14ac:dyDescent="0.35">
      <c r="A2464">
        <v>476</v>
      </c>
      <c r="B2464" t="s">
        <v>1881</v>
      </c>
      <c r="C2464" t="s">
        <v>157</v>
      </c>
      <c r="D2464" t="s">
        <v>6</v>
      </c>
    </row>
    <row r="2465" spans="1:4" x14ac:dyDescent="0.35">
      <c r="A2465">
        <v>476</v>
      </c>
      <c r="B2465" t="s">
        <v>1821</v>
      </c>
      <c r="C2465" t="s">
        <v>157</v>
      </c>
      <c r="D2465" t="s">
        <v>6</v>
      </c>
    </row>
    <row r="2466" spans="1:4" x14ac:dyDescent="0.35">
      <c r="A2466">
        <v>477</v>
      </c>
      <c r="B2466" t="s">
        <v>1882</v>
      </c>
      <c r="C2466" t="s">
        <v>261</v>
      </c>
      <c r="D2466" t="s">
        <v>13</v>
      </c>
    </row>
    <row r="2467" spans="1:4" x14ac:dyDescent="0.35">
      <c r="A2467">
        <v>477</v>
      </c>
      <c r="B2467" t="s">
        <v>1883</v>
      </c>
      <c r="C2467" t="s">
        <v>72</v>
      </c>
      <c r="D2467" t="s">
        <v>13</v>
      </c>
    </row>
    <row r="2468" spans="1:4" x14ac:dyDescent="0.35">
      <c r="A2468">
        <v>477</v>
      </c>
      <c r="B2468" t="s">
        <v>1884</v>
      </c>
      <c r="C2468" t="s">
        <v>72</v>
      </c>
      <c r="D2468" t="s">
        <v>13</v>
      </c>
    </row>
    <row r="2469" spans="1:4" x14ac:dyDescent="0.35">
      <c r="A2469">
        <v>477</v>
      </c>
      <c r="B2469" t="s">
        <v>962</v>
      </c>
      <c r="C2469" t="s">
        <v>72</v>
      </c>
      <c r="D2469" t="s">
        <v>13</v>
      </c>
    </row>
    <row r="2470" spans="1:4" x14ac:dyDescent="0.35">
      <c r="A2470">
        <v>477</v>
      </c>
      <c r="B2470" t="s">
        <v>962</v>
      </c>
      <c r="C2470" t="s">
        <v>19</v>
      </c>
      <c r="D2470" t="s">
        <v>13</v>
      </c>
    </row>
    <row r="2471" spans="1:4" x14ac:dyDescent="0.35">
      <c r="A2471">
        <v>477</v>
      </c>
      <c r="B2471" t="s">
        <v>1885</v>
      </c>
      <c r="C2471" t="s">
        <v>72</v>
      </c>
      <c r="D2471" t="s">
        <v>13</v>
      </c>
    </row>
    <row r="2472" spans="1:4" x14ac:dyDescent="0.35">
      <c r="A2472">
        <v>477</v>
      </c>
      <c r="B2472" t="s">
        <v>1885</v>
      </c>
      <c r="C2472" t="s">
        <v>19</v>
      </c>
      <c r="D2472" t="s">
        <v>13</v>
      </c>
    </row>
    <row r="2473" spans="1:4" x14ac:dyDescent="0.35">
      <c r="A2473">
        <v>478</v>
      </c>
      <c r="B2473" t="s">
        <v>1886</v>
      </c>
      <c r="C2473" t="s">
        <v>72</v>
      </c>
      <c r="D2473" t="s">
        <v>13</v>
      </c>
    </row>
    <row r="2474" spans="1:4" x14ac:dyDescent="0.35">
      <c r="A2474">
        <v>478</v>
      </c>
      <c r="B2474" t="s">
        <v>1887</v>
      </c>
      <c r="C2474" t="s">
        <v>72</v>
      </c>
      <c r="D2474" t="s">
        <v>13</v>
      </c>
    </row>
    <row r="2475" spans="1:4" x14ac:dyDescent="0.35">
      <c r="A2475">
        <v>478</v>
      </c>
      <c r="B2475" t="s">
        <v>1888</v>
      </c>
      <c r="C2475" t="s">
        <v>72</v>
      </c>
      <c r="D2475" t="s">
        <v>13</v>
      </c>
    </row>
    <row r="2476" spans="1:4" x14ac:dyDescent="0.35">
      <c r="A2476">
        <v>478</v>
      </c>
      <c r="B2476" t="s">
        <v>1889</v>
      </c>
      <c r="C2476" t="s">
        <v>72</v>
      </c>
      <c r="D2476" t="s">
        <v>13</v>
      </c>
    </row>
    <row r="2477" spans="1:4" x14ac:dyDescent="0.35">
      <c r="A2477">
        <v>479</v>
      </c>
      <c r="B2477" t="s">
        <v>285</v>
      </c>
      <c r="C2477" t="s">
        <v>101</v>
      </c>
      <c r="D2477" t="s">
        <v>6</v>
      </c>
    </row>
    <row r="2478" spans="1:4" x14ac:dyDescent="0.35">
      <c r="A2478">
        <v>479</v>
      </c>
      <c r="B2478" t="s">
        <v>294</v>
      </c>
      <c r="C2478" t="s">
        <v>101</v>
      </c>
      <c r="D2478" t="s">
        <v>6</v>
      </c>
    </row>
    <row r="2479" spans="1:4" x14ac:dyDescent="0.35">
      <c r="A2479">
        <v>480</v>
      </c>
      <c r="B2479" t="s">
        <v>1890</v>
      </c>
      <c r="C2479" t="s">
        <v>19</v>
      </c>
      <c r="D2479" t="s">
        <v>13</v>
      </c>
    </row>
    <row r="2480" spans="1:4" x14ac:dyDescent="0.35">
      <c r="A2480">
        <v>480</v>
      </c>
      <c r="B2480" t="s">
        <v>1891</v>
      </c>
      <c r="C2480" t="s">
        <v>1892</v>
      </c>
      <c r="D2480" t="s">
        <v>13</v>
      </c>
    </row>
    <row r="2481" spans="1:4" x14ac:dyDescent="0.35">
      <c r="A2481">
        <v>480</v>
      </c>
      <c r="B2481" t="s">
        <v>1893</v>
      </c>
      <c r="C2481" t="s">
        <v>64</v>
      </c>
      <c r="D2481" t="s">
        <v>13</v>
      </c>
    </row>
    <row r="2482" spans="1:4" x14ac:dyDescent="0.35">
      <c r="A2482">
        <v>480</v>
      </c>
      <c r="B2482" t="s">
        <v>1894</v>
      </c>
      <c r="C2482" t="s">
        <v>865</v>
      </c>
      <c r="D2482" t="s">
        <v>13</v>
      </c>
    </row>
    <row r="2483" spans="1:4" x14ac:dyDescent="0.35">
      <c r="A2483">
        <v>480</v>
      </c>
      <c r="B2483" t="s">
        <v>1895</v>
      </c>
      <c r="C2483" t="s">
        <v>1896</v>
      </c>
      <c r="D2483" t="s">
        <v>13</v>
      </c>
    </row>
    <row r="2484" spans="1:4" x14ac:dyDescent="0.35">
      <c r="A2484">
        <v>480</v>
      </c>
      <c r="B2484" t="s">
        <v>1897</v>
      </c>
      <c r="C2484" t="s">
        <v>19</v>
      </c>
      <c r="D2484" t="s">
        <v>13</v>
      </c>
    </row>
    <row r="2485" spans="1:4" x14ac:dyDescent="0.35">
      <c r="A2485">
        <v>480</v>
      </c>
      <c r="B2485" t="s">
        <v>1898</v>
      </c>
      <c r="C2485" t="s">
        <v>865</v>
      </c>
      <c r="D2485" t="s">
        <v>13</v>
      </c>
    </row>
    <row r="2486" spans="1:4" x14ac:dyDescent="0.35">
      <c r="A2486">
        <v>480</v>
      </c>
      <c r="B2486" t="s">
        <v>1899</v>
      </c>
      <c r="C2486" t="s">
        <v>19</v>
      </c>
      <c r="D2486" t="s">
        <v>13</v>
      </c>
    </row>
    <row r="2487" spans="1:4" x14ac:dyDescent="0.35">
      <c r="A2487">
        <v>480</v>
      </c>
      <c r="B2487" t="s">
        <v>1900</v>
      </c>
      <c r="C2487" t="s">
        <v>144</v>
      </c>
      <c r="D2487" t="s">
        <v>13</v>
      </c>
    </row>
    <row r="2488" spans="1:4" x14ac:dyDescent="0.35">
      <c r="A2488">
        <v>480</v>
      </c>
      <c r="B2488" t="s">
        <v>1901</v>
      </c>
      <c r="C2488" t="s">
        <v>19</v>
      </c>
      <c r="D2488" t="s">
        <v>13</v>
      </c>
    </row>
    <row r="2489" spans="1:4" x14ac:dyDescent="0.35">
      <c r="A2489">
        <v>480</v>
      </c>
      <c r="B2489" t="s">
        <v>1902</v>
      </c>
      <c r="C2489" t="s">
        <v>517</v>
      </c>
      <c r="D2489" t="s">
        <v>13</v>
      </c>
    </row>
    <row r="2490" spans="1:4" x14ac:dyDescent="0.35">
      <c r="A2490">
        <v>480</v>
      </c>
      <c r="B2490" t="s">
        <v>1903</v>
      </c>
      <c r="C2490" t="s">
        <v>19</v>
      </c>
      <c r="D2490" t="s">
        <v>13</v>
      </c>
    </row>
    <row r="2491" spans="1:4" x14ac:dyDescent="0.35">
      <c r="A2491">
        <v>480</v>
      </c>
      <c r="B2491" t="s">
        <v>1904</v>
      </c>
      <c r="C2491" t="s">
        <v>19</v>
      </c>
      <c r="D2491" t="s">
        <v>13</v>
      </c>
    </row>
    <row r="2492" spans="1:4" x14ac:dyDescent="0.35">
      <c r="A2492">
        <v>480</v>
      </c>
      <c r="B2492" t="s">
        <v>1905</v>
      </c>
      <c r="C2492" t="s">
        <v>19</v>
      </c>
      <c r="D2492" t="s">
        <v>13</v>
      </c>
    </row>
    <row r="2493" spans="1:4" x14ac:dyDescent="0.35">
      <c r="A2493">
        <v>480</v>
      </c>
      <c r="B2493" t="s">
        <v>1906</v>
      </c>
      <c r="C2493" t="s">
        <v>19</v>
      </c>
      <c r="D2493" t="s">
        <v>13</v>
      </c>
    </row>
    <row r="2494" spans="1:4" x14ac:dyDescent="0.35">
      <c r="A2494">
        <v>480</v>
      </c>
      <c r="B2494" t="s">
        <v>1907</v>
      </c>
      <c r="C2494" t="s">
        <v>352</v>
      </c>
      <c r="D2494" t="s">
        <v>13</v>
      </c>
    </row>
    <row r="2495" spans="1:4" x14ac:dyDescent="0.35">
      <c r="A2495">
        <v>480</v>
      </c>
      <c r="B2495" t="s">
        <v>1908</v>
      </c>
      <c r="C2495" t="s">
        <v>865</v>
      </c>
      <c r="D2495" t="s">
        <v>13</v>
      </c>
    </row>
    <row r="2496" spans="1:4" x14ac:dyDescent="0.35">
      <c r="A2496">
        <v>480</v>
      </c>
      <c r="B2496" t="s">
        <v>1909</v>
      </c>
      <c r="C2496" t="s">
        <v>19</v>
      </c>
      <c r="D2496" t="s">
        <v>13</v>
      </c>
    </row>
    <row r="2497" spans="1:4" x14ac:dyDescent="0.35">
      <c r="A2497">
        <v>480</v>
      </c>
      <c r="B2497" t="s">
        <v>1910</v>
      </c>
      <c r="C2497" t="s">
        <v>231</v>
      </c>
      <c r="D2497" t="s">
        <v>6</v>
      </c>
    </row>
    <row r="2498" spans="1:4" x14ac:dyDescent="0.35">
      <c r="A2498">
        <v>480</v>
      </c>
      <c r="B2498" t="s">
        <v>1911</v>
      </c>
      <c r="C2498" t="s">
        <v>19</v>
      </c>
      <c r="D2498" t="s">
        <v>13</v>
      </c>
    </row>
    <row r="2499" spans="1:4" x14ac:dyDescent="0.35">
      <c r="A2499">
        <v>480</v>
      </c>
      <c r="B2499" t="s">
        <v>1912</v>
      </c>
      <c r="C2499" t="s">
        <v>35</v>
      </c>
      <c r="D2499" t="s">
        <v>13</v>
      </c>
    </row>
    <row r="2500" spans="1:4" x14ac:dyDescent="0.35">
      <c r="A2500">
        <v>480</v>
      </c>
      <c r="B2500" t="s">
        <v>1913</v>
      </c>
      <c r="C2500" t="s">
        <v>35</v>
      </c>
      <c r="D2500" t="s">
        <v>13</v>
      </c>
    </row>
    <row r="2501" spans="1:4" x14ac:dyDescent="0.35">
      <c r="A2501">
        <v>480</v>
      </c>
      <c r="B2501" t="s">
        <v>1914</v>
      </c>
      <c r="C2501" t="s">
        <v>19</v>
      </c>
      <c r="D2501" t="s">
        <v>13</v>
      </c>
    </row>
    <row r="2502" spans="1:4" x14ac:dyDescent="0.35">
      <c r="A2502">
        <v>480</v>
      </c>
      <c r="B2502" t="s">
        <v>1915</v>
      </c>
      <c r="C2502" t="s">
        <v>19</v>
      </c>
      <c r="D2502" t="s">
        <v>13</v>
      </c>
    </row>
    <row r="2503" spans="1:4" x14ac:dyDescent="0.35">
      <c r="A2503">
        <v>480</v>
      </c>
      <c r="B2503" t="s">
        <v>1915</v>
      </c>
      <c r="C2503" t="s">
        <v>144</v>
      </c>
      <c r="D2503" t="s">
        <v>13</v>
      </c>
    </row>
    <row r="2504" spans="1:4" x14ac:dyDescent="0.35">
      <c r="A2504">
        <v>480</v>
      </c>
      <c r="B2504" t="s">
        <v>1916</v>
      </c>
      <c r="C2504" t="s">
        <v>19</v>
      </c>
      <c r="D2504" t="s">
        <v>13</v>
      </c>
    </row>
    <row r="2505" spans="1:4" x14ac:dyDescent="0.35">
      <c r="A2505">
        <v>480</v>
      </c>
      <c r="B2505" t="s">
        <v>1917</v>
      </c>
      <c r="C2505" t="s">
        <v>19</v>
      </c>
      <c r="D2505" t="s">
        <v>13</v>
      </c>
    </row>
    <row r="2506" spans="1:4" x14ac:dyDescent="0.35">
      <c r="A2506">
        <v>481</v>
      </c>
      <c r="B2506" t="s">
        <v>1918</v>
      </c>
      <c r="C2506" t="s">
        <v>19</v>
      </c>
      <c r="D2506" t="s">
        <v>13</v>
      </c>
    </row>
    <row r="2507" spans="1:4" x14ac:dyDescent="0.35">
      <c r="A2507">
        <v>481</v>
      </c>
      <c r="B2507" t="s">
        <v>658</v>
      </c>
      <c r="C2507" t="s">
        <v>93</v>
      </c>
      <c r="D2507" t="s">
        <v>13</v>
      </c>
    </row>
    <row r="2508" spans="1:4" x14ac:dyDescent="0.35">
      <c r="A2508">
        <v>481</v>
      </c>
      <c r="B2508" t="s">
        <v>1919</v>
      </c>
      <c r="C2508" t="s">
        <v>93</v>
      </c>
      <c r="D2508" t="s">
        <v>13</v>
      </c>
    </row>
    <row r="2509" spans="1:4" x14ac:dyDescent="0.35">
      <c r="A2509">
        <v>481</v>
      </c>
      <c r="B2509" t="s">
        <v>1920</v>
      </c>
      <c r="C2509" t="s">
        <v>64</v>
      </c>
      <c r="D2509" t="s">
        <v>13</v>
      </c>
    </row>
    <row r="2510" spans="1:4" x14ac:dyDescent="0.35">
      <c r="A2510">
        <v>481</v>
      </c>
      <c r="B2510" t="s">
        <v>1921</v>
      </c>
      <c r="C2510" t="s">
        <v>56</v>
      </c>
      <c r="D2510" t="s">
        <v>13</v>
      </c>
    </row>
    <row r="2511" spans="1:4" x14ac:dyDescent="0.35">
      <c r="A2511">
        <v>481</v>
      </c>
      <c r="B2511" t="s">
        <v>1922</v>
      </c>
      <c r="C2511" t="s">
        <v>19</v>
      </c>
      <c r="D2511" t="s">
        <v>13</v>
      </c>
    </row>
    <row r="2512" spans="1:4" x14ac:dyDescent="0.35">
      <c r="A2512">
        <v>482</v>
      </c>
      <c r="B2512" t="s">
        <v>77</v>
      </c>
      <c r="C2512" t="s">
        <v>78</v>
      </c>
      <c r="D2512" t="s">
        <v>13</v>
      </c>
    </row>
    <row r="2513" spans="1:4" x14ac:dyDescent="0.35">
      <c r="A2513">
        <v>482</v>
      </c>
      <c r="B2513" t="s">
        <v>1923</v>
      </c>
      <c r="C2513" t="s">
        <v>72</v>
      </c>
      <c r="D2513" t="s">
        <v>13</v>
      </c>
    </row>
    <row r="2514" spans="1:4" x14ac:dyDescent="0.35">
      <c r="A2514">
        <v>482</v>
      </c>
      <c r="B2514" t="s">
        <v>1924</v>
      </c>
      <c r="C2514" t="s">
        <v>72</v>
      </c>
      <c r="D2514" t="s">
        <v>13</v>
      </c>
    </row>
    <row r="2515" spans="1:4" x14ac:dyDescent="0.35">
      <c r="A2515">
        <v>482</v>
      </c>
      <c r="B2515" t="s">
        <v>960</v>
      </c>
      <c r="C2515" t="s">
        <v>72</v>
      </c>
      <c r="D2515" t="s">
        <v>13</v>
      </c>
    </row>
    <row r="2516" spans="1:4" x14ac:dyDescent="0.35">
      <c r="A2516">
        <v>482</v>
      </c>
      <c r="B2516" t="s">
        <v>1925</v>
      </c>
      <c r="C2516" t="s">
        <v>19</v>
      </c>
      <c r="D2516" t="s">
        <v>13</v>
      </c>
    </row>
    <row r="2517" spans="1:4" x14ac:dyDescent="0.35">
      <c r="A2517">
        <v>482</v>
      </c>
      <c r="B2517" t="s">
        <v>1925</v>
      </c>
      <c r="C2517" t="s">
        <v>72</v>
      </c>
      <c r="D2517" t="s">
        <v>13</v>
      </c>
    </row>
    <row r="2518" spans="1:4" x14ac:dyDescent="0.35">
      <c r="A2518">
        <v>482</v>
      </c>
      <c r="B2518" t="s">
        <v>1926</v>
      </c>
      <c r="C2518" t="s">
        <v>72</v>
      </c>
      <c r="D2518" t="s">
        <v>13</v>
      </c>
    </row>
    <row r="2519" spans="1:4" x14ac:dyDescent="0.35">
      <c r="A2519">
        <v>482</v>
      </c>
      <c r="B2519" t="s">
        <v>962</v>
      </c>
      <c r="C2519" t="s">
        <v>19</v>
      </c>
      <c r="D2519" t="s">
        <v>13</v>
      </c>
    </row>
    <row r="2520" spans="1:4" x14ac:dyDescent="0.35">
      <c r="A2520">
        <v>482</v>
      </c>
      <c r="B2520" t="s">
        <v>1927</v>
      </c>
      <c r="C2520" t="s">
        <v>72</v>
      </c>
      <c r="D2520" t="s">
        <v>13</v>
      </c>
    </row>
    <row r="2521" spans="1:4" x14ac:dyDescent="0.35">
      <c r="A2521">
        <v>483</v>
      </c>
      <c r="B2521" t="s">
        <v>1928</v>
      </c>
      <c r="C2521" t="s">
        <v>189</v>
      </c>
      <c r="D2521" t="s">
        <v>6</v>
      </c>
    </row>
    <row r="2522" spans="1:4" x14ac:dyDescent="0.35">
      <c r="A2522">
        <v>483</v>
      </c>
      <c r="B2522" t="s">
        <v>1929</v>
      </c>
      <c r="C2522" t="s">
        <v>189</v>
      </c>
      <c r="D2522" t="s">
        <v>6</v>
      </c>
    </row>
    <row r="2523" spans="1:4" x14ac:dyDescent="0.35">
      <c r="A2523">
        <v>483</v>
      </c>
      <c r="B2523" t="s">
        <v>1930</v>
      </c>
      <c r="C2523" t="s">
        <v>189</v>
      </c>
      <c r="D2523" t="s">
        <v>6</v>
      </c>
    </row>
    <row r="2524" spans="1:4" x14ac:dyDescent="0.35">
      <c r="A2524">
        <v>483</v>
      </c>
      <c r="B2524" t="s">
        <v>1931</v>
      </c>
      <c r="C2524" t="s">
        <v>189</v>
      </c>
      <c r="D2524" t="s">
        <v>6</v>
      </c>
    </row>
    <row r="2525" spans="1:4" x14ac:dyDescent="0.35">
      <c r="A2525">
        <v>483</v>
      </c>
      <c r="B2525" t="s">
        <v>1932</v>
      </c>
      <c r="C2525" t="s">
        <v>16</v>
      </c>
      <c r="D2525" t="s">
        <v>13</v>
      </c>
    </row>
    <row r="2526" spans="1:4" x14ac:dyDescent="0.35">
      <c r="A2526">
        <v>484</v>
      </c>
      <c r="B2526" t="s">
        <v>1933</v>
      </c>
      <c r="C2526" t="s">
        <v>78</v>
      </c>
      <c r="D2526" t="s">
        <v>13</v>
      </c>
    </row>
    <row r="2527" spans="1:4" x14ac:dyDescent="0.35">
      <c r="A2527">
        <v>484</v>
      </c>
      <c r="B2527" t="s">
        <v>1934</v>
      </c>
      <c r="C2527" t="s">
        <v>93</v>
      </c>
      <c r="D2527" t="s">
        <v>13</v>
      </c>
    </row>
    <row r="2528" spans="1:4" x14ac:dyDescent="0.35">
      <c r="A2528">
        <v>484</v>
      </c>
      <c r="B2528" t="s">
        <v>1935</v>
      </c>
      <c r="C2528" t="s">
        <v>93</v>
      </c>
      <c r="D2528" t="s">
        <v>13</v>
      </c>
    </row>
    <row r="2529" spans="1:4" x14ac:dyDescent="0.35">
      <c r="A2529">
        <v>484</v>
      </c>
      <c r="B2529" t="s">
        <v>1936</v>
      </c>
      <c r="C2529" t="s">
        <v>231</v>
      </c>
      <c r="D2529" t="s">
        <v>6</v>
      </c>
    </row>
    <row r="2530" spans="1:4" x14ac:dyDescent="0.35">
      <c r="A2530">
        <v>484</v>
      </c>
      <c r="B2530" t="s">
        <v>1937</v>
      </c>
      <c r="C2530" t="s">
        <v>93</v>
      </c>
      <c r="D2530" t="s">
        <v>13</v>
      </c>
    </row>
    <row r="2531" spans="1:4" x14ac:dyDescent="0.35">
      <c r="A2531">
        <v>484</v>
      </c>
      <c r="B2531" t="s">
        <v>1938</v>
      </c>
      <c r="C2531" t="s">
        <v>189</v>
      </c>
      <c r="D2531" t="s">
        <v>6</v>
      </c>
    </row>
    <row r="2532" spans="1:4" x14ac:dyDescent="0.35">
      <c r="A2532">
        <v>484</v>
      </c>
      <c r="B2532" t="s">
        <v>1939</v>
      </c>
      <c r="C2532" t="s">
        <v>1896</v>
      </c>
      <c r="D2532" t="s">
        <v>13</v>
      </c>
    </row>
    <row r="2533" spans="1:4" x14ac:dyDescent="0.35">
      <c r="A2533">
        <v>484</v>
      </c>
      <c r="B2533" t="s">
        <v>1940</v>
      </c>
      <c r="C2533" t="s">
        <v>1896</v>
      </c>
      <c r="D2533" t="s">
        <v>13</v>
      </c>
    </row>
    <row r="2534" spans="1:4" x14ac:dyDescent="0.35">
      <c r="A2534">
        <v>484</v>
      </c>
      <c r="B2534" t="s">
        <v>1941</v>
      </c>
      <c r="C2534" t="s">
        <v>93</v>
      </c>
      <c r="D2534" t="s">
        <v>13</v>
      </c>
    </row>
    <row r="2535" spans="1:4" x14ac:dyDescent="0.35">
      <c r="A2535">
        <v>484</v>
      </c>
      <c r="B2535" t="s">
        <v>1942</v>
      </c>
      <c r="C2535" t="s">
        <v>93</v>
      </c>
      <c r="D2535" t="s">
        <v>13</v>
      </c>
    </row>
    <row r="2536" spans="1:4" x14ac:dyDescent="0.35">
      <c r="A2536">
        <v>484</v>
      </c>
      <c r="B2536" t="s">
        <v>1943</v>
      </c>
      <c r="C2536" t="s">
        <v>189</v>
      </c>
      <c r="D2536" t="s">
        <v>6</v>
      </c>
    </row>
    <row r="2537" spans="1:4" x14ac:dyDescent="0.35">
      <c r="A2537">
        <v>484</v>
      </c>
      <c r="B2537" t="s">
        <v>1944</v>
      </c>
      <c r="C2537" t="s">
        <v>189</v>
      </c>
      <c r="D2537" t="s">
        <v>6</v>
      </c>
    </row>
    <row r="2538" spans="1:4" x14ac:dyDescent="0.35">
      <c r="A2538">
        <v>485</v>
      </c>
      <c r="B2538" t="s">
        <v>1945</v>
      </c>
      <c r="C2538" t="s">
        <v>43</v>
      </c>
      <c r="D2538" t="s">
        <v>6</v>
      </c>
    </row>
    <row r="2539" spans="1:4" x14ac:dyDescent="0.35">
      <c r="A2539">
        <v>485</v>
      </c>
      <c r="B2539" t="s">
        <v>1946</v>
      </c>
      <c r="C2539" t="s">
        <v>16</v>
      </c>
      <c r="D2539" t="s">
        <v>13</v>
      </c>
    </row>
    <row r="2540" spans="1:4" x14ac:dyDescent="0.35">
      <c r="A2540">
        <v>485</v>
      </c>
      <c r="B2540" t="s">
        <v>1947</v>
      </c>
      <c r="C2540" t="s">
        <v>48</v>
      </c>
      <c r="D2540" t="s">
        <v>13</v>
      </c>
    </row>
    <row r="2541" spans="1:4" x14ac:dyDescent="0.35">
      <c r="A2541">
        <v>485</v>
      </c>
      <c r="B2541" t="s">
        <v>1948</v>
      </c>
      <c r="C2541" t="s">
        <v>16</v>
      </c>
      <c r="D2541" t="s">
        <v>13</v>
      </c>
    </row>
    <row r="2542" spans="1:4" x14ac:dyDescent="0.35">
      <c r="A2542">
        <v>485</v>
      </c>
      <c r="B2542" t="s">
        <v>1949</v>
      </c>
      <c r="C2542" t="s">
        <v>43</v>
      </c>
      <c r="D2542" t="s">
        <v>6</v>
      </c>
    </row>
    <row r="2543" spans="1:4" x14ac:dyDescent="0.35">
      <c r="A2543">
        <v>486</v>
      </c>
      <c r="B2543" t="s">
        <v>925</v>
      </c>
      <c r="C2543" t="s">
        <v>22</v>
      </c>
      <c r="D2543" t="s">
        <v>13</v>
      </c>
    </row>
    <row r="2544" spans="1:4" x14ac:dyDescent="0.35">
      <c r="A2544">
        <v>486</v>
      </c>
      <c r="B2544" t="s">
        <v>256</v>
      </c>
      <c r="C2544" t="s">
        <v>22</v>
      </c>
      <c r="D2544" t="s">
        <v>13</v>
      </c>
    </row>
    <row r="2545" spans="1:4" x14ac:dyDescent="0.35">
      <c r="A2545">
        <v>486</v>
      </c>
      <c r="B2545" t="s">
        <v>257</v>
      </c>
      <c r="C2545" t="s">
        <v>22</v>
      </c>
      <c r="D2545" t="s">
        <v>13</v>
      </c>
    </row>
    <row r="2546" spans="1:4" x14ac:dyDescent="0.35">
      <c r="A2546">
        <v>486</v>
      </c>
      <c r="B2546" t="s">
        <v>258</v>
      </c>
      <c r="C2546" t="s">
        <v>22</v>
      </c>
      <c r="D2546" t="s">
        <v>13</v>
      </c>
    </row>
    <row r="2547" spans="1:4" x14ac:dyDescent="0.35">
      <c r="A2547">
        <v>486</v>
      </c>
      <c r="B2547" t="s">
        <v>259</v>
      </c>
      <c r="C2547" t="s">
        <v>22</v>
      </c>
      <c r="D2547" t="s">
        <v>13</v>
      </c>
    </row>
    <row r="2548" spans="1:4" x14ac:dyDescent="0.35">
      <c r="A2548">
        <v>487</v>
      </c>
      <c r="B2548" t="s">
        <v>1950</v>
      </c>
      <c r="C2548" t="s">
        <v>19</v>
      </c>
      <c r="D2548" t="s">
        <v>13</v>
      </c>
    </row>
    <row r="2549" spans="1:4" x14ac:dyDescent="0.35">
      <c r="A2549">
        <v>487</v>
      </c>
      <c r="B2549" t="s">
        <v>1951</v>
      </c>
      <c r="C2549" t="s">
        <v>19</v>
      </c>
      <c r="D2549" t="s">
        <v>13</v>
      </c>
    </row>
    <row r="2550" spans="1:4" x14ac:dyDescent="0.35">
      <c r="A2550">
        <v>487</v>
      </c>
      <c r="B2550" t="s">
        <v>1952</v>
      </c>
      <c r="C2550" t="s">
        <v>19</v>
      </c>
      <c r="D2550" t="s">
        <v>13</v>
      </c>
    </row>
    <row r="2551" spans="1:4" x14ac:dyDescent="0.35">
      <c r="A2551">
        <v>487</v>
      </c>
      <c r="B2551" t="s">
        <v>1953</v>
      </c>
      <c r="C2551" t="s">
        <v>19</v>
      </c>
      <c r="D2551" t="s">
        <v>13</v>
      </c>
    </row>
    <row r="2552" spans="1:4" x14ac:dyDescent="0.35">
      <c r="A2552">
        <v>487</v>
      </c>
      <c r="B2552" t="s">
        <v>1954</v>
      </c>
      <c r="C2552" t="s">
        <v>19</v>
      </c>
      <c r="D2552" t="s">
        <v>13</v>
      </c>
    </row>
    <row r="2553" spans="1:4" x14ac:dyDescent="0.35">
      <c r="A2553">
        <v>488</v>
      </c>
      <c r="B2553" t="s">
        <v>1955</v>
      </c>
      <c r="C2553" t="s">
        <v>72</v>
      </c>
      <c r="D2553" t="s">
        <v>13</v>
      </c>
    </row>
    <row r="2554" spans="1:4" x14ac:dyDescent="0.35">
      <c r="A2554">
        <v>489</v>
      </c>
      <c r="B2554" t="s">
        <v>1956</v>
      </c>
      <c r="C2554" t="s">
        <v>101</v>
      </c>
      <c r="D2554" t="s">
        <v>6</v>
      </c>
    </row>
    <row r="2555" spans="1:4" x14ac:dyDescent="0.35">
      <c r="A2555">
        <v>489</v>
      </c>
      <c r="B2555" t="s">
        <v>1957</v>
      </c>
      <c r="C2555" t="s">
        <v>101</v>
      </c>
      <c r="D2555" t="s">
        <v>6</v>
      </c>
    </row>
    <row r="2556" spans="1:4" x14ac:dyDescent="0.35">
      <c r="A2556">
        <v>489</v>
      </c>
      <c r="B2556" t="s">
        <v>1757</v>
      </c>
      <c r="C2556" t="s">
        <v>93</v>
      </c>
      <c r="D2556" t="s">
        <v>13</v>
      </c>
    </row>
    <row r="2557" spans="1:4" x14ac:dyDescent="0.35">
      <c r="A2557">
        <v>489</v>
      </c>
      <c r="B2557" t="s">
        <v>1958</v>
      </c>
      <c r="C2557" t="s">
        <v>72</v>
      </c>
      <c r="D2557" t="s">
        <v>13</v>
      </c>
    </row>
    <row r="2558" spans="1:4" x14ac:dyDescent="0.35">
      <c r="A2558">
        <v>489</v>
      </c>
      <c r="B2558" t="s">
        <v>1959</v>
      </c>
      <c r="C2558" t="s">
        <v>45</v>
      </c>
      <c r="D2558" t="s">
        <v>6</v>
      </c>
    </row>
    <row r="2559" spans="1:4" x14ac:dyDescent="0.35">
      <c r="A2559">
        <v>489</v>
      </c>
      <c r="B2559" t="s">
        <v>616</v>
      </c>
      <c r="C2559" t="s">
        <v>93</v>
      </c>
      <c r="D2559" t="s">
        <v>13</v>
      </c>
    </row>
    <row r="2560" spans="1:4" x14ac:dyDescent="0.35">
      <c r="A2560">
        <v>489</v>
      </c>
      <c r="B2560" t="s">
        <v>1960</v>
      </c>
      <c r="C2560" t="s">
        <v>45</v>
      </c>
      <c r="D2560" t="s">
        <v>6</v>
      </c>
    </row>
    <row r="2561" spans="1:4" x14ac:dyDescent="0.35">
      <c r="A2561">
        <v>489</v>
      </c>
      <c r="B2561" t="s">
        <v>1961</v>
      </c>
      <c r="C2561" t="s">
        <v>101</v>
      </c>
      <c r="D2561" t="s">
        <v>6</v>
      </c>
    </row>
    <row r="2562" spans="1:4" x14ac:dyDescent="0.35">
      <c r="A2562">
        <v>489</v>
      </c>
      <c r="B2562" t="s">
        <v>1962</v>
      </c>
      <c r="C2562" t="s">
        <v>93</v>
      </c>
      <c r="D2562" t="s">
        <v>13</v>
      </c>
    </row>
    <row r="2563" spans="1:4" x14ac:dyDescent="0.35">
      <c r="A2563">
        <v>490</v>
      </c>
      <c r="B2563" t="s">
        <v>1711</v>
      </c>
      <c r="C2563" t="s">
        <v>72</v>
      </c>
      <c r="D2563" t="s">
        <v>13</v>
      </c>
    </row>
    <row r="2564" spans="1:4" x14ac:dyDescent="0.35">
      <c r="A2564">
        <v>490</v>
      </c>
      <c r="B2564" t="s">
        <v>1711</v>
      </c>
      <c r="C2564" t="s">
        <v>19</v>
      </c>
      <c r="D2564" t="s">
        <v>13</v>
      </c>
    </row>
    <row r="2565" spans="1:4" x14ac:dyDescent="0.35">
      <c r="A2565">
        <v>490</v>
      </c>
      <c r="B2565" t="s">
        <v>1963</v>
      </c>
      <c r="C2565" t="s">
        <v>19</v>
      </c>
      <c r="D2565" t="s">
        <v>13</v>
      </c>
    </row>
    <row r="2566" spans="1:4" x14ac:dyDescent="0.35">
      <c r="A2566">
        <v>490</v>
      </c>
      <c r="B2566" t="s">
        <v>1964</v>
      </c>
      <c r="C2566" t="s">
        <v>19</v>
      </c>
      <c r="D2566" t="s">
        <v>13</v>
      </c>
    </row>
    <row r="2567" spans="1:4" x14ac:dyDescent="0.35">
      <c r="A2567">
        <v>490</v>
      </c>
      <c r="B2567" t="s">
        <v>1965</v>
      </c>
      <c r="C2567" t="s">
        <v>72</v>
      </c>
      <c r="D2567" t="s">
        <v>13</v>
      </c>
    </row>
    <row r="2568" spans="1:4" x14ac:dyDescent="0.35">
      <c r="A2568">
        <v>490</v>
      </c>
      <c r="B2568" t="s">
        <v>1965</v>
      </c>
      <c r="C2568" t="s">
        <v>19</v>
      </c>
      <c r="D2568" t="s">
        <v>13</v>
      </c>
    </row>
    <row r="2569" spans="1:4" x14ac:dyDescent="0.35">
      <c r="A2569">
        <v>491</v>
      </c>
      <c r="B2569" t="s">
        <v>1966</v>
      </c>
      <c r="C2569" t="s">
        <v>16</v>
      </c>
      <c r="D2569" t="s">
        <v>13</v>
      </c>
    </row>
    <row r="2570" spans="1:4" x14ac:dyDescent="0.35">
      <c r="A2570">
        <v>491</v>
      </c>
      <c r="B2570" t="s">
        <v>950</v>
      </c>
      <c r="C2570" t="s">
        <v>16</v>
      </c>
      <c r="D2570" t="s">
        <v>13</v>
      </c>
    </row>
    <row r="2571" spans="1:4" x14ac:dyDescent="0.35">
      <c r="A2571">
        <v>491</v>
      </c>
      <c r="B2571" t="s">
        <v>1967</v>
      </c>
      <c r="C2571" t="s">
        <v>93</v>
      </c>
      <c r="D2571" t="s">
        <v>13</v>
      </c>
    </row>
    <row r="2572" spans="1:4" x14ac:dyDescent="0.35">
      <c r="A2572">
        <v>491</v>
      </c>
      <c r="B2572" t="s">
        <v>1967</v>
      </c>
      <c r="C2572" t="s">
        <v>16</v>
      </c>
      <c r="D2572" t="s">
        <v>13</v>
      </c>
    </row>
    <row r="2573" spans="1:4" x14ac:dyDescent="0.35">
      <c r="A2573">
        <v>491</v>
      </c>
      <c r="B2573" t="s">
        <v>951</v>
      </c>
      <c r="C2573" t="s">
        <v>16</v>
      </c>
      <c r="D2573" t="s">
        <v>13</v>
      </c>
    </row>
    <row r="2574" spans="1:4" x14ac:dyDescent="0.35">
      <c r="A2574">
        <v>492</v>
      </c>
      <c r="B2574" t="s">
        <v>1821</v>
      </c>
      <c r="C2574" t="s">
        <v>157</v>
      </c>
      <c r="D2574" t="s">
        <v>6</v>
      </c>
    </row>
    <row r="2575" spans="1:4" x14ac:dyDescent="0.35">
      <c r="A2575">
        <v>492</v>
      </c>
      <c r="B2575" t="s">
        <v>1968</v>
      </c>
      <c r="C2575" t="s">
        <v>157</v>
      </c>
      <c r="D2575" t="s">
        <v>6</v>
      </c>
    </row>
    <row r="2576" spans="1:4" x14ac:dyDescent="0.35">
      <c r="A2576">
        <v>493</v>
      </c>
      <c r="B2576" t="s">
        <v>1969</v>
      </c>
      <c r="C2576" t="s">
        <v>245</v>
      </c>
      <c r="D2576" t="s">
        <v>13</v>
      </c>
    </row>
    <row r="2577" spans="1:4" x14ac:dyDescent="0.35">
      <c r="A2577">
        <v>493</v>
      </c>
      <c r="B2577" t="s">
        <v>1970</v>
      </c>
      <c r="C2577" t="s">
        <v>245</v>
      </c>
      <c r="D2577" t="s">
        <v>13</v>
      </c>
    </row>
    <row r="2578" spans="1:4" x14ac:dyDescent="0.35">
      <c r="A2578">
        <v>493</v>
      </c>
      <c r="B2578" t="s">
        <v>1971</v>
      </c>
      <c r="C2578" t="s">
        <v>245</v>
      </c>
      <c r="D2578" t="s">
        <v>13</v>
      </c>
    </row>
    <row r="2579" spans="1:4" x14ac:dyDescent="0.35">
      <c r="A2579">
        <v>493</v>
      </c>
      <c r="B2579" t="s">
        <v>1972</v>
      </c>
      <c r="C2579" t="s">
        <v>245</v>
      </c>
      <c r="D2579" t="s">
        <v>13</v>
      </c>
    </row>
    <row r="2580" spans="1:4" x14ac:dyDescent="0.35">
      <c r="A2580">
        <v>494</v>
      </c>
      <c r="B2580" t="s">
        <v>1973</v>
      </c>
      <c r="C2580" t="s">
        <v>93</v>
      </c>
      <c r="D2580" t="s">
        <v>13</v>
      </c>
    </row>
    <row r="2581" spans="1:4" x14ac:dyDescent="0.35">
      <c r="A2581">
        <v>495</v>
      </c>
      <c r="B2581" t="s">
        <v>1974</v>
      </c>
      <c r="C2581" t="s">
        <v>72</v>
      </c>
      <c r="D2581" t="s">
        <v>13</v>
      </c>
    </row>
    <row r="2582" spans="1:4" x14ac:dyDescent="0.35">
      <c r="A2582">
        <v>495</v>
      </c>
      <c r="B2582" t="s">
        <v>1975</v>
      </c>
      <c r="C2582" t="s">
        <v>72</v>
      </c>
      <c r="D2582" t="s">
        <v>13</v>
      </c>
    </row>
    <row r="2583" spans="1:4" x14ac:dyDescent="0.35">
      <c r="A2583">
        <v>495</v>
      </c>
      <c r="B2583" t="s">
        <v>1976</v>
      </c>
      <c r="C2583" t="s">
        <v>72</v>
      </c>
      <c r="D2583" t="s">
        <v>13</v>
      </c>
    </row>
    <row r="2584" spans="1:4" x14ac:dyDescent="0.35">
      <c r="A2584">
        <v>495</v>
      </c>
      <c r="B2584" t="s">
        <v>1977</v>
      </c>
      <c r="C2584" t="s">
        <v>72</v>
      </c>
      <c r="D2584" t="s">
        <v>13</v>
      </c>
    </row>
    <row r="2585" spans="1:4" x14ac:dyDescent="0.35">
      <c r="A2585">
        <v>495</v>
      </c>
      <c r="B2585" t="s">
        <v>1978</v>
      </c>
      <c r="C2585" t="s">
        <v>72</v>
      </c>
      <c r="D2585" t="s">
        <v>13</v>
      </c>
    </row>
    <row r="2586" spans="1:4" x14ac:dyDescent="0.35">
      <c r="A2586">
        <v>495</v>
      </c>
      <c r="B2586" t="s">
        <v>1413</v>
      </c>
      <c r="C2586" t="s">
        <v>72</v>
      </c>
      <c r="D2586" t="s">
        <v>13</v>
      </c>
    </row>
    <row r="2587" spans="1:4" x14ac:dyDescent="0.35">
      <c r="A2587">
        <v>495</v>
      </c>
      <c r="B2587" t="s">
        <v>1979</v>
      </c>
      <c r="C2587" t="s">
        <v>72</v>
      </c>
      <c r="D2587" t="s">
        <v>13</v>
      </c>
    </row>
    <row r="2588" spans="1:4" x14ac:dyDescent="0.35">
      <c r="A2588">
        <v>495</v>
      </c>
      <c r="B2588" t="s">
        <v>1666</v>
      </c>
      <c r="C2588" t="s">
        <v>72</v>
      </c>
      <c r="D2588" t="s">
        <v>13</v>
      </c>
    </row>
    <row r="2589" spans="1:4" x14ac:dyDescent="0.35">
      <c r="A2589">
        <v>495</v>
      </c>
      <c r="B2589" t="s">
        <v>1980</v>
      </c>
      <c r="C2589" t="s">
        <v>72</v>
      </c>
      <c r="D2589" t="s">
        <v>13</v>
      </c>
    </row>
    <row r="2590" spans="1:4" x14ac:dyDescent="0.35">
      <c r="A2590">
        <v>496</v>
      </c>
      <c r="B2590" t="s">
        <v>1981</v>
      </c>
      <c r="C2590" t="s">
        <v>22</v>
      </c>
      <c r="D2590" t="s">
        <v>13</v>
      </c>
    </row>
    <row r="2591" spans="1:4" x14ac:dyDescent="0.35">
      <c r="A2591">
        <v>496</v>
      </c>
      <c r="B2591" t="s">
        <v>1982</v>
      </c>
      <c r="C2591" t="s">
        <v>22</v>
      </c>
      <c r="D2591" t="s">
        <v>13</v>
      </c>
    </row>
    <row r="2592" spans="1:4" x14ac:dyDescent="0.35">
      <c r="A2592">
        <v>496</v>
      </c>
      <c r="B2592" t="s">
        <v>1983</v>
      </c>
      <c r="C2592" t="s">
        <v>22</v>
      </c>
      <c r="D2592" t="s">
        <v>13</v>
      </c>
    </row>
    <row r="2593" spans="1:4" x14ac:dyDescent="0.35">
      <c r="A2593">
        <v>497</v>
      </c>
      <c r="B2593" t="s">
        <v>1984</v>
      </c>
      <c r="C2593" t="s">
        <v>352</v>
      </c>
      <c r="D2593" t="s">
        <v>13</v>
      </c>
    </row>
    <row r="2594" spans="1:4" x14ac:dyDescent="0.35">
      <c r="A2594">
        <v>497</v>
      </c>
      <c r="B2594" t="s">
        <v>1985</v>
      </c>
      <c r="C2594" t="s">
        <v>352</v>
      </c>
      <c r="D2594" t="s">
        <v>13</v>
      </c>
    </row>
    <row r="2595" spans="1:4" x14ac:dyDescent="0.35">
      <c r="A2595">
        <v>497</v>
      </c>
      <c r="B2595" t="s">
        <v>1986</v>
      </c>
      <c r="C2595" t="s">
        <v>352</v>
      </c>
      <c r="D2595" t="s">
        <v>13</v>
      </c>
    </row>
    <row r="2596" spans="1:4" x14ac:dyDescent="0.35">
      <c r="A2596">
        <v>497</v>
      </c>
      <c r="B2596" t="s">
        <v>1987</v>
      </c>
      <c r="C2596" t="s">
        <v>352</v>
      </c>
      <c r="D2596" t="s">
        <v>13</v>
      </c>
    </row>
    <row r="2597" spans="1:4" x14ac:dyDescent="0.35">
      <c r="A2597">
        <v>497</v>
      </c>
      <c r="B2597" t="s">
        <v>1988</v>
      </c>
      <c r="C2597" t="s">
        <v>172</v>
      </c>
      <c r="D2597" t="s">
        <v>6</v>
      </c>
    </row>
    <row r="2598" spans="1:4" x14ac:dyDescent="0.35">
      <c r="A2598">
        <v>498</v>
      </c>
      <c r="B2598" t="s">
        <v>1989</v>
      </c>
      <c r="C2598" t="s">
        <v>72</v>
      </c>
      <c r="D2598" t="s">
        <v>13</v>
      </c>
    </row>
    <row r="2599" spans="1:4" x14ac:dyDescent="0.35">
      <c r="A2599">
        <v>498</v>
      </c>
      <c r="B2599" t="s">
        <v>1990</v>
      </c>
      <c r="C2599" t="s">
        <v>72</v>
      </c>
      <c r="D2599" t="s">
        <v>13</v>
      </c>
    </row>
    <row r="2600" spans="1:4" x14ac:dyDescent="0.35">
      <c r="A2600">
        <v>498</v>
      </c>
      <c r="B2600" t="s">
        <v>1991</v>
      </c>
      <c r="C2600" t="s">
        <v>72</v>
      </c>
      <c r="D2600" t="s">
        <v>13</v>
      </c>
    </row>
    <row r="2601" spans="1:4" x14ac:dyDescent="0.35">
      <c r="A2601">
        <v>498</v>
      </c>
      <c r="B2601" t="s">
        <v>1991</v>
      </c>
      <c r="C2601" t="s">
        <v>48</v>
      </c>
      <c r="D2601" t="s">
        <v>13</v>
      </c>
    </row>
    <row r="2602" spans="1:4" x14ac:dyDescent="0.35">
      <c r="A2602">
        <v>498</v>
      </c>
      <c r="B2602" t="s">
        <v>1992</v>
      </c>
      <c r="C2602" t="s">
        <v>72</v>
      </c>
      <c r="D2602" t="s">
        <v>13</v>
      </c>
    </row>
    <row r="2603" spans="1:4" x14ac:dyDescent="0.35">
      <c r="A2603">
        <v>498</v>
      </c>
      <c r="B2603" t="s">
        <v>1993</v>
      </c>
      <c r="C2603" t="s">
        <v>72</v>
      </c>
      <c r="D2603" t="s">
        <v>13</v>
      </c>
    </row>
    <row r="2604" spans="1:4" x14ac:dyDescent="0.35">
      <c r="A2604">
        <v>498</v>
      </c>
      <c r="B2604" t="s">
        <v>1994</v>
      </c>
      <c r="C2604" t="s">
        <v>72</v>
      </c>
      <c r="D2604" t="s">
        <v>13</v>
      </c>
    </row>
    <row r="2605" spans="1:4" x14ac:dyDescent="0.35">
      <c r="A2605">
        <v>498</v>
      </c>
      <c r="B2605" t="s">
        <v>1995</v>
      </c>
      <c r="C2605" t="s">
        <v>72</v>
      </c>
      <c r="D2605" t="s">
        <v>13</v>
      </c>
    </row>
    <row r="2606" spans="1:4" x14ac:dyDescent="0.35">
      <c r="A2606">
        <v>499</v>
      </c>
      <c r="B2606" t="s">
        <v>1996</v>
      </c>
      <c r="C2606" t="s">
        <v>157</v>
      </c>
      <c r="D2606" t="s">
        <v>6</v>
      </c>
    </row>
    <row r="2607" spans="1:4" x14ac:dyDescent="0.35">
      <c r="A2607">
        <v>499</v>
      </c>
      <c r="B2607" t="s">
        <v>1997</v>
      </c>
      <c r="C2607" t="s">
        <v>157</v>
      </c>
      <c r="D2607" t="s">
        <v>6</v>
      </c>
    </row>
    <row r="2608" spans="1:4" x14ac:dyDescent="0.35">
      <c r="A2608">
        <v>499</v>
      </c>
      <c r="B2608" t="s">
        <v>1998</v>
      </c>
      <c r="C2608" t="s">
        <v>157</v>
      </c>
      <c r="D2608" t="s">
        <v>6</v>
      </c>
    </row>
    <row r="2609" spans="1:4" x14ac:dyDescent="0.35">
      <c r="A2609">
        <v>500</v>
      </c>
      <c r="B2609" t="s">
        <v>1999</v>
      </c>
      <c r="C2609" t="s">
        <v>157</v>
      </c>
      <c r="D2609" t="s">
        <v>6</v>
      </c>
    </row>
    <row r="2610" spans="1:4" x14ac:dyDescent="0.35">
      <c r="A2610">
        <v>500</v>
      </c>
      <c r="B2610" t="s">
        <v>2000</v>
      </c>
      <c r="C2610" t="s">
        <v>72</v>
      </c>
      <c r="D2610" t="s">
        <v>13</v>
      </c>
    </row>
    <row r="2611" spans="1:4" x14ac:dyDescent="0.35">
      <c r="A2611">
        <v>500</v>
      </c>
      <c r="B2611" t="s">
        <v>2001</v>
      </c>
      <c r="C2611" t="s">
        <v>157</v>
      </c>
      <c r="D2611" t="s">
        <v>6</v>
      </c>
    </row>
    <row r="2612" spans="1:4" x14ac:dyDescent="0.35">
      <c r="A2612">
        <v>500</v>
      </c>
      <c r="B2612" t="s">
        <v>2002</v>
      </c>
      <c r="C2612" t="s">
        <v>157</v>
      </c>
      <c r="D2612" t="s">
        <v>6</v>
      </c>
    </row>
    <row r="2613" spans="1:4" x14ac:dyDescent="0.35">
      <c r="A2613">
        <v>500</v>
      </c>
      <c r="B2613" t="s">
        <v>2003</v>
      </c>
      <c r="C2613" t="s">
        <v>72</v>
      </c>
      <c r="D2613" t="s">
        <v>13</v>
      </c>
    </row>
    <row r="2614" spans="1:4" x14ac:dyDescent="0.35">
      <c r="A2614">
        <v>500</v>
      </c>
      <c r="B2614" t="s">
        <v>2003</v>
      </c>
      <c r="C2614" t="s">
        <v>157</v>
      </c>
      <c r="D2614" t="s">
        <v>6</v>
      </c>
    </row>
    <row r="2615" spans="1:4" x14ac:dyDescent="0.35">
      <c r="A2615">
        <v>500</v>
      </c>
      <c r="B2615" t="s">
        <v>2004</v>
      </c>
      <c r="C2615" t="s">
        <v>157</v>
      </c>
      <c r="D2615" t="s">
        <v>6</v>
      </c>
    </row>
    <row r="2616" spans="1:4" x14ac:dyDescent="0.35">
      <c r="A2616">
        <v>501</v>
      </c>
      <c r="B2616" t="s">
        <v>23</v>
      </c>
      <c r="C2616" t="s">
        <v>22</v>
      </c>
      <c r="D2616" t="s">
        <v>13</v>
      </c>
    </row>
    <row r="2617" spans="1:4" x14ac:dyDescent="0.35">
      <c r="A2617">
        <v>501</v>
      </c>
      <c r="B2617" t="s">
        <v>2005</v>
      </c>
      <c r="C2617" t="s">
        <v>22</v>
      </c>
      <c r="D2617" t="s">
        <v>13</v>
      </c>
    </row>
    <row r="2618" spans="1:4" x14ac:dyDescent="0.35">
      <c r="A2618">
        <v>501</v>
      </c>
      <c r="B2618" t="s">
        <v>2006</v>
      </c>
      <c r="C2618" t="s">
        <v>22</v>
      </c>
      <c r="D2618" t="s">
        <v>13</v>
      </c>
    </row>
    <row r="2619" spans="1:4" x14ac:dyDescent="0.35">
      <c r="A2619">
        <v>501</v>
      </c>
      <c r="B2619" t="s">
        <v>2007</v>
      </c>
      <c r="C2619" t="s">
        <v>22</v>
      </c>
      <c r="D2619" t="s">
        <v>13</v>
      </c>
    </row>
    <row r="2620" spans="1:4" x14ac:dyDescent="0.35">
      <c r="A2620">
        <v>501</v>
      </c>
      <c r="B2620" t="s">
        <v>2008</v>
      </c>
      <c r="C2620" t="s">
        <v>22</v>
      </c>
      <c r="D2620" t="s">
        <v>13</v>
      </c>
    </row>
    <row r="2621" spans="1:4" x14ac:dyDescent="0.35">
      <c r="A2621">
        <v>501</v>
      </c>
      <c r="B2621" t="s">
        <v>2009</v>
      </c>
      <c r="C2621" t="s">
        <v>22</v>
      </c>
      <c r="D2621" t="s">
        <v>13</v>
      </c>
    </row>
    <row r="2622" spans="1:4" x14ac:dyDescent="0.35">
      <c r="A2622">
        <v>501</v>
      </c>
      <c r="B2622" t="s">
        <v>2010</v>
      </c>
      <c r="C2622" t="s">
        <v>22</v>
      </c>
      <c r="D2622" t="s">
        <v>13</v>
      </c>
    </row>
    <row r="2623" spans="1:4" x14ac:dyDescent="0.35">
      <c r="A2623">
        <v>502</v>
      </c>
      <c r="B2623" t="s">
        <v>1143</v>
      </c>
      <c r="C2623" t="s">
        <v>72</v>
      </c>
      <c r="D2623" t="s">
        <v>13</v>
      </c>
    </row>
    <row r="2624" spans="1:4" x14ac:dyDescent="0.35">
      <c r="A2624">
        <v>502</v>
      </c>
      <c r="B2624" t="s">
        <v>2011</v>
      </c>
      <c r="C2624" t="s">
        <v>72</v>
      </c>
      <c r="D2624" t="s">
        <v>13</v>
      </c>
    </row>
    <row r="2625" spans="1:4" x14ac:dyDescent="0.35">
      <c r="A2625">
        <v>502</v>
      </c>
      <c r="B2625" t="s">
        <v>1145</v>
      </c>
      <c r="C2625" t="s">
        <v>72</v>
      </c>
      <c r="D2625" t="s">
        <v>13</v>
      </c>
    </row>
    <row r="2626" spans="1:4" x14ac:dyDescent="0.35">
      <c r="A2626">
        <v>502</v>
      </c>
      <c r="B2626" t="s">
        <v>1146</v>
      </c>
      <c r="C2626" t="s">
        <v>72</v>
      </c>
      <c r="D2626" t="s">
        <v>13</v>
      </c>
    </row>
    <row r="2627" spans="1:4" x14ac:dyDescent="0.35">
      <c r="A2627">
        <v>503</v>
      </c>
      <c r="B2627" t="s">
        <v>2012</v>
      </c>
      <c r="C2627" t="s">
        <v>19</v>
      </c>
      <c r="D2627" t="s">
        <v>13</v>
      </c>
    </row>
    <row r="2628" spans="1:4" x14ac:dyDescent="0.35">
      <c r="A2628">
        <v>503</v>
      </c>
      <c r="B2628" t="s">
        <v>2013</v>
      </c>
      <c r="C2628" t="s">
        <v>19</v>
      </c>
      <c r="D2628" t="s">
        <v>13</v>
      </c>
    </row>
    <row r="2629" spans="1:4" x14ac:dyDescent="0.35">
      <c r="A2629">
        <v>503</v>
      </c>
      <c r="B2629" t="s">
        <v>2014</v>
      </c>
      <c r="C2629" t="s">
        <v>19</v>
      </c>
      <c r="D2629" t="s">
        <v>13</v>
      </c>
    </row>
    <row r="2630" spans="1:4" x14ac:dyDescent="0.35">
      <c r="A2630">
        <v>503</v>
      </c>
      <c r="B2630" t="s">
        <v>2015</v>
      </c>
      <c r="C2630" t="s">
        <v>19</v>
      </c>
      <c r="D2630" t="s">
        <v>13</v>
      </c>
    </row>
    <row r="2631" spans="1:4" x14ac:dyDescent="0.35">
      <c r="A2631">
        <v>503</v>
      </c>
      <c r="B2631" t="s">
        <v>2016</v>
      </c>
      <c r="C2631" t="s">
        <v>19</v>
      </c>
      <c r="D2631" t="s">
        <v>13</v>
      </c>
    </row>
    <row r="2632" spans="1:4" x14ac:dyDescent="0.35">
      <c r="A2632">
        <v>503</v>
      </c>
      <c r="B2632" t="s">
        <v>2017</v>
      </c>
      <c r="C2632" t="s">
        <v>19</v>
      </c>
      <c r="D2632" t="s">
        <v>13</v>
      </c>
    </row>
    <row r="2633" spans="1:4" x14ac:dyDescent="0.35">
      <c r="A2633">
        <v>503</v>
      </c>
      <c r="B2633" t="s">
        <v>2018</v>
      </c>
      <c r="C2633" t="s">
        <v>19</v>
      </c>
      <c r="D2633" t="s">
        <v>13</v>
      </c>
    </row>
    <row r="2634" spans="1:4" x14ac:dyDescent="0.35">
      <c r="A2634">
        <v>503</v>
      </c>
      <c r="B2634" t="s">
        <v>2019</v>
      </c>
      <c r="C2634" t="s">
        <v>19</v>
      </c>
      <c r="D2634" t="s">
        <v>13</v>
      </c>
    </row>
    <row r="2635" spans="1:4" x14ac:dyDescent="0.35">
      <c r="A2635">
        <v>504</v>
      </c>
      <c r="B2635" t="s">
        <v>2020</v>
      </c>
      <c r="C2635" t="s">
        <v>16</v>
      </c>
      <c r="D2635" t="s">
        <v>13</v>
      </c>
    </row>
    <row r="2636" spans="1:4" x14ac:dyDescent="0.35">
      <c r="A2636">
        <v>504</v>
      </c>
      <c r="B2636" t="s">
        <v>2020</v>
      </c>
      <c r="C2636" t="s">
        <v>2021</v>
      </c>
      <c r="D2636" t="s">
        <v>13</v>
      </c>
    </row>
    <row r="2637" spans="1:4" x14ac:dyDescent="0.35">
      <c r="A2637">
        <v>504</v>
      </c>
      <c r="B2637" t="s">
        <v>2022</v>
      </c>
      <c r="C2637" t="s">
        <v>16</v>
      </c>
      <c r="D2637" t="s">
        <v>13</v>
      </c>
    </row>
    <row r="2638" spans="1:4" x14ac:dyDescent="0.35">
      <c r="A2638">
        <v>504</v>
      </c>
      <c r="B2638" t="s">
        <v>2023</v>
      </c>
      <c r="C2638" t="s">
        <v>16</v>
      </c>
      <c r="D2638" t="s">
        <v>13</v>
      </c>
    </row>
    <row r="2639" spans="1:4" x14ac:dyDescent="0.35">
      <c r="A2639">
        <v>504</v>
      </c>
      <c r="B2639" t="s">
        <v>2024</v>
      </c>
      <c r="C2639" t="s">
        <v>16</v>
      </c>
      <c r="D2639" t="s">
        <v>13</v>
      </c>
    </row>
    <row r="2640" spans="1:4" x14ac:dyDescent="0.35">
      <c r="A2640">
        <v>504</v>
      </c>
      <c r="B2640" t="s">
        <v>2025</v>
      </c>
      <c r="C2640" t="s">
        <v>16</v>
      </c>
      <c r="D2640" t="s">
        <v>13</v>
      </c>
    </row>
    <row r="2641" spans="1:4" x14ac:dyDescent="0.35">
      <c r="A2641">
        <v>505</v>
      </c>
      <c r="B2641" t="s">
        <v>2026</v>
      </c>
      <c r="C2641" t="s">
        <v>19</v>
      </c>
      <c r="D2641" t="s">
        <v>13</v>
      </c>
    </row>
    <row r="2642" spans="1:4" x14ac:dyDescent="0.35">
      <c r="A2642">
        <v>505</v>
      </c>
      <c r="B2642" t="s">
        <v>2027</v>
      </c>
      <c r="C2642" t="s">
        <v>19</v>
      </c>
      <c r="D2642" t="s">
        <v>13</v>
      </c>
    </row>
    <row r="2643" spans="1:4" x14ac:dyDescent="0.35">
      <c r="A2643">
        <v>505</v>
      </c>
      <c r="B2643" t="s">
        <v>2028</v>
      </c>
      <c r="C2643" t="s">
        <v>261</v>
      </c>
      <c r="D2643" t="s">
        <v>13</v>
      </c>
    </row>
    <row r="2644" spans="1:4" x14ac:dyDescent="0.35">
      <c r="A2644">
        <v>505</v>
      </c>
      <c r="B2644" t="s">
        <v>1440</v>
      </c>
      <c r="C2644" t="s">
        <v>261</v>
      </c>
      <c r="D2644" t="s">
        <v>13</v>
      </c>
    </row>
    <row r="2645" spans="1:4" x14ac:dyDescent="0.35">
      <c r="A2645">
        <v>505</v>
      </c>
      <c r="B2645" t="s">
        <v>2029</v>
      </c>
      <c r="C2645" t="s">
        <v>261</v>
      </c>
      <c r="D2645" t="s">
        <v>13</v>
      </c>
    </row>
    <row r="2646" spans="1:4" x14ac:dyDescent="0.35">
      <c r="A2646">
        <v>505</v>
      </c>
      <c r="B2646" t="s">
        <v>2030</v>
      </c>
      <c r="C2646" t="s">
        <v>261</v>
      </c>
      <c r="D2646" t="s">
        <v>13</v>
      </c>
    </row>
    <row r="2647" spans="1:4" x14ac:dyDescent="0.35">
      <c r="A2647">
        <v>505</v>
      </c>
      <c r="B2647" t="s">
        <v>2031</v>
      </c>
      <c r="C2647" t="s">
        <v>261</v>
      </c>
      <c r="D2647" t="s">
        <v>13</v>
      </c>
    </row>
    <row r="2648" spans="1:4" x14ac:dyDescent="0.35">
      <c r="A2648">
        <v>505</v>
      </c>
      <c r="B2648" t="s">
        <v>2032</v>
      </c>
      <c r="C2648" t="s">
        <v>261</v>
      </c>
      <c r="D2648" t="s">
        <v>13</v>
      </c>
    </row>
    <row r="2649" spans="1:4" x14ac:dyDescent="0.35">
      <c r="A2649">
        <v>505</v>
      </c>
      <c r="B2649" t="s">
        <v>2033</v>
      </c>
      <c r="C2649" t="s">
        <v>261</v>
      </c>
      <c r="D2649" t="s">
        <v>13</v>
      </c>
    </row>
    <row r="2650" spans="1:4" x14ac:dyDescent="0.35">
      <c r="A2650">
        <v>505</v>
      </c>
      <c r="B2650" t="s">
        <v>2034</v>
      </c>
      <c r="C2650" t="s">
        <v>261</v>
      </c>
      <c r="D2650" t="s">
        <v>13</v>
      </c>
    </row>
    <row r="2651" spans="1:4" x14ac:dyDescent="0.35">
      <c r="A2651">
        <v>505</v>
      </c>
      <c r="B2651" t="s">
        <v>2035</v>
      </c>
      <c r="C2651" t="s">
        <v>19</v>
      </c>
      <c r="D2651" t="s">
        <v>13</v>
      </c>
    </row>
    <row r="2652" spans="1:4" x14ac:dyDescent="0.35">
      <c r="A2652">
        <v>505</v>
      </c>
      <c r="B2652" t="s">
        <v>2036</v>
      </c>
      <c r="C2652" t="s">
        <v>261</v>
      </c>
      <c r="D2652" t="s">
        <v>13</v>
      </c>
    </row>
    <row r="2653" spans="1:4" x14ac:dyDescent="0.35">
      <c r="A2653">
        <v>505</v>
      </c>
      <c r="B2653" t="s">
        <v>2037</v>
      </c>
      <c r="C2653" t="s">
        <v>261</v>
      </c>
      <c r="D2653" t="s">
        <v>13</v>
      </c>
    </row>
    <row r="2654" spans="1:4" x14ac:dyDescent="0.35">
      <c r="A2654">
        <v>506</v>
      </c>
      <c r="B2654" t="s">
        <v>1821</v>
      </c>
      <c r="C2654" t="s">
        <v>157</v>
      </c>
      <c r="D2654" t="s">
        <v>6</v>
      </c>
    </row>
    <row r="2655" spans="1:4" x14ac:dyDescent="0.35">
      <c r="A2655">
        <v>506</v>
      </c>
      <c r="B2655" t="s">
        <v>1968</v>
      </c>
      <c r="C2655" t="s">
        <v>157</v>
      </c>
      <c r="D2655" t="s">
        <v>6</v>
      </c>
    </row>
    <row r="2656" spans="1:4" x14ac:dyDescent="0.35">
      <c r="A2656">
        <v>507</v>
      </c>
      <c r="B2656" t="s">
        <v>2038</v>
      </c>
      <c r="C2656" t="s">
        <v>189</v>
      </c>
      <c r="D2656" t="s">
        <v>6</v>
      </c>
    </row>
    <row r="2657" spans="1:4" x14ac:dyDescent="0.35">
      <c r="A2657">
        <v>507</v>
      </c>
      <c r="B2657" t="s">
        <v>2039</v>
      </c>
      <c r="C2657" t="s">
        <v>48</v>
      </c>
      <c r="D2657" t="s">
        <v>13</v>
      </c>
    </row>
    <row r="2658" spans="1:4" x14ac:dyDescent="0.35">
      <c r="A2658">
        <v>507</v>
      </c>
      <c r="B2658" t="s">
        <v>2040</v>
      </c>
      <c r="C2658" t="s">
        <v>189</v>
      </c>
      <c r="D2658" t="s">
        <v>6</v>
      </c>
    </row>
    <row r="2659" spans="1:4" x14ac:dyDescent="0.35">
      <c r="A2659">
        <v>507</v>
      </c>
      <c r="B2659" t="s">
        <v>2041</v>
      </c>
      <c r="C2659" t="s">
        <v>48</v>
      </c>
      <c r="D2659" t="s">
        <v>13</v>
      </c>
    </row>
    <row r="2660" spans="1:4" x14ac:dyDescent="0.35">
      <c r="A2660">
        <v>508</v>
      </c>
      <c r="B2660" t="s">
        <v>2042</v>
      </c>
      <c r="C2660" t="s">
        <v>56</v>
      </c>
      <c r="D2660" t="s">
        <v>13</v>
      </c>
    </row>
    <row r="2661" spans="1:4" x14ac:dyDescent="0.35">
      <c r="A2661">
        <v>508</v>
      </c>
      <c r="B2661" t="s">
        <v>2043</v>
      </c>
      <c r="C2661" t="s">
        <v>56</v>
      </c>
      <c r="D2661" t="s">
        <v>13</v>
      </c>
    </row>
    <row r="2662" spans="1:4" x14ac:dyDescent="0.35">
      <c r="A2662">
        <v>508</v>
      </c>
      <c r="B2662" t="s">
        <v>2044</v>
      </c>
      <c r="C2662" t="s">
        <v>56</v>
      </c>
      <c r="D2662" t="s">
        <v>13</v>
      </c>
    </row>
    <row r="2663" spans="1:4" x14ac:dyDescent="0.35">
      <c r="A2663">
        <v>509</v>
      </c>
      <c r="B2663" t="s">
        <v>2045</v>
      </c>
      <c r="C2663" t="s">
        <v>157</v>
      </c>
      <c r="D2663" t="s">
        <v>6</v>
      </c>
    </row>
    <row r="2664" spans="1:4" x14ac:dyDescent="0.35">
      <c r="A2664">
        <v>509</v>
      </c>
      <c r="B2664" t="s">
        <v>2046</v>
      </c>
      <c r="C2664" t="s">
        <v>157</v>
      </c>
      <c r="D2664" t="s">
        <v>6</v>
      </c>
    </row>
    <row r="2665" spans="1:4" x14ac:dyDescent="0.35">
      <c r="A2665">
        <v>509</v>
      </c>
      <c r="B2665" t="s">
        <v>2047</v>
      </c>
      <c r="C2665" t="s">
        <v>157</v>
      </c>
      <c r="D2665" t="s">
        <v>6</v>
      </c>
    </row>
    <row r="2666" spans="1:4" x14ac:dyDescent="0.35">
      <c r="A2666">
        <v>510</v>
      </c>
      <c r="B2666" t="s">
        <v>2048</v>
      </c>
      <c r="C2666" t="s">
        <v>5</v>
      </c>
      <c r="D2666" t="s">
        <v>6</v>
      </c>
    </row>
    <row r="2667" spans="1:4" x14ac:dyDescent="0.35">
      <c r="A2667">
        <v>510</v>
      </c>
      <c r="B2667" t="s">
        <v>328</v>
      </c>
      <c r="C2667" t="s">
        <v>93</v>
      </c>
      <c r="D2667" t="s">
        <v>13</v>
      </c>
    </row>
    <row r="2668" spans="1:4" x14ac:dyDescent="0.35">
      <c r="A2668">
        <v>510</v>
      </c>
      <c r="B2668" t="s">
        <v>328</v>
      </c>
      <c r="C2668" t="s">
        <v>157</v>
      </c>
      <c r="D2668" t="s">
        <v>6</v>
      </c>
    </row>
    <row r="2669" spans="1:4" x14ac:dyDescent="0.35">
      <c r="A2669">
        <v>510</v>
      </c>
      <c r="B2669" t="s">
        <v>2049</v>
      </c>
      <c r="C2669" t="s">
        <v>157</v>
      </c>
      <c r="D2669" t="s">
        <v>6</v>
      </c>
    </row>
    <row r="2670" spans="1:4" x14ac:dyDescent="0.35">
      <c r="A2670">
        <v>510</v>
      </c>
      <c r="B2670" t="s">
        <v>329</v>
      </c>
      <c r="C2670" t="s">
        <v>157</v>
      </c>
      <c r="D2670" t="s">
        <v>6</v>
      </c>
    </row>
    <row r="2671" spans="1:4" x14ac:dyDescent="0.35">
      <c r="A2671">
        <v>510</v>
      </c>
      <c r="B2671" t="s">
        <v>2050</v>
      </c>
      <c r="C2671" t="s">
        <v>5</v>
      </c>
      <c r="D2671" t="s">
        <v>6</v>
      </c>
    </row>
    <row r="2672" spans="1:4" x14ac:dyDescent="0.35">
      <c r="A2672">
        <v>511</v>
      </c>
      <c r="B2672" t="s">
        <v>174</v>
      </c>
      <c r="C2672" t="s">
        <v>5</v>
      </c>
      <c r="D2672" t="s">
        <v>6</v>
      </c>
    </row>
    <row r="2673" spans="1:4" x14ac:dyDescent="0.35">
      <c r="A2673">
        <v>511</v>
      </c>
      <c r="B2673" t="s">
        <v>2051</v>
      </c>
      <c r="C2673" t="s">
        <v>5</v>
      </c>
      <c r="D2673" t="s">
        <v>6</v>
      </c>
    </row>
    <row r="2674" spans="1:4" x14ac:dyDescent="0.35">
      <c r="A2674">
        <v>511</v>
      </c>
      <c r="B2674" t="s">
        <v>2052</v>
      </c>
      <c r="C2674" t="s">
        <v>5</v>
      </c>
      <c r="D2674" t="s">
        <v>6</v>
      </c>
    </row>
    <row r="2675" spans="1:4" x14ac:dyDescent="0.35">
      <c r="A2675">
        <v>511</v>
      </c>
      <c r="B2675" t="s">
        <v>2053</v>
      </c>
      <c r="C2675" t="s">
        <v>5</v>
      </c>
      <c r="D2675" t="s">
        <v>6</v>
      </c>
    </row>
    <row r="2676" spans="1:4" x14ac:dyDescent="0.35">
      <c r="A2676">
        <v>512</v>
      </c>
      <c r="B2676" t="s">
        <v>2054</v>
      </c>
      <c r="C2676" t="s">
        <v>93</v>
      </c>
      <c r="D2676" t="s">
        <v>13</v>
      </c>
    </row>
    <row r="2677" spans="1:4" x14ac:dyDescent="0.35">
      <c r="A2677">
        <v>512</v>
      </c>
      <c r="B2677" t="s">
        <v>2055</v>
      </c>
      <c r="C2677" t="s">
        <v>5</v>
      </c>
      <c r="D2677" t="s">
        <v>6</v>
      </c>
    </row>
    <row r="2678" spans="1:4" x14ac:dyDescent="0.35">
      <c r="A2678">
        <v>512</v>
      </c>
      <c r="B2678" t="s">
        <v>2056</v>
      </c>
      <c r="C2678" t="s">
        <v>5</v>
      </c>
      <c r="D2678" t="s">
        <v>6</v>
      </c>
    </row>
    <row r="2679" spans="1:4" x14ac:dyDescent="0.35">
      <c r="A2679">
        <v>512</v>
      </c>
      <c r="B2679" t="s">
        <v>2057</v>
      </c>
      <c r="C2679" t="s">
        <v>5</v>
      </c>
      <c r="D2679" t="s">
        <v>6</v>
      </c>
    </row>
    <row r="2680" spans="1:4" x14ac:dyDescent="0.35">
      <c r="A2680">
        <v>513</v>
      </c>
      <c r="B2680" t="s">
        <v>1881</v>
      </c>
      <c r="C2680" t="s">
        <v>157</v>
      </c>
      <c r="D2680" t="s">
        <v>6</v>
      </c>
    </row>
    <row r="2681" spans="1:4" x14ac:dyDescent="0.35">
      <c r="A2681">
        <v>513</v>
      </c>
      <c r="B2681" t="s">
        <v>2058</v>
      </c>
      <c r="C2681" t="s">
        <v>157</v>
      </c>
      <c r="D2681" t="s">
        <v>6</v>
      </c>
    </row>
    <row r="2682" spans="1:4" x14ac:dyDescent="0.35">
      <c r="A2682">
        <v>513</v>
      </c>
      <c r="B2682" t="s">
        <v>1821</v>
      </c>
      <c r="C2682" t="s">
        <v>157</v>
      </c>
      <c r="D2682" t="s">
        <v>6</v>
      </c>
    </row>
    <row r="2683" spans="1:4" x14ac:dyDescent="0.35">
      <c r="A2683">
        <v>514</v>
      </c>
      <c r="B2683" t="s">
        <v>590</v>
      </c>
      <c r="C2683" t="s">
        <v>22</v>
      </c>
      <c r="D2683" t="s">
        <v>13</v>
      </c>
    </row>
    <row r="2684" spans="1:4" x14ac:dyDescent="0.35">
      <c r="A2684">
        <v>514</v>
      </c>
      <c r="B2684" t="s">
        <v>967</v>
      </c>
      <c r="C2684" t="s">
        <v>231</v>
      </c>
      <c r="D2684" t="s">
        <v>6</v>
      </c>
    </row>
    <row r="2685" spans="1:4" x14ac:dyDescent="0.35">
      <c r="A2685">
        <v>514</v>
      </c>
      <c r="B2685" t="s">
        <v>1129</v>
      </c>
      <c r="C2685" t="s">
        <v>231</v>
      </c>
      <c r="D2685" t="s">
        <v>6</v>
      </c>
    </row>
    <row r="2686" spans="1:4" x14ac:dyDescent="0.35">
      <c r="A2686">
        <v>514</v>
      </c>
      <c r="B2686" t="s">
        <v>580</v>
      </c>
      <c r="C2686" t="s">
        <v>231</v>
      </c>
      <c r="D2686" t="s">
        <v>6</v>
      </c>
    </row>
    <row r="2687" spans="1:4" x14ac:dyDescent="0.35">
      <c r="A2687">
        <v>514</v>
      </c>
      <c r="B2687" t="s">
        <v>1126</v>
      </c>
      <c r="C2687" t="s">
        <v>72</v>
      </c>
      <c r="D2687" t="s">
        <v>13</v>
      </c>
    </row>
    <row r="2688" spans="1:4" x14ac:dyDescent="0.35">
      <c r="A2688">
        <v>515</v>
      </c>
      <c r="B2688" t="s">
        <v>2059</v>
      </c>
      <c r="C2688" t="s">
        <v>72</v>
      </c>
      <c r="D2688" t="s">
        <v>13</v>
      </c>
    </row>
    <row r="2689" spans="1:4" x14ac:dyDescent="0.35">
      <c r="A2689">
        <v>515</v>
      </c>
      <c r="B2689" t="s">
        <v>2060</v>
      </c>
      <c r="C2689" t="s">
        <v>72</v>
      </c>
      <c r="D2689" t="s">
        <v>13</v>
      </c>
    </row>
    <row r="2690" spans="1:4" x14ac:dyDescent="0.35">
      <c r="A2690">
        <v>515</v>
      </c>
      <c r="B2690" t="s">
        <v>2061</v>
      </c>
      <c r="C2690" t="s">
        <v>16</v>
      </c>
      <c r="D2690" t="s">
        <v>13</v>
      </c>
    </row>
    <row r="2691" spans="1:4" x14ac:dyDescent="0.35">
      <c r="A2691">
        <v>515</v>
      </c>
      <c r="B2691" t="s">
        <v>2061</v>
      </c>
      <c r="C2691" t="s">
        <v>72</v>
      </c>
      <c r="D2691" t="s">
        <v>13</v>
      </c>
    </row>
    <row r="2692" spans="1:4" x14ac:dyDescent="0.35">
      <c r="A2692">
        <v>515</v>
      </c>
      <c r="B2692" t="s">
        <v>2062</v>
      </c>
      <c r="C2692" t="s">
        <v>16</v>
      </c>
      <c r="D2692" t="s">
        <v>13</v>
      </c>
    </row>
    <row r="2693" spans="1:4" x14ac:dyDescent="0.35">
      <c r="A2693">
        <v>515</v>
      </c>
      <c r="B2693" t="s">
        <v>2062</v>
      </c>
      <c r="C2693" t="s">
        <v>72</v>
      </c>
      <c r="D2693" t="s">
        <v>13</v>
      </c>
    </row>
    <row r="2694" spans="1:4" x14ac:dyDescent="0.35">
      <c r="A2694">
        <v>516</v>
      </c>
      <c r="B2694" t="s">
        <v>1225</v>
      </c>
      <c r="C2694" t="s">
        <v>72</v>
      </c>
      <c r="D2694" t="s">
        <v>13</v>
      </c>
    </row>
    <row r="2695" spans="1:4" x14ac:dyDescent="0.35">
      <c r="A2695">
        <v>516</v>
      </c>
      <c r="B2695" t="s">
        <v>1226</v>
      </c>
      <c r="C2695" t="s">
        <v>72</v>
      </c>
      <c r="D2695" t="s">
        <v>13</v>
      </c>
    </row>
    <row r="2696" spans="1:4" x14ac:dyDescent="0.35">
      <c r="A2696">
        <v>516</v>
      </c>
      <c r="B2696" t="s">
        <v>2063</v>
      </c>
      <c r="C2696" t="s">
        <v>72</v>
      </c>
      <c r="D2696" t="s">
        <v>13</v>
      </c>
    </row>
    <row r="2697" spans="1:4" x14ac:dyDescent="0.35">
      <c r="A2697">
        <v>516</v>
      </c>
      <c r="B2697" t="s">
        <v>2064</v>
      </c>
      <c r="C2697" t="s">
        <v>72</v>
      </c>
      <c r="D2697" t="s">
        <v>13</v>
      </c>
    </row>
    <row r="2698" spans="1:4" x14ac:dyDescent="0.35">
      <c r="A2698">
        <v>517</v>
      </c>
      <c r="B2698" t="s">
        <v>412</v>
      </c>
      <c r="C2698" t="s">
        <v>189</v>
      </c>
      <c r="D2698" t="s">
        <v>6</v>
      </c>
    </row>
    <row r="2699" spans="1:4" x14ac:dyDescent="0.35">
      <c r="A2699">
        <v>517</v>
      </c>
      <c r="B2699" t="s">
        <v>356</v>
      </c>
      <c r="C2699" t="s">
        <v>231</v>
      </c>
      <c r="D2699" t="s">
        <v>6</v>
      </c>
    </row>
    <row r="2700" spans="1:4" x14ac:dyDescent="0.35">
      <c r="A2700">
        <v>517</v>
      </c>
      <c r="B2700" t="s">
        <v>293</v>
      </c>
      <c r="C2700" t="s">
        <v>101</v>
      </c>
      <c r="D2700" t="s">
        <v>6</v>
      </c>
    </row>
    <row r="2701" spans="1:4" x14ac:dyDescent="0.35">
      <c r="A2701">
        <v>517</v>
      </c>
      <c r="B2701" t="s">
        <v>2065</v>
      </c>
      <c r="C2701" t="s">
        <v>78</v>
      </c>
      <c r="D2701" t="s">
        <v>13</v>
      </c>
    </row>
    <row r="2702" spans="1:4" x14ac:dyDescent="0.35">
      <c r="A2702">
        <v>517</v>
      </c>
      <c r="B2702" t="s">
        <v>413</v>
      </c>
      <c r="C2702" t="s">
        <v>189</v>
      </c>
      <c r="D2702" t="s">
        <v>6</v>
      </c>
    </row>
    <row r="2703" spans="1:4" x14ac:dyDescent="0.35">
      <c r="A2703">
        <v>517</v>
      </c>
      <c r="B2703" t="s">
        <v>452</v>
      </c>
      <c r="C2703" t="s">
        <v>93</v>
      </c>
      <c r="D2703" t="s">
        <v>13</v>
      </c>
    </row>
    <row r="2704" spans="1:4" x14ac:dyDescent="0.35">
      <c r="A2704">
        <v>517</v>
      </c>
      <c r="B2704" t="s">
        <v>545</v>
      </c>
      <c r="C2704" t="s">
        <v>231</v>
      </c>
      <c r="D2704" t="s">
        <v>6</v>
      </c>
    </row>
    <row r="2705" spans="1:4" x14ac:dyDescent="0.35">
      <c r="A2705">
        <v>517</v>
      </c>
      <c r="B2705" t="s">
        <v>357</v>
      </c>
      <c r="C2705" t="s">
        <v>231</v>
      </c>
      <c r="D2705" t="s">
        <v>6</v>
      </c>
    </row>
    <row r="2706" spans="1:4" x14ac:dyDescent="0.35">
      <c r="A2706">
        <v>517</v>
      </c>
      <c r="B2706" t="s">
        <v>1215</v>
      </c>
      <c r="C2706" t="s">
        <v>25</v>
      </c>
      <c r="D2706" t="s">
        <v>13</v>
      </c>
    </row>
    <row r="2707" spans="1:4" x14ac:dyDescent="0.35">
      <c r="A2707">
        <v>517</v>
      </c>
      <c r="B2707" t="s">
        <v>440</v>
      </c>
      <c r="C2707" t="s">
        <v>48</v>
      </c>
      <c r="D2707" t="s">
        <v>13</v>
      </c>
    </row>
    <row r="2708" spans="1:4" x14ac:dyDescent="0.35">
      <c r="A2708">
        <v>517</v>
      </c>
      <c r="B2708" t="s">
        <v>2066</v>
      </c>
      <c r="C2708" t="s">
        <v>231</v>
      </c>
      <c r="D2708" t="s">
        <v>6</v>
      </c>
    </row>
    <row r="2709" spans="1:4" x14ac:dyDescent="0.35">
      <c r="A2709">
        <v>517</v>
      </c>
      <c r="B2709" t="s">
        <v>294</v>
      </c>
      <c r="C2709" t="s">
        <v>101</v>
      </c>
      <c r="D2709" t="s">
        <v>6</v>
      </c>
    </row>
    <row r="2710" spans="1:4" x14ac:dyDescent="0.35">
      <c r="A2710">
        <v>517</v>
      </c>
      <c r="B2710" t="s">
        <v>358</v>
      </c>
      <c r="C2710" t="s">
        <v>231</v>
      </c>
      <c r="D2710" t="s">
        <v>6</v>
      </c>
    </row>
    <row r="2711" spans="1:4" x14ac:dyDescent="0.35">
      <c r="A2711">
        <v>517</v>
      </c>
      <c r="B2711" t="s">
        <v>415</v>
      </c>
      <c r="C2711" t="s">
        <v>45</v>
      </c>
      <c r="D2711" t="s">
        <v>6</v>
      </c>
    </row>
    <row r="2712" spans="1:4" x14ac:dyDescent="0.35">
      <c r="A2712">
        <v>517</v>
      </c>
      <c r="B2712" t="s">
        <v>2067</v>
      </c>
      <c r="C2712" t="s">
        <v>35</v>
      </c>
      <c r="D2712" t="s">
        <v>13</v>
      </c>
    </row>
    <row r="2713" spans="1:4" x14ac:dyDescent="0.35">
      <c r="A2713">
        <v>517</v>
      </c>
      <c r="B2713" t="s">
        <v>359</v>
      </c>
      <c r="C2713" t="s">
        <v>231</v>
      </c>
      <c r="D2713" t="s">
        <v>6</v>
      </c>
    </row>
    <row r="2714" spans="1:4" x14ac:dyDescent="0.35">
      <c r="A2714">
        <v>517</v>
      </c>
      <c r="B2714" t="s">
        <v>417</v>
      </c>
      <c r="C2714" t="s">
        <v>5</v>
      </c>
      <c r="D2714" t="s">
        <v>6</v>
      </c>
    </row>
    <row r="2715" spans="1:4" x14ac:dyDescent="0.35">
      <c r="A2715">
        <v>517</v>
      </c>
      <c r="B2715" t="s">
        <v>276</v>
      </c>
      <c r="C2715" t="s">
        <v>16</v>
      </c>
      <c r="D2715" t="s">
        <v>13</v>
      </c>
    </row>
    <row r="2716" spans="1:4" x14ac:dyDescent="0.35">
      <c r="A2716">
        <v>517</v>
      </c>
      <c r="B2716" t="s">
        <v>2068</v>
      </c>
      <c r="C2716" t="s">
        <v>35</v>
      </c>
      <c r="D2716" t="s">
        <v>13</v>
      </c>
    </row>
    <row r="2717" spans="1:4" x14ac:dyDescent="0.35">
      <c r="A2717">
        <v>517</v>
      </c>
      <c r="B2717" t="s">
        <v>2068</v>
      </c>
      <c r="C2717" t="s">
        <v>341</v>
      </c>
      <c r="D2717" t="s">
        <v>13</v>
      </c>
    </row>
    <row r="2718" spans="1:4" x14ac:dyDescent="0.35">
      <c r="A2718">
        <v>517</v>
      </c>
      <c r="B2718" t="s">
        <v>312</v>
      </c>
      <c r="C2718" t="s">
        <v>5</v>
      </c>
      <c r="D2718" t="s">
        <v>6</v>
      </c>
    </row>
    <row r="2719" spans="1:4" x14ac:dyDescent="0.35">
      <c r="A2719">
        <v>517</v>
      </c>
      <c r="B2719" t="s">
        <v>840</v>
      </c>
      <c r="C2719" t="s">
        <v>189</v>
      </c>
      <c r="D2719" t="s">
        <v>6</v>
      </c>
    </row>
    <row r="2720" spans="1:4" x14ac:dyDescent="0.35">
      <c r="A2720">
        <v>517</v>
      </c>
      <c r="B2720" t="s">
        <v>406</v>
      </c>
      <c r="C2720" t="s">
        <v>189</v>
      </c>
      <c r="D2720" t="s">
        <v>6</v>
      </c>
    </row>
    <row r="2721" spans="1:4" x14ac:dyDescent="0.35">
      <c r="A2721">
        <v>517</v>
      </c>
      <c r="B2721" t="s">
        <v>406</v>
      </c>
      <c r="C2721" t="s">
        <v>231</v>
      </c>
      <c r="D2721" t="s">
        <v>6</v>
      </c>
    </row>
    <row r="2722" spans="1:4" x14ac:dyDescent="0.35">
      <c r="A2722">
        <v>517</v>
      </c>
      <c r="B2722" t="s">
        <v>360</v>
      </c>
      <c r="C2722" t="s">
        <v>231</v>
      </c>
      <c r="D2722" t="s">
        <v>6</v>
      </c>
    </row>
    <row r="2723" spans="1:4" x14ac:dyDescent="0.35">
      <c r="A2723">
        <v>517</v>
      </c>
      <c r="B2723" t="s">
        <v>360</v>
      </c>
      <c r="C2723" t="s">
        <v>5</v>
      </c>
      <c r="D2723" t="s">
        <v>6</v>
      </c>
    </row>
    <row r="2724" spans="1:4" x14ac:dyDescent="0.35">
      <c r="A2724">
        <v>517</v>
      </c>
      <c r="B2724" t="s">
        <v>2069</v>
      </c>
      <c r="C2724" t="s">
        <v>45</v>
      </c>
      <c r="D2724" t="s">
        <v>6</v>
      </c>
    </row>
    <row r="2725" spans="1:4" x14ac:dyDescent="0.35">
      <c r="A2725">
        <v>517</v>
      </c>
      <c r="B2725" t="s">
        <v>697</v>
      </c>
      <c r="C2725" t="s">
        <v>22</v>
      </c>
      <c r="D2725" t="s">
        <v>13</v>
      </c>
    </row>
    <row r="2726" spans="1:4" x14ac:dyDescent="0.35">
      <c r="A2726">
        <v>517</v>
      </c>
      <c r="B2726" t="s">
        <v>697</v>
      </c>
      <c r="C2726" t="s">
        <v>72</v>
      </c>
      <c r="D2726" t="s">
        <v>13</v>
      </c>
    </row>
    <row r="2727" spans="1:4" x14ac:dyDescent="0.35">
      <c r="A2727">
        <v>518</v>
      </c>
      <c r="B2727" t="s">
        <v>2070</v>
      </c>
      <c r="C2727" t="s">
        <v>48</v>
      </c>
      <c r="D2727" t="s">
        <v>13</v>
      </c>
    </row>
    <row r="2728" spans="1:4" x14ac:dyDescent="0.35">
      <c r="A2728">
        <v>518</v>
      </c>
      <c r="B2728" t="s">
        <v>712</v>
      </c>
      <c r="C2728" t="s">
        <v>19</v>
      </c>
      <c r="D2728" t="s">
        <v>13</v>
      </c>
    </row>
    <row r="2729" spans="1:4" x14ac:dyDescent="0.35">
      <c r="A2729">
        <v>518</v>
      </c>
      <c r="B2729" t="s">
        <v>2071</v>
      </c>
      <c r="C2729" t="s">
        <v>48</v>
      </c>
      <c r="D2729" t="s">
        <v>13</v>
      </c>
    </row>
    <row r="2730" spans="1:4" x14ac:dyDescent="0.35">
      <c r="A2730">
        <v>518</v>
      </c>
      <c r="B2730" t="s">
        <v>2072</v>
      </c>
      <c r="C2730" t="s">
        <v>48</v>
      </c>
      <c r="D2730" t="s">
        <v>13</v>
      </c>
    </row>
    <row r="2731" spans="1:4" x14ac:dyDescent="0.35">
      <c r="A2731">
        <v>518</v>
      </c>
      <c r="B2731" t="s">
        <v>2073</v>
      </c>
      <c r="C2731" t="s">
        <v>48</v>
      </c>
      <c r="D2731" t="s">
        <v>13</v>
      </c>
    </row>
    <row r="2732" spans="1:4" x14ac:dyDescent="0.35">
      <c r="A2732">
        <v>518</v>
      </c>
      <c r="B2732" t="s">
        <v>2074</v>
      </c>
      <c r="C2732" t="s">
        <v>48</v>
      </c>
      <c r="D2732" t="s">
        <v>13</v>
      </c>
    </row>
    <row r="2733" spans="1:4" x14ac:dyDescent="0.35">
      <c r="A2733">
        <v>519</v>
      </c>
      <c r="B2733" t="s">
        <v>2075</v>
      </c>
      <c r="C2733" t="s">
        <v>72</v>
      </c>
      <c r="D2733" t="s">
        <v>13</v>
      </c>
    </row>
    <row r="2734" spans="1:4" x14ac:dyDescent="0.35">
      <c r="A2734">
        <v>519</v>
      </c>
      <c r="B2734" t="s">
        <v>2076</v>
      </c>
      <c r="C2734" t="s">
        <v>72</v>
      </c>
      <c r="D2734" t="s">
        <v>13</v>
      </c>
    </row>
    <row r="2735" spans="1:4" x14ac:dyDescent="0.35">
      <c r="A2735">
        <v>520</v>
      </c>
      <c r="B2735" t="s">
        <v>2077</v>
      </c>
      <c r="C2735" t="s">
        <v>45</v>
      </c>
      <c r="D2735" t="s">
        <v>6</v>
      </c>
    </row>
    <row r="2736" spans="1:4" x14ac:dyDescent="0.35">
      <c r="A2736">
        <v>520</v>
      </c>
      <c r="B2736" t="s">
        <v>2078</v>
      </c>
      <c r="C2736" t="s">
        <v>45</v>
      </c>
      <c r="D2736" t="s">
        <v>6</v>
      </c>
    </row>
    <row r="2737" spans="1:4" x14ac:dyDescent="0.35">
      <c r="A2737">
        <v>520</v>
      </c>
      <c r="B2737" t="s">
        <v>2079</v>
      </c>
      <c r="C2737" t="s">
        <v>45</v>
      </c>
      <c r="D2737" t="s">
        <v>6</v>
      </c>
    </row>
    <row r="2738" spans="1:4" x14ac:dyDescent="0.35">
      <c r="A2738">
        <v>521</v>
      </c>
      <c r="B2738" t="s">
        <v>1225</v>
      </c>
      <c r="C2738" t="s">
        <v>72</v>
      </c>
      <c r="D2738" t="s">
        <v>13</v>
      </c>
    </row>
    <row r="2739" spans="1:4" x14ac:dyDescent="0.35">
      <c r="A2739">
        <v>521</v>
      </c>
      <c r="B2739" t="s">
        <v>2080</v>
      </c>
      <c r="C2739" t="s">
        <v>72</v>
      </c>
      <c r="D2739" t="s">
        <v>13</v>
      </c>
    </row>
    <row r="2740" spans="1:4" x14ac:dyDescent="0.35">
      <c r="A2740">
        <v>521</v>
      </c>
      <c r="B2740" t="s">
        <v>2081</v>
      </c>
      <c r="C2740" t="s">
        <v>72</v>
      </c>
      <c r="D2740" t="s">
        <v>13</v>
      </c>
    </row>
    <row r="2741" spans="1:4" x14ac:dyDescent="0.35">
      <c r="A2741">
        <v>521</v>
      </c>
      <c r="B2741" t="s">
        <v>2082</v>
      </c>
      <c r="C2741" t="s">
        <v>72</v>
      </c>
      <c r="D2741" t="s">
        <v>13</v>
      </c>
    </row>
    <row r="2742" spans="1:4" x14ac:dyDescent="0.35">
      <c r="A2742">
        <v>522</v>
      </c>
      <c r="B2742" t="s">
        <v>618</v>
      </c>
      <c r="C2742" t="s">
        <v>72</v>
      </c>
      <c r="D2742" t="s">
        <v>13</v>
      </c>
    </row>
    <row r="2743" spans="1:4" x14ac:dyDescent="0.35">
      <c r="A2743">
        <v>522</v>
      </c>
      <c r="B2743" t="s">
        <v>619</v>
      </c>
      <c r="C2743" t="s">
        <v>72</v>
      </c>
      <c r="D2743" t="s">
        <v>13</v>
      </c>
    </row>
    <row r="2744" spans="1:4" x14ac:dyDescent="0.35">
      <c r="A2744">
        <v>523</v>
      </c>
      <c r="B2744" t="s">
        <v>2083</v>
      </c>
      <c r="C2744" t="s">
        <v>72</v>
      </c>
      <c r="D2744" t="s">
        <v>13</v>
      </c>
    </row>
    <row r="2745" spans="1:4" x14ac:dyDescent="0.35">
      <c r="A2745">
        <v>523</v>
      </c>
      <c r="B2745" t="s">
        <v>2084</v>
      </c>
      <c r="C2745" t="s">
        <v>72</v>
      </c>
      <c r="D2745" t="s">
        <v>13</v>
      </c>
    </row>
    <row r="2746" spans="1:4" x14ac:dyDescent="0.35">
      <c r="A2746">
        <v>523</v>
      </c>
      <c r="B2746" t="s">
        <v>2085</v>
      </c>
      <c r="C2746" t="s">
        <v>72</v>
      </c>
      <c r="D2746" t="s">
        <v>13</v>
      </c>
    </row>
    <row r="2747" spans="1:4" x14ac:dyDescent="0.35">
      <c r="A2747">
        <v>523</v>
      </c>
      <c r="B2747" t="s">
        <v>2086</v>
      </c>
      <c r="C2747" t="s">
        <v>19</v>
      </c>
      <c r="D2747" t="s">
        <v>13</v>
      </c>
    </row>
    <row r="2748" spans="1:4" x14ac:dyDescent="0.35">
      <c r="A2748">
        <v>523</v>
      </c>
      <c r="B2748" t="s">
        <v>2086</v>
      </c>
      <c r="C2748" t="s">
        <v>72</v>
      </c>
      <c r="D2748" t="s">
        <v>13</v>
      </c>
    </row>
    <row r="2749" spans="1:4" x14ac:dyDescent="0.35">
      <c r="A2749">
        <v>524</v>
      </c>
      <c r="B2749" t="s">
        <v>2087</v>
      </c>
      <c r="C2749" t="s">
        <v>72</v>
      </c>
      <c r="D2749" t="s">
        <v>13</v>
      </c>
    </row>
    <row r="2750" spans="1:4" x14ac:dyDescent="0.35">
      <c r="A2750">
        <v>524</v>
      </c>
      <c r="B2750" t="s">
        <v>2088</v>
      </c>
      <c r="C2750" t="s">
        <v>93</v>
      </c>
      <c r="D2750" t="s">
        <v>13</v>
      </c>
    </row>
    <row r="2751" spans="1:4" x14ac:dyDescent="0.35">
      <c r="A2751">
        <v>524</v>
      </c>
      <c r="B2751" t="s">
        <v>2089</v>
      </c>
      <c r="C2751" t="s">
        <v>72</v>
      </c>
      <c r="D2751" t="s">
        <v>13</v>
      </c>
    </row>
    <row r="2752" spans="1:4" x14ac:dyDescent="0.35">
      <c r="A2752">
        <v>524</v>
      </c>
      <c r="B2752" t="s">
        <v>2090</v>
      </c>
      <c r="C2752" t="s">
        <v>72</v>
      </c>
      <c r="D2752" t="s">
        <v>13</v>
      </c>
    </row>
    <row r="2753" spans="1:4" x14ac:dyDescent="0.35">
      <c r="A2753">
        <v>524</v>
      </c>
      <c r="B2753" t="s">
        <v>2091</v>
      </c>
      <c r="C2753" t="s">
        <v>72</v>
      </c>
      <c r="D2753" t="s">
        <v>13</v>
      </c>
    </row>
    <row r="2754" spans="1:4" x14ac:dyDescent="0.35">
      <c r="A2754">
        <v>525</v>
      </c>
      <c r="B2754" t="s">
        <v>2092</v>
      </c>
      <c r="C2754" t="s">
        <v>1186</v>
      </c>
      <c r="D2754" t="s">
        <v>13</v>
      </c>
    </row>
    <row r="2755" spans="1:4" x14ac:dyDescent="0.35">
      <c r="A2755">
        <v>525</v>
      </c>
      <c r="B2755" t="s">
        <v>2093</v>
      </c>
      <c r="C2755" t="s">
        <v>2094</v>
      </c>
      <c r="D2755" t="s">
        <v>13</v>
      </c>
    </row>
    <row r="2756" spans="1:4" x14ac:dyDescent="0.35">
      <c r="A2756">
        <v>525</v>
      </c>
      <c r="B2756" t="s">
        <v>2095</v>
      </c>
      <c r="C2756" t="s">
        <v>93</v>
      </c>
      <c r="D2756" t="s">
        <v>13</v>
      </c>
    </row>
    <row r="2757" spans="1:4" x14ac:dyDescent="0.35">
      <c r="A2757">
        <v>525</v>
      </c>
      <c r="B2757" t="s">
        <v>2096</v>
      </c>
      <c r="C2757" t="s">
        <v>2094</v>
      </c>
      <c r="D2757" t="s">
        <v>13</v>
      </c>
    </row>
    <row r="2758" spans="1:4" x14ac:dyDescent="0.35">
      <c r="A2758">
        <v>526</v>
      </c>
      <c r="B2758" t="s">
        <v>412</v>
      </c>
      <c r="C2758" t="s">
        <v>189</v>
      </c>
      <c r="D2758" t="s">
        <v>6</v>
      </c>
    </row>
    <row r="2759" spans="1:4" x14ac:dyDescent="0.35">
      <c r="A2759">
        <v>526</v>
      </c>
      <c r="B2759" t="s">
        <v>293</v>
      </c>
      <c r="C2759" t="s">
        <v>101</v>
      </c>
      <c r="D2759" t="s">
        <v>6</v>
      </c>
    </row>
    <row r="2760" spans="1:4" x14ac:dyDescent="0.35">
      <c r="A2760">
        <v>526</v>
      </c>
      <c r="B2760" t="s">
        <v>413</v>
      </c>
      <c r="C2760" t="s">
        <v>189</v>
      </c>
      <c r="D2760" t="s">
        <v>6</v>
      </c>
    </row>
    <row r="2761" spans="1:4" x14ac:dyDescent="0.35">
      <c r="A2761">
        <v>526</v>
      </c>
      <c r="B2761" t="s">
        <v>357</v>
      </c>
      <c r="C2761" t="s">
        <v>231</v>
      </c>
      <c r="D2761" t="s">
        <v>6</v>
      </c>
    </row>
    <row r="2762" spans="1:4" x14ac:dyDescent="0.35">
      <c r="A2762">
        <v>526</v>
      </c>
      <c r="B2762" t="s">
        <v>294</v>
      </c>
      <c r="C2762" t="s">
        <v>101</v>
      </c>
      <c r="D2762" t="s">
        <v>6</v>
      </c>
    </row>
    <row r="2763" spans="1:4" x14ac:dyDescent="0.35">
      <c r="A2763">
        <v>526</v>
      </c>
      <c r="B2763" t="s">
        <v>415</v>
      </c>
      <c r="C2763" t="s">
        <v>45</v>
      </c>
      <c r="D2763" t="s">
        <v>6</v>
      </c>
    </row>
    <row r="2764" spans="1:4" x14ac:dyDescent="0.35">
      <c r="A2764">
        <v>526</v>
      </c>
      <c r="B2764" t="s">
        <v>416</v>
      </c>
      <c r="C2764" t="s">
        <v>45</v>
      </c>
      <c r="D2764" t="s">
        <v>6</v>
      </c>
    </row>
    <row r="2765" spans="1:4" x14ac:dyDescent="0.35">
      <c r="A2765">
        <v>526</v>
      </c>
      <c r="B2765" t="s">
        <v>417</v>
      </c>
      <c r="C2765" t="s">
        <v>5</v>
      </c>
      <c r="D2765" t="s">
        <v>6</v>
      </c>
    </row>
    <row r="2766" spans="1:4" x14ac:dyDescent="0.35">
      <c r="A2766">
        <v>526</v>
      </c>
      <c r="B2766" t="s">
        <v>312</v>
      </c>
      <c r="C2766" t="s">
        <v>5</v>
      </c>
      <c r="D2766" t="s">
        <v>6</v>
      </c>
    </row>
    <row r="2767" spans="1:4" x14ac:dyDescent="0.35">
      <c r="A2767">
        <v>526</v>
      </c>
      <c r="B2767" t="s">
        <v>360</v>
      </c>
      <c r="C2767" t="s">
        <v>231</v>
      </c>
      <c r="D2767" t="s">
        <v>6</v>
      </c>
    </row>
    <row r="2768" spans="1:4" x14ac:dyDescent="0.35">
      <c r="A2768">
        <v>526</v>
      </c>
      <c r="B2768" t="s">
        <v>360</v>
      </c>
      <c r="C2768" t="s">
        <v>5</v>
      </c>
      <c r="D2768" t="s">
        <v>6</v>
      </c>
    </row>
    <row r="2769" spans="1:4" x14ac:dyDescent="0.35">
      <c r="A2769">
        <v>526</v>
      </c>
      <c r="B2769" t="s">
        <v>1150</v>
      </c>
      <c r="C2769" t="s">
        <v>101</v>
      </c>
      <c r="D2769" t="s">
        <v>6</v>
      </c>
    </row>
    <row r="2770" spans="1:4" x14ac:dyDescent="0.35">
      <c r="A2770">
        <v>527</v>
      </c>
      <c r="B2770" t="s">
        <v>960</v>
      </c>
      <c r="C2770" t="s">
        <v>72</v>
      </c>
      <c r="D2770" t="s">
        <v>13</v>
      </c>
    </row>
    <row r="2771" spans="1:4" x14ac:dyDescent="0.35">
      <c r="A2771">
        <v>527</v>
      </c>
      <c r="B2771" t="s">
        <v>75</v>
      </c>
      <c r="C2771" t="s">
        <v>72</v>
      </c>
      <c r="D2771" t="s">
        <v>13</v>
      </c>
    </row>
    <row r="2772" spans="1:4" x14ac:dyDescent="0.35">
      <c r="A2772">
        <v>527</v>
      </c>
      <c r="B2772" t="s">
        <v>1925</v>
      </c>
      <c r="C2772" t="s">
        <v>72</v>
      </c>
      <c r="D2772" t="s">
        <v>13</v>
      </c>
    </row>
    <row r="2773" spans="1:4" x14ac:dyDescent="0.35">
      <c r="A2773">
        <v>527</v>
      </c>
      <c r="B2773" t="s">
        <v>1925</v>
      </c>
      <c r="C2773" t="s">
        <v>19</v>
      </c>
      <c r="D2773" t="s">
        <v>13</v>
      </c>
    </row>
    <row r="2774" spans="1:4" x14ac:dyDescent="0.35">
      <c r="A2774">
        <v>527</v>
      </c>
      <c r="B2774" t="s">
        <v>1926</v>
      </c>
      <c r="C2774" t="s">
        <v>72</v>
      </c>
      <c r="D2774" t="s">
        <v>13</v>
      </c>
    </row>
    <row r="2775" spans="1:4" x14ac:dyDescent="0.35">
      <c r="A2775">
        <v>527</v>
      </c>
      <c r="B2775" t="s">
        <v>1927</v>
      </c>
      <c r="C2775" t="s">
        <v>72</v>
      </c>
      <c r="D2775" t="s">
        <v>13</v>
      </c>
    </row>
    <row r="2776" spans="1:4" x14ac:dyDescent="0.35">
      <c r="A2776">
        <v>528</v>
      </c>
      <c r="B2776" t="s">
        <v>2097</v>
      </c>
      <c r="C2776" t="s">
        <v>517</v>
      </c>
      <c r="D2776" t="s">
        <v>13</v>
      </c>
    </row>
    <row r="2777" spans="1:4" x14ac:dyDescent="0.35">
      <c r="A2777">
        <v>528</v>
      </c>
      <c r="B2777" t="s">
        <v>415</v>
      </c>
      <c r="C2777" t="s">
        <v>45</v>
      </c>
      <c r="D2777" t="s">
        <v>6</v>
      </c>
    </row>
    <row r="2778" spans="1:4" x14ac:dyDescent="0.35">
      <c r="A2778">
        <v>529</v>
      </c>
      <c r="B2778" t="s">
        <v>2098</v>
      </c>
      <c r="C2778" t="s">
        <v>72</v>
      </c>
      <c r="D2778" t="s">
        <v>13</v>
      </c>
    </row>
    <row r="2779" spans="1:4" x14ac:dyDescent="0.35">
      <c r="A2779">
        <v>529</v>
      </c>
      <c r="B2779" t="s">
        <v>2099</v>
      </c>
      <c r="C2779" t="s">
        <v>72</v>
      </c>
      <c r="D2779" t="s">
        <v>13</v>
      </c>
    </row>
    <row r="2780" spans="1:4" x14ac:dyDescent="0.35">
      <c r="A2780">
        <v>529</v>
      </c>
      <c r="B2780" t="s">
        <v>2100</v>
      </c>
      <c r="C2780" t="s">
        <v>72</v>
      </c>
      <c r="D2780" t="s">
        <v>13</v>
      </c>
    </row>
    <row r="2781" spans="1:4" x14ac:dyDescent="0.35">
      <c r="A2781">
        <v>529</v>
      </c>
      <c r="B2781" t="s">
        <v>2101</v>
      </c>
      <c r="C2781" t="s">
        <v>72</v>
      </c>
      <c r="D2781" t="s">
        <v>13</v>
      </c>
    </row>
    <row r="2782" spans="1:4" x14ac:dyDescent="0.35">
      <c r="A2782">
        <v>530</v>
      </c>
      <c r="B2782" t="s">
        <v>2102</v>
      </c>
      <c r="C2782" t="s">
        <v>19</v>
      </c>
      <c r="D2782" t="s">
        <v>13</v>
      </c>
    </row>
    <row r="2783" spans="1:4" x14ac:dyDescent="0.35">
      <c r="A2783">
        <v>530</v>
      </c>
      <c r="B2783" t="s">
        <v>2103</v>
      </c>
      <c r="C2783" t="s">
        <v>19</v>
      </c>
      <c r="D2783" t="s">
        <v>13</v>
      </c>
    </row>
    <row r="2784" spans="1:4" x14ac:dyDescent="0.35">
      <c r="A2784">
        <v>530</v>
      </c>
      <c r="B2784" t="s">
        <v>2104</v>
      </c>
      <c r="C2784" t="s">
        <v>19</v>
      </c>
      <c r="D2784" t="s">
        <v>13</v>
      </c>
    </row>
    <row r="2785" spans="1:4" x14ac:dyDescent="0.35">
      <c r="A2785">
        <v>531</v>
      </c>
      <c r="B2785" t="s">
        <v>1702</v>
      </c>
      <c r="C2785" t="s">
        <v>19</v>
      </c>
      <c r="D2785" t="s">
        <v>13</v>
      </c>
    </row>
    <row r="2786" spans="1:4" x14ac:dyDescent="0.35">
      <c r="A2786">
        <v>531</v>
      </c>
      <c r="B2786" t="s">
        <v>1702</v>
      </c>
      <c r="C2786" t="s">
        <v>72</v>
      </c>
      <c r="D2786" t="s">
        <v>13</v>
      </c>
    </row>
    <row r="2787" spans="1:4" x14ac:dyDescent="0.35">
      <c r="A2787">
        <v>531</v>
      </c>
      <c r="B2787" t="s">
        <v>672</v>
      </c>
      <c r="C2787" t="s">
        <v>72</v>
      </c>
      <c r="D2787" t="s">
        <v>13</v>
      </c>
    </row>
    <row r="2788" spans="1:4" x14ac:dyDescent="0.35">
      <c r="A2788">
        <v>531</v>
      </c>
      <c r="B2788" t="s">
        <v>2105</v>
      </c>
      <c r="C2788" t="s">
        <v>72</v>
      </c>
      <c r="D2788" t="s">
        <v>13</v>
      </c>
    </row>
    <row r="2789" spans="1:4" x14ac:dyDescent="0.35">
      <c r="A2789">
        <v>531</v>
      </c>
      <c r="B2789" t="s">
        <v>2086</v>
      </c>
      <c r="C2789" t="s">
        <v>72</v>
      </c>
      <c r="D2789" t="s">
        <v>13</v>
      </c>
    </row>
    <row r="2790" spans="1:4" x14ac:dyDescent="0.35">
      <c r="A2790">
        <v>532</v>
      </c>
      <c r="B2790" t="s">
        <v>2106</v>
      </c>
      <c r="C2790" t="s">
        <v>101</v>
      </c>
      <c r="D2790" t="s">
        <v>6</v>
      </c>
    </row>
    <row r="2791" spans="1:4" x14ac:dyDescent="0.35">
      <c r="A2791">
        <v>532</v>
      </c>
      <c r="B2791" t="s">
        <v>2107</v>
      </c>
      <c r="C2791" t="s">
        <v>101</v>
      </c>
      <c r="D2791" t="s">
        <v>6</v>
      </c>
    </row>
    <row r="2792" spans="1:4" x14ac:dyDescent="0.35">
      <c r="A2792">
        <v>532</v>
      </c>
      <c r="B2792" t="s">
        <v>2108</v>
      </c>
      <c r="C2792" t="s">
        <v>101</v>
      </c>
      <c r="D2792" t="s">
        <v>6</v>
      </c>
    </row>
    <row r="2793" spans="1:4" x14ac:dyDescent="0.35">
      <c r="A2793">
        <v>532</v>
      </c>
      <c r="B2793" t="s">
        <v>2109</v>
      </c>
      <c r="C2793" t="s">
        <v>101</v>
      </c>
      <c r="D2793" t="s">
        <v>6</v>
      </c>
    </row>
    <row r="2794" spans="1:4" x14ac:dyDescent="0.35">
      <c r="A2794">
        <v>533</v>
      </c>
      <c r="B2794" t="s">
        <v>1279</v>
      </c>
      <c r="C2794" t="s">
        <v>19</v>
      </c>
      <c r="D2794" t="s">
        <v>13</v>
      </c>
    </row>
    <row r="2795" spans="1:4" x14ac:dyDescent="0.35">
      <c r="A2795">
        <v>533</v>
      </c>
      <c r="B2795" t="s">
        <v>2110</v>
      </c>
      <c r="C2795" t="s">
        <v>19</v>
      </c>
      <c r="D2795" t="s">
        <v>13</v>
      </c>
    </row>
    <row r="2796" spans="1:4" x14ac:dyDescent="0.35">
      <c r="A2796">
        <v>533</v>
      </c>
      <c r="B2796" t="s">
        <v>1282</v>
      </c>
      <c r="C2796" t="s">
        <v>19</v>
      </c>
      <c r="D2796" t="s">
        <v>13</v>
      </c>
    </row>
    <row r="2797" spans="1:4" x14ac:dyDescent="0.35">
      <c r="A2797">
        <v>533</v>
      </c>
      <c r="B2797" t="s">
        <v>2111</v>
      </c>
      <c r="C2797" t="s">
        <v>19</v>
      </c>
      <c r="D2797" t="s">
        <v>13</v>
      </c>
    </row>
    <row r="2798" spans="1:4" x14ac:dyDescent="0.35">
      <c r="A2798">
        <v>533</v>
      </c>
      <c r="B2798" t="s">
        <v>1287</v>
      </c>
      <c r="C2798" t="s">
        <v>19</v>
      </c>
      <c r="D2798" t="s">
        <v>13</v>
      </c>
    </row>
    <row r="2799" spans="1:4" x14ac:dyDescent="0.35">
      <c r="A2799">
        <v>534</v>
      </c>
      <c r="B2799" t="s">
        <v>2112</v>
      </c>
      <c r="C2799" t="s">
        <v>72</v>
      </c>
      <c r="D2799" t="s">
        <v>13</v>
      </c>
    </row>
    <row r="2800" spans="1:4" x14ac:dyDescent="0.35">
      <c r="A2800">
        <v>534</v>
      </c>
      <c r="B2800" t="s">
        <v>2113</v>
      </c>
      <c r="C2800" t="s">
        <v>72</v>
      </c>
      <c r="D2800" t="s">
        <v>13</v>
      </c>
    </row>
    <row r="2801" spans="1:4" x14ac:dyDescent="0.35">
      <c r="A2801">
        <v>534</v>
      </c>
      <c r="B2801" t="s">
        <v>2114</v>
      </c>
      <c r="C2801" t="s">
        <v>72</v>
      </c>
      <c r="D2801" t="s">
        <v>13</v>
      </c>
    </row>
    <row r="2802" spans="1:4" x14ac:dyDescent="0.35">
      <c r="A2802">
        <v>535</v>
      </c>
      <c r="B2802" t="s">
        <v>2115</v>
      </c>
      <c r="C2802" t="s">
        <v>19</v>
      </c>
      <c r="D2802" t="s">
        <v>13</v>
      </c>
    </row>
    <row r="2803" spans="1:4" x14ac:dyDescent="0.35">
      <c r="A2803">
        <v>535</v>
      </c>
      <c r="B2803" t="s">
        <v>1704</v>
      </c>
      <c r="C2803" t="s">
        <v>19</v>
      </c>
      <c r="D2803" t="s">
        <v>13</v>
      </c>
    </row>
    <row r="2804" spans="1:4" x14ac:dyDescent="0.35">
      <c r="A2804">
        <v>535</v>
      </c>
      <c r="B2804" t="s">
        <v>2116</v>
      </c>
      <c r="C2804" t="s">
        <v>19</v>
      </c>
      <c r="D2804" t="s">
        <v>13</v>
      </c>
    </row>
    <row r="2805" spans="1:4" x14ac:dyDescent="0.35">
      <c r="A2805">
        <v>536</v>
      </c>
      <c r="B2805" t="s">
        <v>2117</v>
      </c>
      <c r="C2805" t="s">
        <v>35</v>
      </c>
      <c r="D2805" t="s">
        <v>13</v>
      </c>
    </row>
    <row r="2806" spans="1:4" x14ac:dyDescent="0.35">
      <c r="A2806">
        <v>537</v>
      </c>
      <c r="B2806" t="s">
        <v>2118</v>
      </c>
      <c r="C2806" t="s">
        <v>25</v>
      </c>
      <c r="D2806" t="s">
        <v>13</v>
      </c>
    </row>
    <row r="2807" spans="1:4" x14ac:dyDescent="0.35">
      <c r="A2807">
        <v>537</v>
      </c>
      <c r="B2807" t="s">
        <v>2119</v>
      </c>
      <c r="C2807" t="s">
        <v>25</v>
      </c>
      <c r="D2807" t="s">
        <v>13</v>
      </c>
    </row>
    <row r="2808" spans="1:4" x14ac:dyDescent="0.35">
      <c r="A2808">
        <v>537</v>
      </c>
      <c r="B2808" t="s">
        <v>2120</v>
      </c>
      <c r="C2808" t="s">
        <v>25</v>
      </c>
      <c r="D2808" t="s">
        <v>13</v>
      </c>
    </row>
    <row r="2809" spans="1:4" x14ac:dyDescent="0.35">
      <c r="A2809">
        <v>537</v>
      </c>
      <c r="B2809" t="s">
        <v>2121</v>
      </c>
      <c r="C2809" t="s">
        <v>25</v>
      </c>
      <c r="D2809" t="s">
        <v>13</v>
      </c>
    </row>
    <row r="2810" spans="1:4" x14ac:dyDescent="0.35">
      <c r="A2810">
        <v>537</v>
      </c>
      <c r="B2810" t="s">
        <v>2122</v>
      </c>
      <c r="C2810" t="s">
        <v>25</v>
      </c>
      <c r="D2810" t="s">
        <v>13</v>
      </c>
    </row>
    <row r="2811" spans="1:4" x14ac:dyDescent="0.35">
      <c r="A2811">
        <v>537</v>
      </c>
      <c r="B2811" t="s">
        <v>2123</v>
      </c>
      <c r="C2811" t="s">
        <v>25</v>
      </c>
      <c r="D2811" t="s">
        <v>13</v>
      </c>
    </row>
    <row r="2812" spans="1:4" x14ac:dyDescent="0.35">
      <c r="A2812">
        <v>538</v>
      </c>
      <c r="B2812" t="s">
        <v>2124</v>
      </c>
      <c r="C2812" t="s">
        <v>25</v>
      </c>
      <c r="D2812" t="s">
        <v>13</v>
      </c>
    </row>
    <row r="2813" spans="1:4" x14ac:dyDescent="0.35">
      <c r="A2813">
        <v>538</v>
      </c>
      <c r="B2813" t="s">
        <v>2125</v>
      </c>
      <c r="C2813" t="s">
        <v>25</v>
      </c>
      <c r="D2813" t="s">
        <v>13</v>
      </c>
    </row>
    <row r="2814" spans="1:4" x14ac:dyDescent="0.35">
      <c r="A2814">
        <v>538</v>
      </c>
      <c r="B2814" t="s">
        <v>2126</v>
      </c>
      <c r="C2814" t="s">
        <v>25</v>
      </c>
      <c r="D2814" t="s">
        <v>13</v>
      </c>
    </row>
    <row r="2815" spans="1:4" x14ac:dyDescent="0.35">
      <c r="A2815">
        <v>538</v>
      </c>
      <c r="B2815" t="s">
        <v>2127</v>
      </c>
      <c r="C2815" t="s">
        <v>25</v>
      </c>
      <c r="D2815" t="s">
        <v>13</v>
      </c>
    </row>
    <row r="2816" spans="1:4" x14ac:dyDescent="0.35">
      <c r="A2816">
        <v>539</v>
      </c>
      <c r="B2816" t="s">
        <v>917</v>
      </c>
      <c r="C2816" t="s">
        <v>189</v>
      </c>
      <c r="D2816" t="s">
        <v>6</v>
      </c>
    </row>
    <row r="2817" spans="1:4" x14ac:dyDescent="0.35">
      <c r="A2817">
        <v>539</v>
      </c>
      <c r="B2817" t="s">
        <v>919</v>
      </c>
      <c r="C2817" t="s">
        <v>189</v>
      </c>
      <c r="D2817" t="s">
        <v>6</v>
      </c>
    </row>
    <row r="2818" spans="1:4" x14ac:dyDescent="0.35">
      <c r="A2818">
        <v>539</v>
      </c>
      <c r="B2818" t="s">
        <v>920</v>
      </c>
      <c r="C2818" t="s">
        <v>189</v>
      </c>
      <c r="D2818" t="s">
        <v>6</v>
      </c>
    </row>
    <row r="2819" spans="1:4" x14ac:dyDescent="0.35">
      <c r="A2819">
        <v>539</v>
      </c>
      <c r="B2819" t="s">
        <v>921</v>
      </c>
      <c r="C2819" t="s">
        <v>189</v>
      </c>
      <c r="D2819" t="s">
        <v>6</v>
      </c>
    </row>
    <row r="2820" spans="1:4" x14ac:dyDescent="0.35">
      <c r="A2820">
        <v>540</v>
      </c>
      <c r="B2820" t="s">
        <v>2128</v>
      </c>
      <c r="C2820" t="s">
        <v>189</v>
      </c>
      <c r="D2820" t="s">
        <v>6</v>
      </c>
    </row>
    <row r="2821" spans="1:4" x14ac:dyDescent="0.35">
      <c r="A2821">
        <v>540</v>
      </c>
      <c r="B2821" t="s">
        <v>190</v>
      </c>
      <c r="C2821" t="s">
        <v>189</v>
      </c>
      <c r="D2821" t="s">
        <v>6</v>
      </c>
    </row>
    <row r="2822" spans="1:4" x14ac:dyDescent="0.35">
      <c r="A2822">
        <v>540</v>
      </c>
      <c r="B2822" t="s">
        <v>2129</v>
      </c>
      <c r="C2822" t="s">
        <v>189</v>
      </c>
      <c r="D2822" t="s">
        <v>6</v>
      </c>
    </row>
    <row r="2823" spans="1:4" x14ac:dyDescent="0.35">
      <c r="A2823">
        <v>540</v>
      </c>
      <c r="B2823" t="s">
        <v>2130</v>
      </c>
      <c r="C2823" t="s">
        <v>189</v>
      </c>
      <c r="D2823" t="s">
        <v>6</v>
      </c>
    </row>
    <row r="2824" spans="1:4" x14ac:dyDescent="0.35">
      <c r="A2824">
        <v>540</v>
      </c>
      <c r="B2824" t="s">
        <v>2131</v>
      </c>
      <c r="C2824" t="s">
        <v>189</v>
      </c>
      <c r="D2824" t="s">
        <v>6</v>
      </c>
    </row>
    <row r="2825" spans="1:4" x14ac:dyDescent="0.35">
      <c r="A2825">
        <v>541</v>
      </c>
      <c r="B2825" t="s">
        <v>2132</v>
      </c>
      <c r="C2825" t="s">
        <v>164</v>
      </c>
      <c r="D2825" t="s">
        <v>13</v>
      </c>
    </row>
    <row r="2826" spans="1:4" x14ac:dyDescent="0.35">
      <c r="A2826">
        <v>541</v>
      </c>
      <c r="B2826" t="s">
        <v>1228</v>
      </c>
      <c r="C2826" t="s">
        <v>164</v>
      </c>
      <c r="D2826" t="s">
        <v>13</v>
      </c>
    </row>
    <row r="2827" spans="1:4" x14ac:dyDescent="0.35">
      <c r="A2827">
        <v>541</v>
      </c>
      <c r="B2827" t="s">
        <v>2133</v>
      </c>
      <c r="C2827" t="s">
        <v>164</v>
      </c>
      <c r="D2827" t="s">
        <v>13</v>
      </c>
    </row>
    <row r="2828" spans="1:4" x14ac:dyDescent="0.35">
      <c r="A2828">
        <v>541</v>
      </c>
      <c r="B2828" t="s">
        <v>2134</v>
      </c>
      <c r="C2828" t="s">
        <v>164</v>
      </c>
      <c r="D2828" t="s">
        <v>13</v>
      </c>
    </row>
    <row r="2829" spans="1:4" x14ac:dyDescent="0.35">
      <c r="A2829">
        <v>542</v>
      </c>
      <c r="B2829" t="s">
        <v>1752</v>
      </c>
      <c r="C2829" t="s">
        <v>517</v>
      </c>
      <c r="D2829" t="s">
        <v>13</v>
      </c>
    </row>
    <row r="2830" spans="1:4" x14ac:dyDescent="0.35">
      <c r="A2830">
        <v>542</v>
      </c>
      <c r="B2830" t="s">
        <v>2135</v>
      </c>
      <c r="C2830" t="s">
        <v>517</v>
      </c>
      <c r="D2830" t="s">
        <v>13</v>
      </c>
    </row>
    <row r="2831" spans="1:4" x14ac:dyDescent="0.35">
      <c r="A2831">
        <v>542</v>
      </c>
      <c r="B2831" t="s">
        <v>2136</v>
      </c>
      <c r="C2831" t="s">
        <v>517</v>
      </c>
      <c r="D2831" t="s">
        <v>13</v>
      </c>
    </row>
    <row r="2832" spans="1:4" x14ac:dyDescent="0.35">
      <c r="A2832">
        <v>543</v>
      </c>
      <c r="B2832" t="s">
        <v>943</v>
      </c>
      <c r="C2832" t="s">
        <v>16</v>
      </c>
      <c r="D2832" t="s">
        <v>13</v>
      </c>
    </row>
    <row r="2833" spans="1:4" x14ac:dyDescent="0.35">
      <c r="A2833">
        <v>543</v>
      </c>
      <c r="B2833" t="s">
        <v>2137</v>
      </c>
      <c r="C2833" t="s">
        <v>16</v>
      </c>
      <c r="D2833" t="s">
        <v>13</v>
      </c>
    </row>
    <row r="2834" spans="1:4" x14ac:dyDescent="0.35">
      <c r="A2834">
        <v>544</v>
      </c>
      <c r="B2834" t="s">
        <v>2138</v>
      </c>
      <c r="C2834" t="s">
        <v>16</v>
      </c>
      <c r="D2834" t="s">
        <v>13</v>
      </c>
    </row>
    <row r="2835" spans="1:4" x14ac:dyDescent="0.35">
      <c r="A2835">
        <v>544</v>
      </c>
      <c r="B2835" t="s">
        <v>2139</v>
      </c>
      <c r="C2835" t="s">
        <v>189</v>
      </c>
      <c r="D2835" t="s">
        <v>6</v>
      </c>
    </row>
    <row r="2836" spans="1:4" x14ac:dyDescent="0.35">
      <c r="A2836">
        <v>544</v>
      </c>
      <c r="B2836" t="s">
        <v>2140</v>
      </c>
      <c r="C2836" t="s">
        <v>16</v>
      </c>
      <c r="D2836" t="s">
        <v>13</v>
      </c>
    </row>
    <row r="2837" spans="1:4" x14ac:dyDescent="0.35">
      <c r="A2837">
        <v>544</v>
      </c>
      <c r="B2837" t="s">
        <v>2141</v>
      </c>
      <c r="C2837" t="s">
        <v>189</v>
      </c>
      <c r="D2837" t="s">
        <v>6</v>
      </c>
    </row>
    <row r="2838" spans="1:4" x14ac:dyDescent="0.35">
      <c r="A2838">
        <v>544</v>
      </c>
      <c r="B2838" t="s">
        <v>2142</v>
      </c>
      <c r="C2838" t="s">
        <v>16</v>
      </c>
      <c r="D2838" t="s">
        <v>13</v>
      </c>
    </row>
    <row r="2839" spans="1:4" x14ac:dyDescent="0.35">
      <c r="A2839">
        <v>544</v>
      </c>
      <c r="B2839" t="s">
        <v>2143</v>
      </c>
      <c r="C2839" t="s">
        <v>16</v>
      </c>
      <c r="D2839" t="s">
        <v>13</v>
      </c>
    </row>
    <row r="2840" spans="1:4" x14ac:dyDescent="0.35">
      <c r="A2840">
        <v>544</v>
      </c>
      <c r="B2840" t="s">
        <v>2144</v>
      </c>
      <c r="C2840" t="s">
        <v>16</v>
      </c>
      <c r="D2840" t="s">
        <v>13</v>
      </c>
    </row>
    <row r="2841" spans="1:4" x14ac:dyDescent="0.35">
      <c r="A2841">
        <v>544</v>
      </c>
      <c r="B2841" t="s">
        <v>2145</v>
      </c>
      <c r="C2841" t="s">
        <v>16</v>
      </c>
      <c r="D2841" t="s">
        <v>13</v>
      </c>
    </row>
    <row r="2842" spans="1:4" x14ac:dyDescent="0.35">
      <c r="A2842">
        <v>544</v>
      </c>
      <c r="B2842" t="s">
        <v>2146</v>
      </c>
      <c r="C2842" t="s">
        <v>16</v>
      </c>
      <c r="D2842" t="s">
        <v>13</v>
      </c>
    </row>
    <row r="2843" spans="1:4" x14ac:dyDescent="0.35">
      <c r="A2843">
        <v>544</v>
      </c>
      <c r="B2843" t="s">
        <v>2147</v>
      </c>
      <c r="C2843" t="s">
        <v>16</v>
      </c>
      <c r="D2843" t="s">
        <v>13</v>
      </c>
    </row>
    <row r="2844" spans="1:4" x14ac:dyDescent="0.35">
      <c r="A2844">
        <v>544</v>
      </c>
      <c r="B2844" t="s">
        <v>2148</v>
      </c>
      <c r="C2844" t="s">
        <v>189</v>
      </c>
      <c r="D2844" t="s">
        <v>6</v>
      </c>
    </row>
    <row r="2845" spans="1:4" x14ac:dyDescent="0.35">
      <c r="A2845">
        <v>544</v>
      </c>
      <c r="B2845" t="s">
        <v>2149</v>
      </c>
      <c r="C2845" t="s">
        <v>16</v>
      </c>
      <c r="D2845" t="s">
        <v>13</v>
      </c>
    </row>
    <row r="2846" spans="1:4" x14ac:dyDescent="0.35">
      <c r="A2846">
        <v>544</v>
      </c>
      <c r="B2846" t="s">
        <v>2150</v>
      </c>
      <c r="C2846" t="s">
        <v>16</v>
      </c>
      <c r="D2846" t="s">
        <v>13</v>
      </c>
    </row>
    <row r="2847" spans="1:4" x14ac:dyDescent="0.35">
      <c r="A2847">
        <v>544</v>
      </c>
      <c r="B2847" t="s">
        <v>2151</v>
      </c>
      <c r="C2847" t="s">
        <v>16</v>
      </c>
      <c r="D2847" t="s">
        <v>13</v>
      </c>
    </row>
    <row r="2848" spans="1:4" x14ac:dyDescent="0.35">
      <c r="A2848">
        <v>544</v>
      </c>
      <c r="B2848" t="s">
        <v>1633</v>
      </c>
      <c r="C2848" t="s">
        <v>16</v>
      </c>
      <c r="D2848" t="s">
        <v>13</v>
      </c>
    </row>
    <row r="2849" spans="1:4" x14ac:dyDescent="0.35">
      <c r="A2849">
        <v>544</v>
      </c>
      <c r="B2849" t="s">
        <v>2152</v>
      </c>
      <c r="C2849" t="s">
        <v>189</v>
      </c>
      <c r="D2849" t="s">
        <v>6</v>
      </c>
    </row>
    <row r="2850" spans="1:4" x14ac:dyDescent="0.35">
      <c r="A2850">
        <v>544</v>
      </c>
      <c r="B2850" t="s">
        <v>2153</v>
      </c>
      <c r="C2850" t="s">
        <v>16</v>
      </c>
      <c r="D2850" t="s">
        <v>13</v>
      </c>
    </row>
    <row r="2851" spans="1:4" x14ac:dyDescent="0.35">
      <c r="A2851">
        <v>544</v>
      </c>
      <c r="B2851" t="s">
        <v>2154</v>
      </c>
      <c r="C2851" t="s">
        <v>16</v>
      </c>
      <c r="D2851" t="s">
        <v>13</v>
      </c>
    </row>
    <row r="2852" spans="1:4" x14ac:dyDescent="0.35">
      <c r="A2852">
        <v>544</v>
      </c>
      <c r="B2852" t="s">
        <v>2155</v>
      </c>
      <c r="C2852" t="s">
        <v>189</v>
      </c>
      <c r="D2852" t="s">
        <v>6</v>
      </c>
    </row>
    <row r="2853" spans="1:4" x14ac:dyDescent="0.35">
      <c r="A2853">
        <v>544</v>
      </c>
      <c r="B2853" t="s">
        <v>2156</v>
      </c>
      <c r="C2853" t="s">
        <v>16</v>
      </c>
      <c r="D2853" t="s">
        <v>13</v>
      </c>
    </row>
    <row r="2854" spans="1:4" x14ac:dyDescent="0.35">
      <c r="A2854">
        <v>544</v>
      </c>
      <c r="B2854" t="s">
        <v>2157</v>
      </c>
      <c r="C2854" t="s">
        <v>16</v>
      </c>
      <c r="D2854" t="s">
        <v>13</v>
      </c>
    </row>
    <row r="2855" spans="1:4" x14ac:dyDescent="0.35">
      <c r="A2855">
        <v>544</v>
      </c>
      <c r="B2855" t="s">
        <v>2158</v>
      </c>
      <c r="C2855" t="s">
        <v>16</v>
      </c>
      <c r="D2855" t="s">
        <v>13</v>
      </c>
    </row>
    <row r="2856" spans="1:4" x14ac:dyDescent="0.35">
      <c r="A2856">
        <v>544</v>
      </c>
      <c r="B2856" t="s">
        <v>2159</v>
      </c>
      <c r="C2856" t="s">
        <v>16</v>
      </c>
      <c r="D2856" t="s">
        <v>13</v>
      </c>
    </row>
    <row r="2857" spans="1:4" x14ac:dyDescent="0.35">
      <c r="A2857">
        <v>545</v>
      </c>
      <c r="B2857" t="s">
        <v>2160</v>
      </c>
      <c r="C2857" t="s">
        <v>16</v>
      </c>
      <c r="D2857" t="s">
        <v>13</v>
      </c>
    </row>
    <row r="2858" spans="1:4" x14ac:dyDescent="0.35">
      <c r="A2858">
        <v>545</v>
      </c>
      <c r="B2858" t="s">
        <v>2161</v>
      </c>
      <c r="C2858" t="s">
        <v>16</v>
      </c>
      <c r="D2858" t="s">
        <v>13</v>
      </c>
    </row>
    <row r="2859" spans="1:4" x14ac:dyDescent="0.35">
      <c r="A2859">
        <v>546</v>
      </c>
      <c r="B2859" t="s">
        <v>2162</v>
      </c>
      <c r="C2859" t="s">
        <v>245</v>
      </c>
      <c r="D2859" t="s">
        <v>13</v>
      </c>
    </row>
    <row r="2860" spans="1:4" x14ac:dyDescent="0.35">
      <c r="A2860">
        <v>547</v>
      </c>
      <c r="B2860" t="s">
        <v>2163</v>
      </c>
      <c r="C2860" t="s">
        <v>667</v>
      </c>
      <c r="D2860" t="s">
        <v>13</v>
      </c>
    </row>
    <row r="2861" spans="1:4" x14ac:dyDescent="0.35">
      <c r="A2861">
        <v>547</v>
      </c>
      <c r="B2861" t="s">
        <v>2164</v>
      </c>
      <c r="C2861" t="s">
        <v>19</v>
      </c>
      <c r="D2861" t="s">
        <v>13</v>
      </c>
    </row>
    <row r="2862" spans="1:4" x14ac:dyDescent="0.35">
      <c r="A2862">
        <v>547</v>
      </c>
      <c r="B2862" t="s">
        <v>2165</v>
      </c>
      <c r="C2862" t="s">
        <v>56</v>
      </c>
      <c r="D2862" t="s">
        <v>13</v>
      </c>
    </row>
    <row r="2863" spans="1:4" x14ac:dyDescent="0.35">
      <c r="A2863">
        <v>548</v>
      </c>
      <c r="B2863" t="s">
        <v>2166</v>
      </c>
      <c r="C2863" t="s">
        <v>497</v>
      </c>
      <c r="D2863" t="s">
        <v>13</v>
      </c>
    </row>
    <row r="2864" spans="1:4" x14ac:dyDescent="0.35">
      <c r="A2864">
        <v>548</v>
      </c>
      <c r="B2864" t="s">
        <v>2166</v>
      </c>
      <c r="C2864" t="s">
        <v>245</v>
      </c>
      <c r="D2864" t="s">
        <v>13</v>
      </c>
    </row>
    <row r="2865" spans="1:4" x14ac:dyDescent="0.35">
      <c r="A2865">
        <v>548</v>
      </c>
      <c r="B2865" t="s">
        <v>2167</v>
      </c>
      <c r="C2865" t="s">
        <v>72</v>
      </c>
      <c r="D2865" t="s">
        <v>13</v>
      </c>
    </row>
    <row r="2866" spans="1:4" x14ac:dyDescent="0.35">
      <c r="A2866">
        <v>548</v>
      </c>
      <c r="B2866" t="s">
        <v>2168</v>
      </c>
      <c r="C2866" t="s">
        <v>72</v>
      </c>
      <c r="D2866" t="s">
        <v>13</v>
      </c>
    </row>
    <row r="2867" spans="1:4" x14ac:dyDescent="0.35">
      <c r="A2867">
        <v>548</v>
      </c>
      <c r="B2867" t="s">
        <v>2169</v>
      </c>
      <c r="C2867" t="s">
        <v>72</v>
      </c>
      <c r="D2867" t="s">
        <v>13</v>
      </c>
    </row>
    <row r="2868" spans="1:4" x14ac:dyDescent="0.35">
      <c r="A2868">
        <v>548</v>
      </c>
      <c r="B2868" t="s">
        <v>2170</v>
      </c>
      <c r="C2868" t="s">
        <v>72</v>
      </c>
      <c r="D2868" t="s">
        <v>13</v>
      </c>
    </row>
    <row r="2869" spans="1:4" x14ac:dyDescent="0.35">
      <c r="A2869">
        <v>549</v>
      </c>
      <c r="B2869" t="s">
        <v>2171</v>
      </c>
      <c r="C2869" t="s">
        <v>231</v>
      </c>
      <c r="D2869" t="s">
        <v>6</v>
      </c>
    </row>
    <row r="2870" spans="1:4" x14ac:dyDescent="0.35">
      <c r="A2870">
        <v>549</v>
      </c>
      <c r="B2870" t="s">
        <v>1129</v>
      </c>
      <c r="C2870" t="s">
        <v>231</v>
      </c>
      <c r="D2870" t="s">
        <v>6</v>
      </c>
    </row>
    <row r="2871" spans="1:4" x14ac:dyDescent="0.35">
      <c r="A2871">
        <v>549</v>
      </c>
      <c r="B2871" t="s">
        <v>243</v>
      </c>
      <c r="C2871" t="s">
        <v>231</v>
      </c>
      <c r="D2871" t="s">
        <v>6</v>
      </c>
    </row>
    <row r="2872" spans="1:4" x14ac:dyDescent="0.35">
      <c r="A2872">
        <v>550</v>
      </c>
      <c r="B2872" t="s">
        <v>2172</v>
      </c>
      <c r="C2872" t="s">
        <v>497</v>
      </c>
      <c r="D2872" t="s">
        <v>13</v>
      </c>
    </row>
    <row r="2873" spans="1:4" x14ac:dyDescent="0.35">
      <c r="A2873">
        <v>550</v>
      </c>
      <c r="B2873" t="s">
        <v>2172</v>
      </c>
      <c r="C2873" t="s">
        <v>153</v>
      </c>
      <c r="D2873" t="s">
        <v>13</v>
      </c>
    </row>
    <row r="2874" spans="1:4" x14ac:dyDescent="0.35">
      <c r="A2874">
        <v>550</v>
      </c>
      <c r="B2874" t="s">
        <v>2173</v>
      </c>
      <c r="C2874" t="s">
        <v>78</v>
      </c>
      <c r="D2874" t="s">
        <v>13</v>
      </c>
    </row>
    <row r="2875" spans="1:4" x14ac:dyDescent="0.35">
      <c r="A2875">
        <v>550</v>
      </c>
      <c r="B2875" t="s">
        <v>1444</v>
      </c>
      <c r="C2875" t="s">
        <v>231</v>
      </c>
      <c r="D2875" t="s">
        <v>6</v>
      </c>
    </row>
    <row r="2876" spans="1:4" x14ac:dyDescent="0.35">
      <c r="A2876">
        <v>550</v>
      </c>
      <c r="B2876" t="s">
        <v>2174</v>
      </c>
      <c r="C2876" t="s">
        <v>25</v>
      </c>
      <c r="D2876" t="s">
        <v>13</v>
      </c>
    </row>
    <row r="2877" spans="1:4" x14ac:dyDescent="0.35">
      <c r="A2877">
        <v>550</v>
      </c>
      <c r="B2877" t="s">
        <v>2175</v>
      </c>
      <c r="C2877" t="s">
        <v>972</v>
      </c>
      <c r="D2877" t="s">
        <v>13</v>
      </c>
    </row>
    <row r="2878" spans="1:4" x14ac:dyDescent="0.35">
      <c r="A2878">
        <v>550</v>
      </c>
      <c r="B2878" t="s">
        <v>2176</v>
      </c>
      <c r="C2878" t="s">
        <v>972</v>
      </c>
      <c r="D2878" t="s">
        <v>13</v>
      </c>
    </row>
    <row r="2879" spans="1:4" x14ac:dyDescent="0.35">
      <c r="A2879">
        <v>550</v>
      </c>
      <c r="B2879" t="s">
        <v>580</v>
      </c>
      <c r="C2879" t="s">
        <v>231</v>
      </c>
      <c r="D2879" t="s">
        <v>6</v>
      </c>
    </row>
    <row r="2880" spans="1:4" x14ac:dyDescent="0.35">
      <c r="A2880">
        <v>550</v>
      </c>
      <c r="B2880" t="s">
        <v>2177</v>
      </c>
      <c r="C2880" t="s">
        <v>231</v>
      </c>
      <c r="D2880" t="s">
        <v>6</v>
      </c>
    </row>
    <row r="2881" spans="1:4" x14ac:dyDescent="0.35">
      <c r="A2881">
        <v>551</v>
      </c>
      <c r="B2881" t="s">
        <v>2178</v>
      </c>
      <c r="C2881" t="s">
        <v>19</v>
      </c>
      <c r="D2881" t="s">
        <v>13</v>
      </c>
    </row>
    <row r="2882" spans="1:4" x14ac:dyDescent="0.35">
      <c r="A2882">
        <v>552</v>
      </c>
      <c r="B2882" t="s">
        <v>2179</v>
      </c>
      <c r="C2882" t="s">
        <v>19</v>
      </c>
      <c r="D2882" t="s">
        <v>13</v>
      </c>
    </row>
    <row r="2883" spans="1:4" x14ac:dyDescent="0.35">
      <c r="A2883">
        <v>552</v>
      </c>
      <c r="B2883" t="s">
        <v>2180</v>
      </c>
      <c r="C2883" t="s">
        <v>19</v>
      </c>
      <c r="D2883" t="s">
        <v>13</v>
      </c>
    </row>
    <row r="2884" spans="1:4" x14ac:dyDescent="0.35">
      <c r="A2884">
        <v>552</v>
      </c>
      <c r="B2884" t="s">
        <v>2181</v>
      </c>
      <c r="C2884" t="s">
        <v>19</v>
      </c>
      <c r="D2884" t="s">
        <v>13</v>
      </c>
    </row>
    <row r="2885" spans="1:4" x14ac:dyDescent="0.35">
      <c r="A2885">
        <v>552</v>
      </c>
      <c r="B2885" t="s">
        <v>2182</v>
      </c>
      <c r="C2885" t="s">
        <v>19</v>
      </c>
      <c r="D2885" t="s">
        <v>13</v>
      </c>
    </row>
    <row r="2886" spans="1:4" x14ac:dyDescent="0.35">
      <c r="A2886">
        <v>552</v>
      </c>
      <c r="B2886" t="s">
        <v>2183</v>
      </c>
      <c r="C2886" t="s">
        <v>19</v>
      </c>
      <c r="D2886" t="s">
        <v>13</v>
      </c>
    </row>
    <row r="2887" spans="1:4" x14ac:dyDescent="0.35">
      <c r="A2887">
        <v>552</v>
      </c>
      <c r="B2887" t="s">
        <v>2184</v>
      </c>
      <c r="C2887" t="s">
        <v>19</v>
      </c>
      <c r="D2887" t="s">
        <v>13</v>
      </c>
    </row>
    <row r="2888" spans="1:4" x14ac:dyDescent="0.35">
      <c r="A2888">
        <v>552</v>
      </c>
      <c r="B2888" t="s">
        <v>2185</v>
      </c>
      <c r="C2888" t="s">
        <v>164</v>
      </c>
      <c r="D2888" t="s">
        <v>13</v>
      </c>
    </row>
    <row r="2889" spans="1:4" x14ac:dyDescent="0.35">
      <c r="A2889">
        <v>552</v>
      </c>
      <c r="B2889" t="s">
        <v>2185</v>
      </c>
      <c r="C2889" t="s">
        <v>19</v>
      </c>
      <c r="D2889" t="s">
        <v>13</v>
      </c>
    </row>
    <row r="2890" spans="1:4" x14ac:dyDescent="0.35">
      <c r="A2890">
        <v>552</v>
      </c>
      <c r="B2890" t="s">
        <v>2186</v>
      </c>
      <c r="C2890" t="s">
        <v>19</v>
      </c>
      <c r="D2890" t="s">
        <v>13</v>
      </c>
    </row>
    <row r="2891" spans="1:4" x14ac:dyDescent="0.35">
      <c r="A2891">
        <v>552</v>
      </c>
      <c r="B2891" t="s">
        <v>2187</v>
      </c>
      <c r="C2891" t="s">
        <v>19</v>
      </c>
      <c r="D2891" t="s">
        <v>13</v>
      </c>
    </row>
    <row r="2892" spans="1:4" x14ac:dyDescent="0.35">
      <c r="A2892">
        <v>552</v>
      </c>
      <c r="B2892" t="s">
        <v>496</v>
      </c>
      <c r="C2892" t="s">
        <v>19</v>
      </c>
      <c r="D2892" t="s">
        <v>13</v>
      </c>
    </row>
    <row r="2893" spans="1:4" x14ac:dyDescent="0.35">
      <c r="A2893">
        <v>552</v>
      </c>
      <c r="B2893" t="s">
        <v>2188</v>
      </c>
      <c r="C2893" t="s">
        <v>19</v>
      </c>
      <c r="D2893" t="s">
        <v>13</v>
      </c>
    </row>
    <row r="2894" spans="1:4" x14ac:dyDescent="0.35">
      <c r="A2894">
        <v>553</v>
      </c>
      <c r="B2894" t="s">
        <v>2189</v>
      </c>
      <c r="C2894" t="s">
        <v>189</v>
      </c>
      <c r="D2894" t="s">
        <v>6</v>
      </c>
    </row>
    <row r="2895" spans="1:4" x14ac:dyDescent="0.35">
      <c r="A2895">
        <v>553</v>
      </c>
      <c r="B2895" t="s">
        <v>2190</v>
      </c>
      <c r="C2895" t="s">
        <v>189</v>
      </c>
      <c r="D2895" t="s">
        <v>6</v>
      </c>
    </row>
    <row r="2896" spans="1:4" x14ac:dyDescent="0.35">
      <c r="A2896">
        <v>553</v>
      </c>
      <c r="B2896" t="s">
        <v>2191</v>
      </c>
      <c r="C2896" t="s">
        <v>189</v>
      </c>
      <c r="D2896" t="s">
        <v>6</v>
      </c>
    </row>
    <row r="2897" spans="1:4" x14ac:dyDescent="0.35">
      <c r="A2897">
        <v>553</v>
      </c>
      <c r="B2897" t="s">
        <v>1118</v>
      </c>
      <c r="C2897" t="s">
        <v>56</v>
      </c>
      <c r="D2897" t="s">
        <v>13</v>
      </c>
    </row>
    <row r="2898" spans="1:4" x14ac:dyDescent="0.35">
      <c r="A2898">
        <v>553</v>
      </c>
      <c r="B2898" t="s">
        <v>2192</v>
      </c>
      <c r="C2898" t="s">
        <v>56</v>
      </c>
      <c r="D2898" t="s">
        <v>13</v>
      </c>
    </row>
    <row r="2899" spans="1:4" x14ac:dyDescent="0.35">
      <c r="A2899">
        <v>553</v>
      </c>
      <c r="B2899" t="s">
        <v>1120</v>
      </c>
      <c r="C2899" t="s">
        <v>56</v>
      </c>
      <c r="D2899" t="s">
        <v>13</v>
      </c>
    </row>
    <row r="2900" spans="1:4" x14ac:dyDescent="0.35">
      <c r="A2900">
        <v>554</v>
      </c>
      <c r="B2900" t="s">
        <v>1377</v>
      </c>
      <c r="C2900" t="s">
        <v>5</v>
      </c>
      <c r="D2900" t="s">
        <v>6</v>
      </c>
    </row>
    <row r="2901" spans="1:4" x14ac:dyDescent="0.35">
      <c r="A2901">
        <v>554</v>
      </c>
      <c r="B2901" t="s">
        <v>2193</v>
      </c>
      <c r="C2901" t="s">
        <v>16</v>
      </c>
      <c r="D2901" t="s">
        <v>13</v>
      </c>
    </row>
    <row r="2902" spans="1:4" x14ac:dyDescent="0.35">
      <c r="A2902">
        <v>554</v>
      </c>
      <c r="B2902" t="s">
        <v>62</v>
      </c>
      <c r="C2902" t="s">
        <v>16</v>
      </c>
      <c r="D2902" t="s">
        <v>13</v>
      </c>
    </row>
    <row r="2903" spans="1:4" x14ac:dyDescent="0.35">
      <c r="A2903">
        <v>554</v>
      </c>
      <c r="B2903" t="s">
        <v>1379</v>
      </c>
      <c r="C2903" t="s">
        <v>5</v>
      </c>
      <c r="D2903" t="s">
        <v>6</v>
      </c>
    </row>
    <row r="2904" spans="1:4" x14ac:dyDescent="0.35">
      <c r="A2904">
        <v>554</v>
      </c>
      <c r="B2904" t="s">
        <v>2194</v>
      </c>
      <c r="C2904" t="s">
        <v>16</v>
      </c>
      <c r="D2904" t="s">
        <v>13</v>
      </c>
    </row>
    <row r="2905" spans="1:4" x14ac:dyDescent="0.35">
      <c r="A2905">
        <v>554</v>
      </c>
      <c r="B2905" t="s">
        <v>2195</v>
      </c>
      <c r="C2905" t="s">
        <v>5</v>
      </c>
      <c r="D2905" t="s">
        <v>6</v>
      </c>
    </row>
    <row r="2906" spans="1:4" x14ac:dyDescent="0.35">
      <c r="A2906">
        <v>555</v>
      </c>
      <c r="B2906" t="s">
        <v>2196</v>
      </c>
      <c r="C2906" t="s">
        <v>25</v>
      </c>
      <c r="D2906" t="s">
        <v>13</v>
      </c>
    </row>
    <row r="2907" spans="1:4" x14ac:dyDescent="0.35">
      <c r="A2907">
        <v>555</v>
      </c>
      <c r="B2907" t="s">
        <v>2197</v>
      </c>
      <c r="C2907" t="s">
        <v>157</v>
      </c>
      <c r="D2907" t="s">
        <v>6</v>
      </c>
    </row>
    <row r="2908" spans="1:4" x14ac:dyDescent="0.35">
      <c r="A2908">
        <v>555</v>
      </c>
      <c r="B2908" t="s">
        <v>2198</v>
      </c>
      <c r="C2908" t="s">
        <v>25</v>
      </c>
      <c r="D2908" t="s">
        <v>13</v>
      </c>
    </row>
    <row r="2909" spans="1:4" x14ac:dyDescent="0.35">
      <c r="A2909">
        <v>556</v>
      </c>
      <c r="B2909" t="s">
        <v>2199</v>
      </c>
      <c r="C2909" t="s">
        <v>189</v>
      </c>
      <c r="D2909" t="s">
        <v>6</v>
      </c>
    </row>
    <row r="2910" spans="1:4" x14ac:dyDescent="0.35">
      <c r="A2910">
        <v>556</v>
      </c>
      <c r="B2910" t="s">
        <v>2200</v>
      </c>
      <c r="C2910" t="s">
        <v>189</v>
      </c>
      <c r="D2910" t="s">
        <v>6</v>
      </c>
    </row>
    <row r="2911" spans="1:4" x14ac:dyDescent="0.35">
      <c r="A2911">
        <v>556</v>
      </c>
      <c r="B2911" t="s">
        <v>2201</v>
      </c>
      <c r="C2911" t="s">
        <v>189</v>
      </c>
      <c r="D2911" t="s">
        <v>6</v>
      </c>
    </row>
    <row r="2912" spans="1:4" x14ac:dyDescent="0.35">
      <c r="A2912">
        <v>557</v>
      </c>
      <c r="B2912" t="s">
        <v>2202</v>
      </c>
      <c r="C2912" t="s">
        <v>35</v>
      </c>
      <c r="D2912" t="s">
        <v>13</v>
      </c>
    </row>
    <row r="2913" spans="1:4" x14ac:dyDescent="0.35">
      <c r="A2913">
        <v>557</v>
      </c>
      <c r="B2913" t="s">
        <v>2203</v>
      </c>
      <c r="C2913" t="s">
        <v>189</v>
      </c>
      <c r="D2913" t="s">
        <v>6</v>
      </c>
    </row>
    <row r="2914" spans="1:4" x14ac:dyDescent="0.35">
      <c r="A2914">
        <v>557</v>
      </c>
      <c r="B2914" t="s">
        <v>2204</v>
      </c>
      <c r="C2914" t="s">
        <v>189</v>
      </c>
      <c r="D2914" t="s">
        <v>6</v>
      </c>
    </row>
    <row r="2915" spans="1:4" x14ac:dyDescent="0.35">
      <c r="A2915">
        <v>557</v>
      </c>
      <c r="B2915" t="s">
        <v>1626</v>
      </c>
      <c r="C2915" t="s">
        <v>35</v>
      </c>
      <c r="D2915" t="s">
        <v>13</v>
      </c>
    </row>
    <row r="2916" spans="1:4" x14ac:dyDescent="0.35">
      <c r="A2916">
        <v>557</v>
      </c>
      <c r="B2916" t="s">
        <v>2205</v>
      </c>
      <c r="C2916" t="s">
        <v>189</v>
      </c>
      <c r="D2916" t="s">
        <v>6</v>
      </c>
    </row>
    <row r="2917" spans="1:4" x14ac:dyDescent="0.35">
      <c r="A2917">
        <v>557</v>
      </c>
      <c r="B2917" t="s">
        <v>2206</v>
      </c>
      <c r="C2917" t="s">
        <v>35</v>
      </c>
      <c r="D2917" t="s">
        <v>13</v>
      </c>
    </row>
    <row r="2918" spans="1:4" x14ac:dyDescent="0.35">
      <c r="A2918">
        <v>558</v>
      </c>
      <c r="B2918" t="s">
        <v>2207</v>
      </c>
      <c r="C2918" t="s">
        <v>35</v>
      </c>
      <c r="D2918" t="s">
        <v>13</v>
      </c>
    </row>
    <row r="2919" spans="1:4" x14ac:dyDescent="0.35">
      <c r="A2919">
        <v>558</v>
      </c>
      <c r="B2919" t="s">
        <v>36</v>
      </c>
      <c r="C2919" t="s">
        <v>35</v>
      </c>
      <c r="D2919" t="s">
        <v>13</v>
      </c>
    </row>
    <row r="2920" spans="1:4" x14ac:dyDescent="0.35">
      <c r="A2920">
        <v>559</v>
      </c>
      <c r="B2920" t="s">
        <v>2208</v>
      </c>
      <c r="C2920" t="s">
        <v>25</v>
      </c>
      <c r="D2920" t="s">
        <v>13</v>
      </c>
    </row>
    <row r="2921" spans="1:4" x14ac:dyDescent="0.35">
      <c r="A2921">
        <v>560</v>
      </c>
      <c r="B2921" t="s">
        <v>2209</v>
      </c>
      <c r="C2921" t="s">
        <v>72</v>
      </c>
      <c r="D2921" t="s">
        <v>13</v>
      </c>
    </row>
    <row r="2922" spans="1:4" x14ac:dyDescent="0.35">
      <c r="A2922">
        <v>560</v>
      </c>
      <c r="B2922" t="s">
        <v>2210</v>
      </c>
      <c r="C2922" t="s">
        <v>72</v>
      </c>
      <c r="D2922" t="s">
        <v>13</v>
      </c>
    </row>
    <row r="2923" spans="1:4" x14ac:dyDescent="0.35">
      <c r="A2923">
        <v>560</v>
      </c>
      <c r="B2923" t="s">
        <v>2211</v>
      </c>
      <c r="C2923" t="s">
        <v>72</v>
      </c>
      <c r="D2923" t="s">
        <v>13</v>
      </c>
    </row>
    <row r="2924" spans="1:4" x14ac:dyDescent="0.35">
      <c r="A2924">
        <v>560</v>
      </c>
      <c r="B2924" t="s">
        <v>2212</v>
      </c>
      <c r="C2924" t="s">
        <v>72</v>
      </c>
      <c r="D2924" t="s">
        <v>13</v>
      </c>
    </row>
    <row r="2925" spans="1:4" x14ac:dyDescent="0.35">
      <c r="A2925">
        <v>560</v>
      </c>
      <c r="B2925" t="s">
        <v>2213</v>
      </c>
      <c r="C2925" t="s">
        <v>72</v>
      </c>
      <c r="D2925" t="s">
        <v>13</v>
      </c>
    </row>
    <row r="2926" spans="1:4" x14ac:dyDescent="0.35">
      <c r="A2926">
        <v>560</v>
      </c>
      <c r="B2926" t="s">
        <v>2214</v>
      </c>
      <c r="C2926" t="s">
        <v>72</v>
      </c>
      <c r="D2926" t="s">
        <v>13</v>
      </c>
    </row>
    <row r="2927" spans="1:4" x14ac:dyDescent="0.35">
      <c r="A2927">
        <v>561</v>
      </c>
      <c r="B2927" t="s">
        <v>2215</v>
      </c>
      <c r="C2927" t="s">
        <v>72</v>
      </c>
      <c r="D2927" t="s">
        <v>13</v>
      </c>
    </row>
    <row r="2928" spans="1:4" x14ac:dyDescent="0.35">
      <c r="A2928">
        <v>561</v>
      </c>
      <c r="B2928" t="s">
        <v>2216</v>
      </c>
      <c r="C2928" t="s">
        <v>72</v>
      </c>
      <c r="D2928" t="s">
        <v>13</v>
      </c>
    </row>
    <row r="2929" spans="1:4" x14ac:dyDescent="0.35">
      <c r="A2929">
        <v>561</v>
      </c>
      <c r="B2929" t="s">
        <v>2217</v>
      </c>
      <c r="C2929" t="s">
        <v>72</v>
      </c>
      <c r="D2929" t="s">
        <v>13</v>
      </c>
    </row>
    <row r="2930" spans="1:4" x14ac:dyDescent="0.35">
      <c r="A2930">
        <v>561</v>
      </c>
      <c r="B2930" t="s">
        <v>2218</v>
      </c>
      <c r="C2930" t="s">
        <v>72</v>
      </c>
      <c r="D2930" t="s">
        <v>13</v>
      </c>
    </row>
    <row r="2931" spans="1:4" x14ac:dyDescent="0.35">
      <c r="A2931">
        <v>561</v>
      </c>
      <c r="B2931" t="s">
        <v>2219</v>
      </c>
      <c r="C2931" t="s">
        <v>72</v>
      </c>
      <c r="D2931" t="s">
        <v>13</v>
      </c>
    </row>
    <row r="2932" spans="1:4" x14ac:dyDescent="0.35">
      <c r="A2932">
        <v>561</v>
      </c>
      <c r="B2932" t="s">
        <v>2220</v>
      </c>
      <c r="C2932" t="s">
        <v>72</v>
      </c>
      <c r="D2932" t="s">
        <v>13</v>
      </c>
    </row>
    <row r="2933" spans="1:4" x14ac:dyDescent="0.35">
      <c r="A2933">
        <v>562</v>
      </c>
      <c r="B2933" t="s">
        <v>1250</v>
      </c>
      <c r="C2933" t="s">
        <v>5</v>
      </c>
      <c r="D2933" t="s">
        <v>6</v>
      </c>
    </row>
    <row r="2934" spans="1:4" x14ac:dyDescent="0.35">
      <c r="A2934">
        <v>562</v>
      </c>
      <c r="B2934" t="s">
        <v>1251</v>
      </c>
      <c r="C2934" t="s">
        <v>5</v>
      </c>
      <c r="D2934" t="s">
        <v>6</v>
      </c>
    </row>
    <row r="2935" spans="1:4" x14ac:dyDescent="0.35">
      <c r="A2935">
        <v>563</v>
      </c>
      <c r="B2935" t="s">
        <v>396</v>
      </c>
      <c r="C2935" t="s">
        <v>157</v>
      </c>
      <c r="D2935" t="s">
        <v>6</v>
      </c>
    </row>
    <row r="2936" spans="1:4" x14ac:dyDescent="0.35">
      <c r="A2936">
        <v>563</v>
      </c>
      <c r="B2936" t="s">
        <v>2221</v>
      </c>
      <c r="C2936" t="s">
        <v>16</v>
      </c>
      <c r="D2936" t="s">
        <v>13</v>
      </c>
    </row>
    <row r="2937" spans="1:4" x14ac:dyDescent="0.35">
      <c r="A2937">
        <v>563</v>
      </c>
      <c r="B2937" t="s">
        <v>2222</v>
      </c>
      <c r="C2937" t="s">
        <v>16</v>
      </c>
      <c r="D2937" t="s">
        <v>13</v>
      </c>
    </row>
    <row r="2938" spans="1:4" x14ac:dyDescent="0.35">
      <c r="A2938">
        <v>563</v>
      </c>
      <c r="B2938" t="s">
        <v>2223</v>
      </c>
      <c r="C2938" t="s">
        <v>157</v>
      </c>
      <c r="D2938" t="s">
        <v>6</v>
      </c>
    </row>
    <row r="2939" spans="1:4" x14ac:dyDescent="0.35">
      <c r="A2939">
        <v>564</v>
      </c>
      <c r="B2939" t="s">
        <v>2224</v>
      </c>
      <c r="C2939" t="s">
        <v>72</v>
      </c>
      <c r="D2939" t="s">
        <v>13</v>
      </c>
    </row>
    <row r="2940" spans="1:4" x14ac:dyDescent="0.35">
      <c r="A2940">
        <v>564</v>
      </c>
      <c r="B2940" t="s">
        <v>2225</v>
      </c>
      <c r="C2940" t="s">
        <v>72</v>
      </c>
      <c r="D2940" t="s">
        <v>13</v>
      </c>
    </row>
    <row r="2941" spans="1:4" x14ac:dyDescent="0.35">
      <c r="A2941">
        <v>564</v>
      </c>
      <c r="B2941" t="s">
        <v>2226</v>
      </c>
      <c r="C2941" t="s">
        <v>72</v>
      </c>
      <c r="D2941" t="s">
        <v>13</v>
      </c>
    </row>
    <row r="2942" spans="1:4" x14ac:dyDescent="0.35">
      <c r="A2942">
        <v>564</v>
      </c>
      <c r="B2942" t="s">
        <v>2227</v>
      </c>
      <c r="C2942" t="s">
        <v>72</v>
      </c>
      <c r="D2942" t="s">
        <v>13</v>
      </c>
    </row>
    <row r="2943" spans="1:4" x14ac:dyDescent="0.35">
      <c r="A2943">
        <v>564</v>
      </c>
      <c r="B2943" t="s">
        <v>2228</v>
      </c>
      <c r="C2943" t="s">
        <v>72</v>
      </c>
      <c r="D2943" t="s">
        <v>13</v>
      </c>
    </row>
    <row r="2944" spans="1:4" x14ac:dyDescent="0.35">
      <c r="A2944">
        <v>564</v>
      </c>
      <c r="B2944" t="s">
        <v>2229</v>
      </c>
      <c r="C2944" t="s">
        <v>72</v>
      </c>
      <c r="D2944" t="s">
        <v>13</v>
      </c>
    </row>
    <row r="2945" spans="1:4" x14ac:dyDescent="0.35">
      <c r="A2945">
        <v>564</v>
      </c>
      <c r="B2945" t="s">
        <v>2230</v>
      </c>
      <c r="C2945" t="s">
        <v>72</v>
      </c>
      <c r="D2945" t="s">
        <v>13</v>
      </c>
    </row>
    <row r="2946" spans="1:4" x14ac:dyDescent="0.35">
      <c r="A2946">
        <v>564</v>
      </c>
      <c r="B2946" t="s">
        <v>2231</v>
      </c>
      <c r="C2946" t="s">
        <v>72</v>
      </c>
      <c r="D2946" t="s">
        <v>13</v>
      </c>
    </row>
    <row r="2947" spans="1:4" x14ac:dyDescent="0.35">
      <c r="A2947">
        <v>564</v>
      </c>
      <c r="B2947" t="s">
        <v>2232</v>
      </c>
      <c r="C2947" t="s">
        <v>72</v>
      </c>
      <c r="D2947" t="s">
        <v>13</v>
      </c>
    </row>
    <row r="2948" spans="1:4" x14ac:dyDescent="0.35">
      <c r="A2948">
        <v>565</v>
      </c>
      <c r="B2948" t="s">
        <v>2233</v>
      </c>
      <c r="C2948" t="s">
        <v>72</v>
      </c>
      <c r="D2948" t="s">
        <v>13</v>
      </c>
    </row>
    <row r="2949" spans="1:4" x14ac:dyDescent="0.35">
      <c r="A2949">
        <v>565</v>
      </c>
      <c r="B2949" t="s">
        <v>2234</v>
      </c>
      <c r="C2949" t="s">
        <v>72</v>
      </c>
      <c r="D2949" t="s">
        <v>13</v>
      </c>
    </row>
    <row r="2950" spans="1:4" x14ac:dyDescent="0.35">
      <c r="A2950">
        <v>565</v>
      </c>
      <c r="B2950" t="s">
        <v>2235</v>
      </c>
      <c r="C2950" t="s">
        <v>72</v>
      </c>
      <c r="D2950" t="s">
        <v>13</v>
      </c>
    </row>
    <row r="2951" spans="1:4" x14ac:dyDescent="0.35">
      <c r="A2951">
        <v>565</v>
      </c>
      <c r="B2951" t="s">
        <v>2236</v>
      </c>
      <c r="C2951" t="s">
        <v>72</v>
      </c>
      <c r="D2951" t="s">
        <v>13</v>
      </c>
    </row>
    <row r="2952" spans="1:4" x14ac:dyDescent="0.35">
      <c r="A2952">
        <v>565</v>
      </c>
      <c r="B2952" t="s">
        <v>2237</v>
      </c>
      <c r="C2952" t="s">
        <v>72</v>
      </c>
      <c r="D2952" t="s">
        <v>13</v>
      </c>
    </row>
    <row r="2953" spans="1:4" x14ac:dyDescent="0.35">
      <c r="A2953">
        <v>566</v>
      </c>
      <c r="B2953" t="s">
        <v>2238</v>
      </c>
      <c r="C2953" t="s">
        <v>72</v>
      </c>
      <c r="D2953" t="s">
        <v>13</v>
      </c>
    </row>
    <row r="2954" spans="1:4" x14ac:dyDescent="0.35">
      <c r="A2954">
        <v>566</v>
      </c>
      <c r="B2954" t="s">
        <v>2239</v>
      </c>
      <c r="C2954" t="s">
        <v>72</v>
      </c>
      <c r="D2954" t="s">
        <v>13</v>
      </c>
    </row>
    <row r="2955" spans="1:4" x14ac:dyDescent="0.35">
      <c r="A2955">
        <v>566</v>
      </c>
      <c r="B2955" t="s">
        <v>2240</v>
      </c>
      <c r="C2955" t="s">
        <v>72</v>
      </c>
      <c r="D2955" t="s">
        <v>13</v>
      </c>
    </row>
    <row r="2956" spans="1:4" x14ac:dyDescent="0.35">
      <c r="A2956">
        <v>566</v>
      </c>
      <c r="B2956" t="s">
        <v>2241</v>
      </c>
      <c r="C2956" t="s">
        <v>72</v>
      </c>
      <c r="D2956" t="s">
        <v>13</v>
      </c>
    </row>
    <row r="2957" spans="1:4" x14ac:dyDescent="0.35">
      <c r="A2957">
        <v>566</v>
      </c>
      <c r="B2957" t="s">
        <v>2242</v>
      </c>
      <c r="C2957" t="s">
        <v>72</v>
      </c>
      <c r="D2957" t="s">
        <v>13</v>
      </c>
    </row>
    <row r="2958" spans="1:4" x14ac:dyDescent="0.35">
      <c r="A2958">
        <v>566</v>
      </c>
      <c r="B2958" t="s">
        <v>2243</v>
      </c>
      <c r="C2958" t="s">
        <v>72</v>
      </c>
      <c r="D2958" t="s">
        <v>13</v>
      </c>
    </row>
    <row r="2959" spans="1:4" x14ac:dyDescent="0.35">
      <c r="A2959">
        <v>567</v>
      </c>
      <c r="B2959" t="s">
        <v>2244</v>
      </c>
      <c r="C2959" t="s">
        <v>517</v>
      </c>
      <c r="D2959" t="s">
        <v>13</v>
      </c>
    </row>
    <row r="2960" spans="1:4" x14ac:dyDescent="0.35">
      <c r="A2960">
        <v>567</v>
      </c>
      <c r="B2960" t="s">
        <v>2244</v>
      </c>
      <c r="C2960" t="s">
        <v>19</v>
      </c>
      <c r="D2960" t="s">
        <v>13</v>
      </c>
    </row>
    <row r="2961" spans="1:4" x14ac:dyDescent="0.35">
      <c r="A2961">
        <v>567</v>
      </c>
      <c r="B2961" t="s">
        <v>2186</v>
      </c>
      <c r="C2961" t="s">
        <v>19</v>
      </c>
      <c r="D2961" t="s">
        <v>13</v>
      </c>
    </row>
    <row r="2962" spans="1:4" x14ac:dyDescent="0.35">
      <c r="A2962">
        <v>568</v>
      </c>
      <c r="B2962" t="s">
        <v>2245</v>
      </c>
      <c r="C2962" t="s">
        <v>19</v>
      </c>
      <c r="D2962" t="s">
        <v>13</v>
      </c>
    </row>
    <row r="2963" spans="1:4" x14ac:dyDescent="0.35">
      <c r="A2963">
        <v>568</v>
      </c>
      <c r="B2963" t="s">
        <v>2246</v>
      </c>
      <c r="C2963" t="s">
        <v>19</v>
      </c>
      <c r="D2963" t="s">
        <v>13</v>
      </c>
    </row>
    <row r="2964" spans="1:4" x14ac:dyDescent="0.35">
      <c r="A2964">
        <v>569</v>
      </c>
      <c r="B2964" t="s">
        <v>2247</v>
      </c>
      <c r="C2964" t="s">
        <v>72</v>
      </c>
      <c r="D2964" t="s">
        <v>13</v>
      </c>
    </row>
    <row r="2965" spans="1:4" x14ac:dyDescent="0.35">
      <c r="A2965">
        <v>569</v>
      </c>
      <c r="B2965" t="s">
        <v>2082</v>
      </c>
      <c r="C2965" t="s">
        <v>72</v>
      </c>
      <c r="D2965" t="s">
        <v>13</v>
      </c>
    </row>
    <row r="2966" spans="1:4" x14ac:dyDescent="0.35">
      <c r="A2966">
        <v>569</v>
      </c>
      <c r="B2966" t="s">
        <v>2248</v>
      </c>
      <c r="C2966" t="s">
        <v>72</v>
      </c>
      <c r="D2966" t="s">
        <v>13</v>
      </c>
    </row>
    <row r="2967" spans="1:4" x14ac:dyDescent="0.35">
      <c r="A2967">
        <v>570</v>
      </c>
      <c r="B2967" t="s">
        <v>2249</v>
      </c>
      <c r="C2967" t="s">
        <v>19</v>
      </c>
      <c r="D2967" t="s">
        <v>13</v>
      </c>
    </row>
    <row r="2968" spans="1:4" x14ac:dyDescent="0.35">
      <c r="A2968">
        <v>570</v>
      </c>
      <c r="B2968" t="s">
        <v>2250</v>
      </c>
      <c r="C2968" t="s">
        <v>19</v>
      </c>
      <c r="D2968" t="s">
        <v>13</v>
      </c>
    </row>
    <row r="2969" spans="1:4" x14ac:dyDescent="0.35">
      <c r="A2969">
        <v>570</v>
      </c>
      <c r="B2969" t="s">
        <v>2251</v>
      </c>
      <c r="C2969" t="s">
        <v>19</v>
      </c>
      <c r="D2969" t="s">
        <v>13</v>
      </c>
    </row>
    <row r="2970" spans="1:4" x14ac:dyDescent="0.35">
      <c r="A2970">
        <v>571</v>
      </c>
      <c r="B2970" t="s">
        <v>2046</v>
      </c>
      <c r="C2970" t="s">
        <v>157</v>
      </c>
      <c r="D2970" t="s">
        <v>6</v>
      </c>
    </row>
    <row r="2971" spans="1:4" x14ac:dyDescent="0.35">
      <c r="A2971">
        <v>571</v>
      </c>
      <c r="B2971" t="s">
        <v>2047</v>
      </c>
      <c r="C2971" t="s">
        <v>157</v>
      </c>
      <c r="D2971" t="s">
        <v>6</v>
      </c>
    </row>
    <row r="2972" spans="1:4" x14ac:dyDescent="0.35">
      <c r="A2972">
        <v>572</v>
      </c>
      <c r="B2972" t="s">
        <v>2252</v>
      </c>
      <c r="C2972" t="s">
        <v>261</v>
      </c>
      <c r="D2972" t="s">
        <v>13</v>
      </c>
    </row>
    <row r="2973" spans="1:4" x14ac:dyDescent="0.35">
      <c r="A2973">
        <v>572</v>
      </c>
      <c r="B2973" t="s">
        <v>1352</v>
      </c>
      <c r="C2973" t="s">
        <v>261</v>
      </c>
      <c r="D2973" t="s">
        <v>13</v>
      </c>
    </row>
    <row r="2974" spans="1:4" x14ac:dyDescent="0.35">
      <c r="A2974">
        <v>572</v>
      </c>
      <c r="B2974" t="s">
        <v>768</v>
      </c>
      <c r="C2974" t="s">
        <v>101</v>
      </c>
      <c r="D2974" t="s">
        <v>6</v>
      </c>
    </row>
    <row r="2975" spans="1:4" x14ac:dyDescent="0.35">
      <c r="A2975">
        <v>572</v>
      </c>
      <c r="B2975" t="s">
        <v>1353</v>
      </c>
      <c r="C2975" t="s">
        <v>261</v>
      </c>
      <c r="D2975" t="s">
        <v>13</v>
      </c>
    </row>
    <row r="2976" spans="1:4" x14ac:dyDescent="0.35">
      <c r="A2976">
        <v>572</v>
      </c>
      <c r="B2976" t="s">
        <v>2253</v>
      </c>
      <c r="C2976" t="s">
        <v>261</v>
      </c>
      <c r="D2976" t="s">
        <v>13</v>
      </c>
    </row>
    <row r="2977" spans="1:4" x14ac:dyDescent="0.35">
      <c r="A2977">
        <v>573</v>
      </c>
      <c r="B2977" t="s">
        <v>2254</v>
      </c>
      <c r="C2977" t="s">
        <v>231</v>
      </c>
      <c r="D2977" t="s">
        <v>6</v>
      </c>
    </row>
    <row r="2978" spans="1:4" x14ac:dyDescent="0.35">
      <c r="A2978">
        <v>573</v>
      </c>
      <c r="B2978" t="s">
        <v>2255</v>
      </c>
      <c r="C2978" t="s">
        <v>231</v>
      </c>
      <c r="D2978" t="s">
        <v>6</v>
      </c>
    </row>
    <row r="2979" spans="1:4" x14ac:dyDescent="0.35">
      <c r="A2979">
        <v>573</v>
      </c>
      <c r="B2979" t="s">
        <v>1277</v>
      </c>
      <c r="C2979" t="s">
        <v>231</v>
      </c>
      <c r="D2979" t="s">
        <v>6</v>
      </c>
    </row>
    <row r="2980" spans="1:4" x14ac:dyDescent="0.35">
      <c r="A2980">
        <v>573</v>
      </c>
      <c r="B2980" t="s">
        <v>1278</v>
      </c>
      <c r="C2980" t="s">
        <v>231</v>
      </c>
      <c r="D2980" t="s">
        <v>6</v>
      </c>
    </row>
    <row r="2981" spans="1:4" x14ac:dyDescent="0.35">
      <c r="A2981">
        <v>574</v>
      </c>
      <c r="B2981" t="s">
        <v>2256</v>
      </c>
      <c r="C2981" t="s">
        <v>72</v>
      </c>
      <c r="D2981" t="s">
        <v>13</v>
      </c>
    </row>
    <row r="2982" spans="1:4" x14ac:dyDescent="0.35">
      <c r="A2982">
        <v>574</v>
      </c>
      <c r="B2982" t="s">
        <v>2257</v>
      </c>
      <c r="C2982" t="s">
        <v>72</v>
      </c>
      <c r="D2982" t="s">
        <v>13</v>
      </c>
    </row>
    <row r="2983" spans="1:4" x14ac:dyDescent="0.35">
      <c r="A2983">
        <v>574</v>
      </c>
      <c r="B2983" t="s">
        <v>2258</v>
      </c>
      <c r="C2983" t="s">
        <v>72</v>
      </c>
      <c r="D2983" t="s">
        <v>13</v>
      </c>
    </row>
    <row r="2984" spans="1:4" x14ac:dyDescent="0.35">
      <c r="A2984">
        <v>574</v>
      </c>
      <c r="B2984" t="s">
        <v>2259</v>
      </c>
      <c r="C2984" t="s">
        <v>72</v>
      </c>
      <c r="D2984" t="s">
        <v>13</v>
      </c>
    </row>
    <row r="2985" spans="1:4" x14ac:dyDescent="0.35">
      <c r="A2985">
        <v>575</v>
      </c>
      <c r="B2985" t="s">
        <v>2115</v>
      </c>
      <c r="C2985" t="s">
        <v>19</v>
      </c>
      <c r="D2985" t="s">
        <v>13</v>
      </c>
    </row>
    <row r="2986" spans="1:4" x14ac:dyDescent="0.35">
      <c r="A2986">
        <v>575</v>
      </c>
      <c r="B2986" t="s">
        <v>2116</v>
      </c>
      <c r="C2986" t="s">
        <v>19</v>
      </c>
      <c r="D2986" t="s">
        <v>13</v>
      </c>
    </row>
    <row r="2987" spans="1:4" x14ac:dyDescent="0.35">
      <c r="A2987">
        <v>576</v>
      </c>
      <c r="B2987" t="s">
        <v>2260</v>
      </c>
      <c r="C2987" t="s">
        <v>2261</v>
      </c>
      <c r="D2987" t="s">
        <v>13</v>
      </c>
    </row>
    <row r="2988" spans="1:4" x14ac:dyDescent="0.35">
      <c r="A2988">
        <v>576</v>
      </c>
      <c r="B2988" t="s">
        <v>2262</v>
      </c>
      <c r="C2988" t="s">
        <v>2261</v>
      </c>
      <c r="D2988" t="s">
        <v>13</v>
      </c>
    </row>
    <row r="2989" spans="1:4" x14ac:dyDescent="0.35">
      <c r="A2989">
        <v>576</v>
      </c>
      <c r="B2989" t="s">
        <v>2263</v>
      </c>
      <c r="C2989" t="s">
        <v>231</v>
      </c>
      <c r="D2989" t="s">
        <v>6</v>
      </c>
    </row>
    <row r="2990" spans="1:4" x14ac:dyDescent="0.35">
      <c r="A2990">
        <v>576</v>
      </c>
      <c r="B2990" t="s">
        <v>2264</v>
      </c>
      <c r="C2990" t="s">
        <v>231</v>
      </c>
      <c r="D2990" t="s">
        <v>6</v>
      </c>
    </row>
    <row r="2991" spans="1:4" x14ac:dyDescent="0.35">
      <c r="A2991">
        <v>577</v>
      </c>
      <c r="B2991" t="s">
        <v>2265</v>
      </c>
      <c r="C2991" t="s">
        <v>25</v>
      </c>
      <c r="D2991" t="s">
        <v>13</v>
      </c>
    </row>
    <row r="2992" spans="1:4" x14ac:dyDescent="0.35">
      <c r="A2992">
        <v>577</v>
      </c>
      <c r="B2992" t="s">
        <v>2266</v>
      </c>
      <c r="C2992" t="s">
        <v>231</v>
      </c>
      <c r="D2992" t="s">
        <v>6</v>
      </c>
    </row>
    <row r="2993" spans="1:4" x14ac:dyDescent="0.35">
      <c r="A2993">
        <v>577</v>
      </c>
      <c r="B2993" t="s">
        <v>2267</v>
      </c>
      <c r="C2993" t="s">
        <v>189</v>
      </c>
      <c r="D2993" t="s">
        <v>6</v>
      </c>
    </row>
    <row r="2994" spans="1:4" x14ac:dyDescent="0.35">
      <c r="A2994">
        <v>577</v>
      </c>
      <c r="B2994" t="s">
        <v>2268</v>
      </c>
      <c r="C2994" t="s">
        <v>231</v>
      </c>
      <c r="D2994" t="s">
        <v>6</v>
      </c>
    </row>
    <row r="2995" spans="1:4" x14ac:dyDescent="0.35">
      <c r="A2995">
        <v>577</v>
      </c>
      <c r="B2995" t="s">
        <v>2269</v>
      </c>
      <c r="C2995" t="s">
        <v>231</v>
      </c>
      <c r="D2995" t="s">
        <v>6</v>
      </c>
    </row>
    <row r="2996" spans="1:4" x14ac:dyDescent="0.35">
      <c r="A2996">
        <v>577</v>
      </c>
      <c r="B2996" t="s">
        <v>2270</v>
      </c>
      <c r="C2996" t="s">
        <v>231</v>
      </c>
      <c r="D2996" t="s">
        <v>6</v>
      </c>
    </row>
    <row r="2997" spans="1:4" x14ac:dyDescent="0.35">
      <c r="A2997">
        <v>578</v>
      </c>
      <c r="B2997" t="s">
        <v>2271</v>
      </c>
      <c r="C2997" t="s">
        <v>72</v>
      </c>
      <c r="D2997" t="s">
        <v>13</v>
      </c>
    </row>
    <row r="2998" spans="1:4" x14ac:dyDescent="0.35">
      <c r="A2998">
        <v>578</v>
      </c>
      <c r="B2998" t="s">
        <v>2272</v>
      </c>
      <c r="C2998" t="s">
        <v>72</v>
      </c>
      <c r="D2998" t="s">
        <v>13</v>
      </c>
    </row>
    <row r="2999" spans="1:4" x14ac:dyDescent="0.35">
      <c r="A2999">
        <v>578</v>
      </c>
      <c r="B2999" t="s">
        <v>2273</v>
      </c>
      <c r="C2999" t="s">
        <v>72</v>
      </c>
      <c r="D2999" t="s">
        <v>13</v>
      </c>
    </row>
    <row r="3000" spans="1:4" x14ac:dyDescent="0.35">
      <c r="A3000">
        <v>578</v>
      </c>
      <c r="B3000" t="s">
        <v>2274</v>
      </c>
      <c r="C3000" t="s">
        <v>72</v>
      </c>
      <c r="D3000" t="s">
        <v>13</v>
      </c>
    </row>
    <row r="3001" spans="1:4" x14ac:dyDescent="0.35">
      <c r="A3001">
        <v>578</v>
      </c>
      <c r="B3001" t="s">
        <v>2275</v>
      </c>
      <c r="C3001" t="s">
        <v>72</v>
      </c>
      <c r="D3001" t="s">
        <v>13</v>
      </c>
    </row>
    <row r="3002" spans="1:4" x14ac:dyDescent="0.35">
      <c r="A3002">
        <v>579</v>
      </c>
      <c r="B3002" t="s">
        <v>2276</v>
      </c>
      <c r="C3002" t="s">
        <v>231</v>
      </c>
      <c r="D3002" t="s">
        <v>6</v>
      </c>
    </row>
    <row r="3003" spans="1:4" x14ac:dyDescent="0.35">
      <c r="A3003">
        <v>579</v>
      </c>
      <c r="B3003" t="s">
        <v>421</v>
      </c>
      <c r="C3003" t="s">
        <v>231</v>
      </c>
      <c r="D3003" t="s">
        <v>6</v>
      </c>
    </row>
    <row r="3004" spans="1:4" x14ac:dyDescent="0.35">
      <c r="A3004">
        <v>579</v>
      </c>
      <c r="B3004" t="s">
        <v>422</v>
      </c>
      <c r="C3004" t="s">
        <v>231</v>
      </c>
      <c r="D3004" t="s">
        <v>6</v>
      </c>
    </row>
    <row r="3005" spans="1:4" x14ac:dyDescent="0.35">
      <c r="A3005">
        <v>579</v>
      </c>
      <c r="B3005" t="s">
        <v>2277</v>
      </c>
      <c r="C3005" t="s">
        <v>231</v>
      </c>
      <c r="D3005" t="s">
        <v>6</v>
      </c>
    </row>
    <row r="3006" spans="1:4" x14ac:dyDescent="0.35">
      <c r="A3006">
        <v>579</v>
      </c>
      <c r="B3006" t="s">
        <v>2278</v>
      </c>
      <c r="C3006" t="s">
        <v>231</v>
      </c>
      <c r="D3006" t="s">
        <v>6</v>
      </c>
    </row>
    <row r="3007" spans="1:4" x14ac:dyDescent="0.35">
      <c r="A3007">
        <v>580</v>
      </c>
      <c r="B3007" t="s">
        <v>2279</v>
      </c>
      <c r="C3007" t="s">
        <v>231</v>
      </c>
      <c r="D3007" t="s">
        <v>6</v>
      </c>
    </row>
    <row r="3008" spans="1:4" x14ac:dyDescent="0.35">
      <c r="A3008">
        <v>580</v>
      </c>
      <c r="B3008" t="s">
        <v>2280</v>
      </c>
      <c r="C3008" t="s">
        <v>231</v>
      </c>
      <c r="D3008" t="s">
        <v>6</v>
      </c>
    </row>
    <row r="3009" spans="1:4" x14ac:dyDescent="0.35">
      <c r="A3009">
        <v>580</v>
      </c>
      <c r="B3009" t="s">
        <v>2281</v>
      </c>
      <c r="C3009" t="s">
        <v>153</v>
      </c>
      <c r="D3009" t="s">
        <v>13</v>
      </c>
    </row>
    <row r="3010" spans="1:4" x14ac:dyDescent="0.35">
      <c r="A3010">
        <v>580</v>
      </c>
      <c r="B3010" t="s">
        <v>2281</v>
      </c>
      <c r="C3010" t="s">
        <v>231</v>
      </c>
      <c r="D3010" t="s">
        <v>6</v>
      </c>
    </row>
    <row r="3011" spans="1:4" x14ac:dyDescent="0.35">
      <c r="A3011">
        <v>581</v>
      </c>
      <c r="B3011" t="s">
        <v>966</v>
      </c>
      <c r="C3011" t="s">
        <v>231</v>
      </c>
      <c r="D3011" t="s">
        <v>6</v>
      </c>
    </row>
    <row r="3012" spans="1:4" x14ac:dyDescent="0.35">
      <c r="A3012">
        <v>581</v>
      </c>
      <c r="B3012" t="s">
        <v>2282</v>
      </c>
      <c r="C3012" t="s">
        <v>231</v>
      </c>
      <c r="D3012" t="s">
        <v>6</v>
      </c>
    </row>
    <row r="3013" spans="1:4" x14ac:dyDescent="0.35">
      <c r="A3013">
        <v>581</v>
      </c>
      <c r="B3013" t="s">
        <v>2283</v>
      </c>
      <c r="C3013" t="s">
        <v>231</v>
      </c>
      <c r="D3013" t="s">
        <v>6</v>
      </c>
    </row>
    <row r="3014" spans="1:4" x14ac:dyDescent="0.35">
      <c r="A3014">
        <v>582</v>
      </c>
      <c r="B3014" t="s">
        <v>2284</v>
      </c>
      <c r="C3014" t="s">
        <v>2285</v>
      </c>
      <c r="D3014" t="s">
        <v>13</v>
      </c>
    </row>
    <row r="3015" spans="1:4" x14ac:dyDescent="0.35">
      <c r="A3015">
        <v>582</v>
      </c>
      <c r="B3015" t="s">
        <v>2286</v>
      </c>
      <c r="C3015" t="s">
        <v>2285</v>
      </c>
      <c r="D3015" t="s">
        <v>13</v>
      </c>
    </row>
    <row r="3016" spans="1:4" x14ac:dyDescent="0.35">
      <c r="A3016">
        <v>582</v>
      </c>
      <c r="B3016" t="s">
        <v>2287</v>
      </c>
      <c r="C3016" t="s">
        <v>2285</v>
      </c>
      <c r="D3016" t="s">
        <v>13</v>
      </c>
    </row>
    <row r="3017" spans="1:4" x14ac:dyDescent="0.35">
      <c r="A3017">
        <v>583</v>
      </c>
      <c r="B3017" t="s">
        <v>2288</v>
      </c>
      <c r="C3017" t="s">
        <v>72</v>
      </c>
      <c r="D3017" t="s">
        <v>13</v>
      </c>
    </row>
    <row r="3018" spans="1:4" x14ac:dyDescent="0.35">
      <c r="A3018">
        <v>583</v>
      </c>
      <c r="B3018" t="s">
        <v>2289</v>
      </c>
      <c r="C3018" t="s">
        <v>72</v>
      </c>
      <c r="D3018" t="s">
        <v>13</v>
      </c>
    </row>
    <row r="3019" spans="1:4" x14ac:dyDescent="0.35">
      <c r="A3019">
        <v>583</v>
      </c>
      <c r="B3019" t="s">
        <v>2290</v>
      </c>
      <c r="C3019" t="s">
        <v>72</v>
      </c>
      <c r="D3019" t="s">
        <v>13</v>
      </c>
    </row>
    <row r="3020" spans="1:4" x14ac:dyDescent="0.35">
      <c r="A3020">
        <v>583</v>
      </c>
      <c r="B3020" t="s">
        <v>2291</v>
      </c>
      <c r="C3020" t="s">
        <v>72</v>
      </c>
      <c r="D3020" t="s">
        <v>13</v>
      </c>
    </row>
    <row r="3021" spans="1:4" x14ac:dyDescent="0.35">
      <c r="A3021">
        <v>584</v>
      </c>
      <c r="B3021" t="s">
        <v>1228</v>
      </c>
      <c r="C3021" t="s">
        <v>164</v>
      </c>
      <c r="D3021" t="s">
        <v>13</v>
      </c>
    </row>
    <row r="3022" spans="1:4" x14ac:dyDescent="0.35">
      <c r="A3022">
        <v>584</v>
      </c>
      <c r="B3022" t="s">
        <v>767</v>
      </c>
      <c r="C3022" t="s">
        <v>101</v>
      </c>
      <c r="D3022" t="s">
        <v>6</v>
      </c>
    </row>
    <row r="3023" spans="1:4" x14ac:dyDescent="0.35">
      <c r="A3023">
        <v>584</v>
      </c>
      <c r="B3023" t="s">
        <v>1230</v>
      </c>
      <c r="C3023" t="s">
        <v>164</v>
      </c>
      <c r="D3023" t="s">
        <v>13</v>
      </c>
    </row>
    <row r="3024" spans="1:4" x14ac:dyDescent="0.35">
      <c r="A3024">
        <v>584</v>
      </c>
      <c r="B3024" t="s">
        <v>2292</v>
      </c>
      <c r="C3024" t="s">
        <v>93</v>
      </c>
      <c r="D3024" t="s">
        <v>13</v>
      </c>
    </row>
    <row r="3025" spans="1:4" x14ac:dyDescent="0.35">
      <c r="A3025">
        <v>585</v>
      </c>
      <c r="B3025" t="s">
        <v>2293</v>
      </c>
      <c r="C3025" t="s">
        <v>352</v>
      </c>
      <c r="D3025" t="s">
        <v>13</v>
      </c>
    </row>
    <row r="3026" spans="1:4" x14ac:dyDescent="0.35">
      <c r="A3026">
        <v>585</v>
      </c>
      <c r="B3026" t="s">
        <v>2294</v>
      </c>
      <c r="C3026" t="s">
        <v>352</v>
      </c>
      <c r="D3026" t="s">
        <v>13</v>
      </c>
    </row>
    <row r="3027" spans="1:4" x14ac:dyDescent="0.35">
      <c r="A3027">
        <v>585</v>
      </c>
      <c r="B3027" t="s">
        <v>2295</v>
      </c>
      <c r="C3027" t="s">
        <v>101</v>
      </c>
      <c r="D3027" t="s">
        <v>6</v>
      </c>
    </row>
    <row r="3028" spans="1:4" x14ac:dyDescent="0.35">
      <c r="A3028">
        <v>585</v>
      </c>
      <c r="B3028" t="s">
        <v>2296</v>
      </c>
      <c r="C3028" t="s">
        <v>56</v>
      </c>
      <c r="D3028" t="s">
        <v>13</v>
      </c>
    </row>
    <row r="3029" spans="1:4" x14ac:dyDescent="0.35">
      <c r="A3029">
        <v>585</v>
      </c>
      <c r="B3029" t="s">
        <v>2296</v>
      </c>
      <c r="C3029" t="s">
        <v>186</v>
      </c>
      <c r="D3029" t="s">
        <v>13</v>
      </c>
    </row>
    <row r="3030" spans="1:4" x14ac:dyDescent="0.35">
      <c r="A3030">
        <v>585</v>
      </c>
      <c r="B3030" t="s">
        <v>2297</v>
      </c>
      <c r="C3030" t="s">
        <v>56</v>
      </c>
      <c r="D3030" t="s">
        <v>13</v>
      </c>
    </row>
    <row r="3031" spans="1:4" x14ac:dyDescent="0.35">
      <c r="A3031">
        <v>586</v>
      </c>
      <c r="B3031" t="s">
        <v>2298</v>
      </c>
      <c r="C3031" t="s">
        <v>93</v>
      </c>
      <c r="D3031" t="s">
        <v>13</v>
      </c>
    </row>
    <row r="3032" spans="1:4" x14ac:dyDescent="0.35">
      <c r="A3032">
        <v>586</v>
      </c>
      <c r="B3032" t="s">
        <v>2299</v>
      </c>
      <c r="C3032" t="s">
        <v>93</v>
      </c>
      <c r="D3032" t="s">
        <v>13</v>
      </c>
    </row>
    <row r="3033" spans="1:4" x14ac:dyDescent="0.35">
      <c r="A3033">
        <v>586</v>
      </c>
      <c r="B3033" t="s">
        <v>2300</v>
      </c>
      <c r="C3033" t="s">
        <v>93</v>
      </c>
      <c r="D3033" t="s">
        <v>13</v>
      </c>
    </row>
    <row r="3034" spans="1:4" x14ac:dyDescent="0.35">
      <c r="A3034">
        <v>586</v>
      </c>
      <c r="B3034" t="s">
        <v>2301</v>
      </c>
      <c r="C3034" t="s">
        <v>93</v>
      </c>
      <c r="D3034" t="s">
        <v>13</v>
      </c>
    </row>
    <row r="3035" spans="1:4" x14ac:dyDescent="0.35">
      <c r="A3035">
        <v>587</v>
      </c>
      <c r="B3035" t="s">
        <v>2302</v>
      </c>
      <c r="C3035" t="s">
        <v>72</v>
      </c>
      <c r="D3035" t="s">
        <v>13</v>
      </c>
    </row>
    <row r="3036" spans="1:4" x14ac:dyDescent="0.35">
      <c r="A3036">
        <v>587</v>
      </c>
      <c r="B3036" t="s">
        <v>2303</v>
      </c>
      <c r="C3036" t="s">
        <v>72</v>
      </c>
      <c r="D3036" t="s">
        <v>13</v>
      </c>
    </row>
    <row r="3037" spans="1:4" x14ac:dyDescent="0.35">
      <c r="A3037">
        <v>587</v>
      </c>
      <c r="B3037" t="s">
        <v>2304</v>
      </c>
      <c r="C3037" t="s">
        <v>72</v>
      </c>
      <c r="D3037" t="s">
        <v>13</v>
      </c>
    </row>
    <row r="3038" spans="1:4" x14ac:dyDescent="0.35">
      <c r="A3038">
        <v>587</v>
      </c>
      <c r="B3038" t="s">
        <v>1955</v>
      </c>
      <c r="C3038" t="s">
        <v>72</v>
      </c>
      <c r="D3038" t="s">
        <v>13</v>
      </c>
    </row>
    <row r="3039" spans="1:4" x14ac:dyDescent="0.35">
      <c r="A3039">
        <v>588</v>
      </c>
      <c r="B3039" t="s">
        <v>2305</v>
      </c>
      <c r="C3039" t="s">
        <v>45</v>
      </c>
      <c r="D3039" t="s">
        <v>6</v>
      </c>
    </row>
    <row r="3040" spans="1:4" x14ac:dyDescent="0.35">
      <c r="A3040">
        <v>588</v>
      </c>
      <c r="B3040" t="s">
        <v>2306</v>
      </c>
      <c r="C3040" t="s">
        <v>517</v>
      </c>
      <c r="D3040" t="s">
        <v>13</v>
      </c>
    </row>
    <row r="3041" spans="1:4" x14ac:dyDescent="0.35">
      <c r="A3041">
        <v>588</v>
      </c>
      <c r="B3041" t="s">
        <v>2306</v>
      </c>
      <c r="C3041" t="s">
        <v>45</v>
      </c>
      <c r="D3041" t="s">
        <v>6</v>
      </c>
    </row>
    <row r="3042" spans="1:4" x14ac:dyDescent="0.35">
      <c r="A3042">
        <v>588</v>
      </c>
      <c r="B3042" t="s">
        <v>2307</v>
      </c>
      <c r="C3042" t="s">
        <v>45</v>
      </c>
      <c r="D3042" t="s">
        <v>6</v>
      </c>
    </row>
    <row r="3043" spans="1:4" x14ac:dyDescent="0.35">
      <c r="A3043">
        <v>589</v>
      </c>
      <c r="B3043" t="s">
        <v>2308</v>
      </c>
      <c r="C3043" t="s">
        <v>72</v>
      </c>
      <c r="D3043" t="s">
        <v>13</v>
      </c>
    </row>
    <row r="3044" spans="1:4" x14ac:dyDescent="0.35">
      <c r="A3044">
        <v>589</v>
      </c>
      <c r="B3044" t="s">
        <v>2309</v>
      </c>
      <c r="C3044" t="s">
        <v>19</v>
      </c>
      <c r="D3044" t="s">
        <v>13</v>
      </c>
    </row>
    <row r="3045" spans="1:4" x14ac:dyDescent="0.35">
      <c r="A3045">
        <v>589</v>
      </c>
      <c r="B3045" t="s">
        <v>2310</v>
      </c>
      <c r="C3045" t="s">
        <v>72</v>
      </c>
      <c r="D3045" t="s">
        <v>13</v>
      </c>
    </row>
    <row r="3046" spans="1:4" x14ac:dyDescent="0.35">
      <c r="A3046">
        <v>589</v>
      </c>
      <c r="B3046" t="s">
        <v>2311</v>
      </c>
      <c r="C3046" t="s">
        <v>72</v>
      </c>
      <c r="D3046" t="s">
        <v>13</v>
      </c>
    </row>
    <row r="3047" spans="1:4" x14ac:dyDescent="0.35">
      <c r="A3047">
        <v>589</v>
      </c>
      <c r="B3047" t="s">
        <v>2312</v>
      </c>
      <c r="C3047" t="s">
        <v>72</v>
      </c>
      <c r="D3047" t="s">
        <v>13</v>
      </c>
    </row>
    <row r="3048" spans="1:4" x14ac:dyDescent="0.35">
      <c r="A3048">
        <v>589</v>
      </c>
      <c r="B3048" t="s">
        <v>2313</v>
      </c>
      <c r="C3048" t="s">
        <v>72</v>
      </c>
      <c r="D3048" t="s">
        <v>13</v>
      </c>
    </row>
    <row r="3049" spans="1:4" x14ac:dyDescent="0.35">
      <c r="A3049">
        <v>590</v>
      </c>
      <c r="B3049" t="s">
        <v>2314</v>
      </c>
      <c r="C3049" t="s">
        <v>45</v>
      </c>
      <c r="D3049" t="s">
        <v>6</v>
      </c>
    </row>
    <row r="3050" spans="1:4" x14ac:dyDescent="0.35">
      <c r="A3050">
        <v>590</v>
      </c>
      <c r="B3050" t="s">
        <v>2315</v>
      </c>
      <c r="C3050" t="s">
        <v>45</v>
      </c>
      <c r="D3050" t="s">
        <v>6</v>
      </c>
    </row>
    <row r="3051" spans="1:4" x14ac:dyDescent="0.35">
      <c r="A3051">
        <v>590</v>
      </c>
      <c r="B3051" t="s">
        <v>2316</v>
      </c>
      <c r="C3051" t="s">
        <v>45</v>
      </c>
      <c r="D3051" t="s">
        <v>6</v>
      </c>
    </row>
    <row r="3052" spans="1:4" x14ac:dyDescent="0.35">
      <c r="A3052">
        <v>590</v>
      </c>
      <c r="B3052" t="s">
        <v>2317</v>
      </c>
      <c r="C3052" t="s">
        <v>45</v>
      </c>
      <c r="D3052" t="s">
        <v>6</v>
      </c>
    </row>
    <row r="3053" spans="1:4" x14ac:dyDescent="0.35">
      <c r="A3053">
        <v>590</v>
      </c>
      <c r="B3053" t="s">
        <v>681</v>
      </c>
      <c r="C3053" t="s">
        <v>1072</v>
      </c>
      <c r="D3053" t="s">
        <v>13</v>
      </c>
    </row>
    <row r="3054" spans="1:4" x14ac:dyDescent="0.35">
      <c r="A3054">
        <v>590</v>
      </c>
      <c r="B3054" t="s">
        <v>2318</v>
      </c>
      <c r="C3054" t="s">
        <v>45</v>
      </c>
      <c r="D3054" t="s">
        <v>6</v>
      </c>
    </row>
    <row r="3055" spans="1:4" x14ac:dyDescent="0.35">
      <c r="A3055">
        <v>591</v>
      </c>
      <c r="B3055" t="s">
        <v>2319</v>
      </c>
      <c r="C3055" t="s">
        <v>93</v>
      </c>
      <c r="D3055" t="s">
        <v>13</v>
      </c>
    </row>
    <row r="3056" spans="1:4" x14ac:dyDescent="0.35">
      <c r="A3056">
        <v>591</v>
      </c>
      <c r="B3056" t="s">
        <v>1941</v>
      </c>
      <c r="C3056" t="s">
        <v>93</v>
      </c>
      <c r="D3056" t="s">
        <v>13</v>
      </c>
    </row>
    <row r="3057" spans="1:4" x14ac:dyDescent="0.35">
      <c r="A3057">
        <v>591</v>
      </c>
      <c r="B3057" t="s">
        <v>2320</v>
      </c>
      <c r="C3057" t="s">
        <v>56</v>
      </c>
      <c r="D3057" t="s">
        <v>13</v>
      </c>
    </row>
    <row r="3058" spans="1:4" x14ac:dyDescent="0.35">
      <c r="A3058">
        <v>592</v>
      </c>
      <c r="B3058" t="s">
        <v>2321</v>
      </c>
      <c r="C3058" t="s">
        <v>45</v>
      </c>
      <c r="D3058" t="s">
        <v>6</v>
      </c>
    </row>
    <row r="3059" spans="1:4" x14ac:dyDescent="0.35">
      <c r="A3059">
        <v>592</v>
      </c>
      <c r="B3059" t="s">
        <v>2322</v>
      </c>
      <c r="C3059" t="s">
        <v>45</v>
      </c>
      <c r="D3059" t="s">
        <v>6</v>
      </c>
    </row>
    <row r="3060" spans="1:4" x14ac:dyDescent="0.35">
      <c r="A3060">
        <v>592</v>
      </c>
      <c r="B3060" t="s">
        <v>2323</v>
      </c>
      <c r="C3060" t="s">
        <v>45</v>
      </c>
      <c r="D3060" t="s">
        <v>6</v>
      </c>
    </row>
    <row r="3061" spans="1:4" x14ac:dyDescent="0.35">
      <c r="A3061">
        <v>592</v>
      </c>
      <c r="B3061" t="s">
        <v>2324</v>
      </c>
      <c r="C3061" t="s">
        <v>45</v>
      </c>
      <c r="D3061" t="s">
        <v>6</v>
      </c>
    </row>
    <row r="3062" spans="1:4" x14ac:dyDescent="0.35">
      <c r="A3062">
        <v>592</v>
      </c>
      <c r="B3062" t="s">
        <v>2325</v>
      </c>
      <c r="C3062" t="s">
        <v>341</v>
      </c>
      <c r="D3062" t="s">
        <v>13</v>
      </c>
    </row>
    <row r="3063" spans="1:4" x14ac:dyDescent="0.35">
      <c r="A3063">
        <v>593</v>
      </c>
      <c r="B3063" t="s">
        <v>2326</v>
      </c>
      <c r="C3063" t="s">
        <v>261</v>
      </c>
      <c r="D3063" t="s">
        <v>13</v>
      </c>
    </row>
    <row r="3064" spans="1:4" x14ac:dyDescent="0.35">
      <c r="A3064">
        <v>593</v>
      </c>
      <c r="B3064" t="s">
        <v>2035</v>
      </c>
      <c r="C3064" t="s">
        <v>261</v>
      </c>
      <c r="D3064" t="s">
        <v>13</v>
      </c>
    </row>
    <row r="3065" spans="1:4" x14ac:dyDescent="0.35">
      <c r="A3065">
        <v>594</v>
      </c>
      <c r="B3065" t="s">
        <v>2327</v>
      </c>
      <c r="C3065" t="s">
        <v>19</v>
      </c>
      <c r="D3065" t="s">
        <v>13</v>
      </c>
    </row>
    <row r="3066" spans="1:4" x14ac:dyDescent="0.35">
      <c r="A3066">
        <v>594</v>
      </c>
      <c r="B3066" t="s">
        <v>2328</v>
      </c>
      <c r="C3066" t="s">
        <v>19</v>
      </c>
      <c r="D3066" t="s">
        <v>13</v>
      </c>
    </row>
    <row r="3067" spans="1:4" x14ac:dyDescent="0.35">
      <c r="A3067">
        <v>594</v>
      </c>
      <c r="B3067" t="s">
        <v>2329</v>
      </c>
      <c r="C3067" t="s">
        <v>19</v>
      </c>
      <c r="D3067" t="s">
        <v>13</v>
      </c>
    </row>
    <row r="3068" spans="1:4" x14ac:dyDescent="0.35">
      <c r="A3068">
        <v>594</v>
      </c>
      <c r="B3068" t="s">
        <v>2330</v>
      </c>
      <c r="C3068" t="s">
        <v>19</v>
      </c>
      <c r="D3068" t="s">
        <v>13</v>
      </c>
    </row>
    <row r="3069" spans="1:4" x14ac:dyDescent="0.35">
      <c r="A3069">
        <v>594</v>
      </c>
      <c r="B3069" t="s">
        <v>1978</v>
      </c>
      <c r="C3069" t="s">
        <v>19</v>
      </c>
      <c r="D3069" t="s">
        <v>13</v>
      </c>
    </row>
    <row r="3070" spans="1:4" x14ac:dyDescent="0.35">
      <c r="A3070">
        <v>594</v>
      </c>
      <c r="B3070" t="s">
        <v>2331</v>
      </c>
      <c r="C3070" t="s">
        <v>19</v>
      </c>
      <c r="D3070" t="s">
        <v>13</v>
      </c>
    </row>
    <row r="3071" spans="1:4" x14ac:dyDescent="0.35">
      <c r="A3071">
        <v>594</v>
      </c>
      <c r="B3071" t="s">
        <v>2332</v>
      </c>
      <c r="C3071" t="s">
        <v>19</v>
      </c>
      <c r="D3071" t="s">
        <v>13</v>
      </c>
    </row>
    <row r="3072" spans="1:4" x14ac:dyDescent="0.35">
      <c r="A3072">
        <v>594</v>
      </c>
      <c r="B3072" t="s">
        <v>2333</v>
      </c>
      <c r="C3072" t="s">
        <v>19</v>
      </c>
      <c r="D3072" t="s">
        <v>13</v>
      </c>
    </row>
    <row r="3073" spans="1:4" x14ac:dyDescent="0.35">
      <c r="A3073">
        <v>595</v>
      </c>
      <c r="B3073" t="s">
        <v>2334</v>
      </c>
      <c r="C3073" t="s">
        <v>45</v>
      </c>
      <c r="D3073" t="s">
        <v>6</v>
      </c>
    </row>
    <row r="3074" spans="1:4" x14ac:dyDescent="0.35">
      <c r="A3074">
        <v>595</v>
      </c>
      <c r="B3074" t="s">
        <v>2335</v>
      </c>
      <c r="C3074" t="s">
        <v>45</v>
      </c>
      <c r="D3074" t="s">
        <v>6</v>
      </c>
    </row>
    <row r="3075" spans="1:4" x14ac:dyDescent="0.35">
      <c r="A3075">
        <v>596</v>
      </c>
      <c r="B3075" t="s">
        <v>328</v>
      </c>
      <c r="C3075" t="s">
        <v>93</v>
      </c>
      <c r="D3075" t="s">
        <v>13</v>
      </c>
    </row>
    <row r="3076" spans="1:4" x14ac:dyDescent="0.35">
      <c r="A3076">
        <v>596</v>
      </c>
      <c r="B3076" t="s">
        <v>328</v>
      </c>
      <c r="C3076" t="s">
        <v>157</v>
      </c>
      <c r="D3076" t="s">
        <v>6</v>
      </c>
    </row>
    <row r="3077" spans="1:4" x14ac:dyDescent="0.35">
      <c r="A3077">
        <v>596</v>
      </c>
      <c r="B3077" t="s">
        <v>2336</v>
      </c>
      <c r="C3077" t="s">
        <v>93</v>
      </c>
      <c r="D3077" t="s">
        <v>13</v>
      </c>
    </row>
    <row r="3078" spans="1:4" x14ac:dyDescent="0.35">
      <c r="A3078">
        <v>596</v>
      </c>
      <c r="B3078" t="s">
        <v>2336</v>
      </c>
      <c r="C3078" t="s">
        <v>157</v>
      </c>
      <c r="D3078" t="s">
        <v>6</v>
      </c>
    </row>
    <row r="3079" spans="1:4" x14ac:dyDescent="0.35">
      <c r="A3079">
        <v>596</v>
      </c>
      <c r="B3079" t="s">
        <v>329</v>
      </c>
      <c r="C3079" t="s">
        <v>157</v>
      </c>
      <c r="D3079" t="s">
        <v>6</v>
      </c>
    </row>
    <row r="3080" spans="1:4" x14ac:dyDescent="0.35">
      <c r="A3080">
        <v>596</v>
      </c>
      <c r="B3080" t="s">
        <v>330</v>
      </c>
      <c r="C3080" t="s">
        <v>157</v>
      </c>
      <c r="D3080" t="s">
        <v>6</v>
      </c>
    </row>
    <row r="3081" spans="1:4" x14ac:dyDescent="0.35">
      <c r="A3081">
        <v>596</v>
      </c>
      <c r="B3081" t="s">
        <v>330</v>
      </c>
      <c r="C3081" t="s">
        <v>19</v>
      </c>
      <c r="D3081" t="s">
        <v>13</v>
      </c>
    </row>
    <row r="3082" spans="1:4" x14ac:dyDescent="0.35">
      <c r="A3082">
        <v>597</v>
      </c>
      <c r="B3082" t="s">
        <v>2337</v>
      </c>
      <c r="C3082" t="s">
        <v>19</v>
      </c>
      <c r="D3082" t="s">
        <v>13</v>
      </c>
    </row>
    <row r="3083" spans="1:4" x14ac:dyDescent="0.35">
      <c r="A3083">
        <v>597</v>
      </c>
      <c r="B3083" t="s">
        <v>2338</v>
      </c>
      <c r="C3083" t="s">
        <v>72</v>
      </c>
      <c r="D3083" t="s">
        <v>13</v>
      </c>
    </row>
    <row r="3084" spans="1:4" x14ac:dyDescent="0.35">
      <c r="A3084">
        <v>597</v>
      </c>
      <c r="B3084" t="s">
        <v>2339</v>
      </c>
      <c r="C3084" t="s">
        <v>72</v>
      </c>
      <c r="D3084" t="s">
        <v>13</v>
      </c>
    </row>
    <row r="3085" spans="1:4" x14ac:dyDescent="0.35">
      <c r="A3085">
        <v>597</v>
      </c>
      <c r="B3085" t="s">
        <v>2340</v>
      </c>
      <c r="C3085" t="s">
        <v>72</v>
      </c>
      <c r="D3085" t="s">
        <v>13</v>
      </c>
    </row>
    <row r="3086" spans="1:4" x14ac:dyDescent="0.35">
      <c r="A3086">
        <v>597</v>
      </c>
      <c r="B3086" t="s">
        <v>2341</v>
      </c>
      <c r="C3086" t="s">
        <v>72</v>
      </c>
      <c r="D3086" t="s">
        <v>13</v>
      </c>
    </row>
    <row r="3087" spans="1:4" x14ac:dyDescent="0.35">
      <c r="A3087">
        <v>597</v>
      </c>
      <c r="B3087" t="s">
        <v>2342</v>
      </c>
      <c r="C3087" t="s">
        <v>72</v>
      </c>
      <c r="D3087" t="s">
        <v>13</v>
      </c>
    </row>
    <row r="3088" spans="1:4" x14ac:dyDescent="0.35">
      <c r="A3088">
        <v>598</v>
      </c>
      <c r="B3088" t="s">
        <v>2343</v>
      </c>
      <c r="C3088" t="s">
        <v>45</v>
      </c>
      <c r="D3088" t="s">
        <v>6</v>
      </c>
    </row>
    <row r="3089" spans="1:4" x14ac:dyDescent="0.35">
      <c r="A3089">
        <v>598</v>
      </c>
      <c r="B3089" t="s">
        <v>1073</v>
      </c>
      <c r="C3089" t="s">
        <v>562</v>
      </c>
      <c r="D3089" t="s">
        <v>13</v>
      </c>
    </row>
    <row r="3090" spans="1:4" x14ac:dyDescent="0.35">
      <c r="A3090">
        <v>598</v>
      </c>
      <c r="B3090" t="s">
        <v>2344</v>
      </c>
      <c r="C3090" t="s">
        <v>245</v>
      </c>
      <c r="D3090" t="s">
        <v>13</v>
      </c>
    </row>
    <row r="3091" spans="1:4" x14ac:dyDescent="0.35">
      <c r="A3091">
        <v>598</v>
      </c>
      <c r="B3091" t="s">
        <v>2345</v>
      </c>
      <c r="C3091" t="s">
        <v>45</v>
      </c>
      <c r="D3091" t="s">
        <v>6</v>
      </c>
    </row>
    <row r="3092" spans="1:4" x14ac:dyDescent="0.35">
      <c r="A3092">
        <v>598</v>
      </c>
      <c r="B3092" t="s">
        <v>2346</v>
      </c>
      <c r="C3092" t="s">
        <v>45</v>
      </c>
      <c r="D3092" t="s">
        <v>6</v>
      </c>
    </row>
    <row r="3093" spans="1:4" x14ac:dyDescent="0.35">
      <c r="A3093">
        <v>598</v>
      </c>
      <c r="B3093" t="s">
        <v>2347</v>
      </c>
      <c r="C3093" t="s">
        <v>45</v>
      </c>
      <c r="D3093" t="s">
        <v>6</v>
      </c>
    </row>
    <row r="3094" spans="1:4" x14ac:dyDescent="0.35">
      <c r="A3094">
        <v>598</v>
      </c>
      <c r="B3094" t="s">
        <v>2348</v>
      </c>
      <c r="C3094" t="s">
        <v>45</v>
      </c>
      <c r="D3094" t="s">
        <v>6</v>
      </c>
    </row>
    <row r="3095" spans="1:4" x14ac:dyDescent="0.35">
      <c r="A3095">
        <v>598</v>
      </c>
      <c r="B3095" t="s">
        <v>1081</v>
      </c>
      <c r="C3095" t="s">
        <v>1072</v>
      </c>
      <c r="D3095" t="s">
        <v>13</v>
      </c>
    </row>
    <row r="3096" spans="1:4" x14ac:dyDescent="0.35">
      <c r="A3096">
        <v>599</v>
      </c>
      <c r="B3096" t="s">
        <v>2349</v>
      </c>
      <c r="C3096" t="s">
        <v>98</v>
      </c>
      <c r="D3096" t="s">
        <v>13</v>
      </c>
    </row>
    <row r="3097" spans="1:4" x14ac:dyDescent="0.35">
      <c r="A3097">
        <v>599</v>
      </c>
      <c r="B3097" t="s">
        <v>2350</v>
      </c>
      <c r="C3097" t="s">
        <v>98</v>
      </c>
      <c r="D3097" t="s">
        <v>13</v>
      </c>
    </row>
    <row r="3098" spans="1:4" x14ac:dyDescent="0.35">
      <c r="A3098">
        <v>599</v>
      </c>
      <c r="B3098" t="s">
        <v>2351</v>
      </c>
      <c r="C3098" t="s">
        <v>48</v>
      </c>
      <c r="D3098" t="s">
        <v>13</v>
      </c>
    </row>
    <row r="3099" spans="1:4" x14ac:dyDescent="0.35">
      <c r="A3099">
        <v>599</v>
      </c>
      <c r="B3099" t="s">
        <v>2352</v>
      </c>
      <c r="C3099" t="s">
        <v>19</v>
      </c>
      <c r="D3099" t="s">
        <v>13</v>
      </c>
    </row>
    <row r="3100" spans="1:4" x14ac:dyDescent="0.35">
      <c r="A3100">
        <v>599</v>
      </c>
      <c r="B3100" t="s">
        <v>2353</v>
      </c>
      <c r="C3100" t="s">
        <v>35</v>
      </c>
      <c r="D3100" t="s">
        <v>13</v>
      </c>
    </row>
    <row r="3101" spans="1:4" x14ac:dyDescent="0.35">
      <c r="A3101">
        <v>599</v>
      </c>
      <c r="B3101" t="s">
        <v>2353</v>
      </c>
      <c r="C3101" t="s">
        <v>48</v>
      </c>
      <c r="D3101" t="s">
        <v>13</v>
      </c>
    </row>
    <row r="3102" spans="1:4" x14ac:dyDescent="0.35">
      <c r="A3102">
        <v>599</v>
      </c>
      <c r="B3102" t="s">
        <v>2354</v>
      </c>
      <c r="C3102" t="s">
        <v>48</v>
      </c>
      <c r="D3102" t="s">
        <v>13</v>
      </c>
    </row>
    <row r="3103" spans="1:4" x14ac:dyDescent="0.35">
      <c r="A3103">
        <v>600</v>
      </c>
      <c r="B3103" t="s">
        <v>1605</v>
      </c>
      <c r="C3103" t="s">
        <v>189</v>
      </c>
      <c r="D3103" t="s">
        <v>6</v>
      </c>
    </row>
    <row r="3104" spans="1:4" x14ac:dyDescent="0.35">
      <c r="A3104">
        <v>600</v>
      </c>
      <c r="B3104" t="s">
        <v>2355</v>
      </c>
      <c r="C3104" t="s">
        <v>189</v>
      </c>
      <c r="D3104" t="s">
        <v>6</v>
      </c>
    </row>
    <row r="3105" spans="1:4" x14ac:dyDescent="0.35">
      <c r="A3105">
        <v>600</v>
      </c>
      <c r="B3105" t="s">
        <v>2356</v>
      </c>
      <c r="C3105" t="s">
        <v>189</v>
      </c>
      <c r="D3105" t="s">
        <v>6</v>
      </c>
    </row>
    <row r="3106" spans="1:4" x14ac:dyDescent="0.35">
      <c r="A3106">
        <v>600</v>
      </c>
      <c r="B3106" t="s">
        <v>2357</v>
      </c>
      <c r="C3106" t="s">
        <v>189</v>
      </c>
      <c r="D3106" t="s">
        <v>6</v>
      </c>
    </row>
    <row r="3107" spans="1:4" x14ac:dyDescent="0.35">
      <c r="A3107">
        <v>600</v>
      </c>
      <c r="B3107" t="s">
        <v>2358</v>
      </c>
      <c r="C3107" t="s">
        <v>189</v>
      </c>
      <c r="D3107" t="s">
        <v>6</v>
      </c>
    </row>
    <row r="3108" spans="1:4" x14ac:dyDescent="0.35">
      <c r="A3108">
        <v>600</v>
      </c>
      <c r="B3108" t="s">
        <v>2359</v>
      </c>
      <c r="C3108" t="s">
        <v>189</v>
      </c>
      <c r="D3108" t="s">
        <v>6</v>
      </c>
    </row>
    <row r="3109" spans="1:4" x14ac:dyDescent="0.35">
      <c r="A3109">
        <v>600</v>
      </c>
      <c r="B3109" t="s">
        <v>2360</v>
      </c>
      <c r="C3109" t="s">
        <v>189</v>
      </c>
      <c r="D3109" t="s">
        <v>6</v>
      </c>
    </row>
    <row r="3110" spans="1:4" x14ac:dyDescent="0.35">
      <c r="A3110">
        <v>601</v>
      </c>
      <c r="B3110" t="s">
        <v>2167</v>
      </c>
      <c r="C3110" t="s">
        <v>72</v>
      </c>
      <c r="D3110" t="s">
        <v>13</v>
      </c>
    </row>
    <row r="3111" spans="1:4" x14ac:dyDescent="0.35">
      <c r="A3111">
        <v>601</v>
      </c>
      <c r="B3111" t="s">
        <v>2361</v>
      </c>
      <c r="C3111" t="s">
        <v>72</v>
      </c>
      <c r="D3111" t="s">
        <v>13</v>
      </c>
    </row>
    <row r="3112" spans="1:4" x14ac:dyDescent="0.35">
      <c r="A3112">
        <v>601</v>
      </c>
      <c r="B3112" t="s">
        <v>2362</v>
      </c>
      <c r="C3112" t="s">
        <v>72</v>
      </c>
      <c r="D3112" t="s">
        <v>13</v>
      </c>
    </row>
    <row r="3113" spans="1:4" x14ac:dyDescent="0.35">
      <c r="A3113">
        <v>601</v>
      </c>
      <c r="B3113" t="s">
        <v>2363</v>
      </c>
      <c r="C3113" t="s">
        <v>72</v>
      </c>
      <c r="D3113" t="s">
        <v>13</v>
      </c>
    </row>
    <row r="3114" spans="1:4" x14ac:dyDescent="0.35">
      <c r="A3114">
        <v>602</v>
      </c>
      <c r="B3114" t="s">
        <v>2364</v>
      </c>
      <c r="C3114" t="s">
        <v>261</v>
      </c>
      <c r="D3114" t="s">
        <v>13</v>
      </c>
    </row>
    <row r="3115" spans="1:4" x14ac:dyDescent="0.35">
      <c r="A3115">
        <v>602</v>
      </c>
      <c r="B3115" t="s">
        <v>2365</v>
      </c>
      <c r="C3115" t="s">
        <v>261</v>
      </c>
      <c r="D3115" t="s">
        <v>13</v>
      </c>
    </row>
    <row r="3116" spans="1:4" x14ac:dyDescent="0.35">
      <c r="A3116">
        <v>602</v>
      </c>
      <c r="B3116" t="s">
        <v>2366</v>
      </c>
      <c r="C3116" t="s">
        <v>261</v>
      </c>
      <c r="D3116" t="s">
        <v>13</v>
      </c>
    </row>
    <row r="3117" spans="1:4" x14ac:dyDescent="0.35">
      <c r="A3117">
        <v>602</v>
      </c>
      <c r="B3117" t="s">
        <v>2366</v>
      </c>
      <c r="C3117" t="s">
        <v>189</v>
      </c>
      <c r="D3117" t="s">
        <v>6</v>
      </c>
    </row>
    <row r="3118" spans="1:4" x14ac:dyDescent="0.35">
      <c r="A3118">
        <v>603</v>
      </c>
      <c r="B3118" t="s">
        <v>2367</v>
      </c>
      <c r="C3118" t="s">
        <v>19</v>
      </c>
      <c r="D3118" t="s">
        <v>13</v>
      </c>
    </row>
    <row r="3119" spans="1:4" x14ac:dyDescent="0.35">
      <c r="A3119">
        <v>603</v>
      </c>
      <c r="B3119" t="s">
        <v>2368</v>
      </c>
      <c r="C3119" t="s">
        <v>19</v>
      </c>
      <c r="D3119" t="s">
        <v>13</v>
      </c>
    </row>
    <row r="3120" spans="1:4" x14ac:dyDescent="0.35">
      <c r="A3120">
        <v>603</v>
      </c>
      <c r="B3120" t="s">
        <v>2369</v>
      </c>
      <c r="C3120" t="s">
        <v>19</v>
      </c>
      <c r="D3120" t="s">
        <v>13</v>
      </c>
    </row>
    <row r="3121" spans="1:4" x14ac:dyDescent="0.35">
      <c r="A3121">
        <v>604</v>
      </c>
      <c r="B3121" t="s">
        <v>2370</v>
      </c>
      <c r="C3121" t="s">
        <v>93</v>
      </c>
      <c r="D3121" t="s">
        <v>13</v>
      </c>
    </row>
    <row r="3122" spans="1:4" x14ac:dyDescent="0.35">
      <c r="A3122">
        <v>604</v>
      </c>
      <c r="B3122" t="s">
        <v>2371</v>
      </c>
      <c r="C3122" t="s">
        <v>98</v>
      </c>
      <c r="D3122" t="s">
        <v>13</v>
      </c>
    </row>
    <row r="3123" spans="1:4" x14ac:dyDescent="0.35">
      <c r="A3123">
        <v>604</v>
      </c>
      <c r="B3123" t="s">
        <v>2372</v>
      </c>
      <c r="C3123" t="s">
        <v>2373</v>
      </c>
      <c r="D3123" t="s">
        <v>13</v>
      </c>
    </row>
    <row r="3124" spans="1:4" x14ac:dyDescent="0.35">
      <c r="A3124">
        <v>604</v>
      </c>
      <c r="B3124" t="s">
        <v>2374</v>
      </c>
      <c r="C3124" t="s">
        <v>164</v>
      </c>
      <c r="D3124" t="s">
        <v>13</v>
      </c>
    </row>
    <row r="3125" spans="1:4" x14ac:dyDescent="0.35">
      <c r="A3125">
        <v>604</v>
      </c>
      <c r="B3125" t="s">
        <v>2375</v>
      </c>
      <c r="C3125" t="s">
        <v>78</v>
      </c>
      <c r="D3125" t="s">
        <v>13</v>
      </c>
    </row>
    <row r="3126" spans="1:4" x14ac:dyDescent="0.35">
      <c r="A3126">
        <v>604</v>
      </c>
      <c r="B3126" t="s">
        <v>2376</v>
      </c>
      <c r="C3126" t="s">
        <v>98</v>
      </c>
      <c r="D3126" t="s">
        <v>13</v>
      </c>
    </row>
    <row r="3127" spans="1:4" x14ac:dyDescent="0.35">
      <c r="A3127">
        <v>604</v>
      </c>
      <c r="B3127" t="s">
        <v>2377</v>
      </c>
      <c r="C3127" t="s">
        <v>2378</v>
      </c>
      <c r="D3127" t="s">
        <v>13</v>
      </c>
    </row>
    <row r="3128" spans="1:4" x14ac:dyDescent="0.35">
      <c r="A3128">
        <v>604</v>
      </c>
      <c r="B3128" t="s">
        <v>2379</v>
      </c>
      <c r="C3128" t="s">
        <v>98</v>
      </c>
      <c r="D3128" t="s">
        <v>13</v>
      </c>
    </row>
    <row r="3129" spans="1:4" x14ac:dyDescent="0.35">
      <c r="A3129">
        <v>604</v>
      </c>
      <c r="B3129" t="s">
        <v>2380</v>
      </c>
      <c r="C3129" t="s">
        <v>98</v>
      </c>
      <c r="D3129" t="s">
        <v>13</v>
      </c>
    </row>
    <row r="3130" spans="1:4" x14ac:dyDescent="0.35">
      <c r="A3130">
        <v>604</v>
      </c>
      <c r="B3130" t="s">
        <v>2381</v>
      </c>
      <c r="C3130" t="s">
        <v>19</v>
      </c>
      <c r="D3130" t="s">
        <v>13</v>
      </c>
    </row>
    <row r="3131" spans="1:4" x14ac:dyDescent="0.35">
      <c r="A3131">
        <v>604</v>
      </c>
      <c r="B3131" t="s">
        <v>2382</v>
      </c>
      <c r="C3131" t="s">
        <v>93</v>
      </c>
      <c r="D3131" t="s">
        <v>13</v>
      </c>
    </row>
    <row r="3132" spans="1:4" x14ac:dyDescent="0.35">
      <c r="A3132">
        <v>604</v>
      </c>
      <c r="B3132" t="s">
        <v>2383</v>
      </c>
      <c r="C3132" t="s">
        <v>164</v>
      </c>
      <c r="D3132" t="s">
        <v>13</v>
      </c>
    </row>
    <row r="3133" spans="1:4" x14ac:dyDescent="0.35">
      <c r="A3133">
        <v>604</v>
      </c>
      <c r="B3133" t="s">
        <v>2383</v>
      </c>
      <c r="C3133" t="s">
        <v>2384</v>
      </c>
      <c r="D3133" t="s">
        <v>13</v>
      </c>
    </row>
    <row r="3134" spans="1:4" x14ac:dyDescent="0.35">
      <c r="A3134">
        <v>604</v>
      </c>
      <c r="B3134" t="s">
        <v>2385</v>
      </c>
      <c r="C3134" t="s">
        <v>1072</v>
      </c>
      <c r="D3134" t="s">
        <v>13</v>
      </c>
    </row>
    <row r="3135" spans="1:4" x14ac:dyDescent="0.35">
      <c r="A3135">
        <v>604</v>
      </c>
      <c r="B3135" t="s">
        <v>2386</v>
      </c>
      <c r="C3135" t="s">
        <v>667</v>
      </c>
      <c r="D3135" t="s">
        <v>13</v>
      </c>
    </row>
    <row r="3136" spans="1:4" x14ac:dyDescent="0.35">
      <c r="A3136">
        <v>604</v>
      </c>
      <c r="B3136" t="s">
        <v>2387</v>
      </c>
      <c r="C3136" t="s">
        <v>517</v>
      </c>
      <c r="D3136" t="s">
        <v>13</v>
      </c>
    </row>
    <row r="3137" spans="1:4" x14ac:dyDescent="0.35">
      <c r="A3137">
        <v>604</v>
      </c>
      <c r="B3137" t="s">
        <v>2388</v>
      </c>
      <c r="C3137" t="s">
        <v>35</v>
      </c>
      <c r="D3137" t="s">
        <v>13</v>
      </c>
    </row>
    <row r="3138" spans="1:4" x14ac:dyDescent="0.35">
      <c r="A3138">
        <v>604</v>
      </c>
      <c r="B3138" t="s">
        <v>2389</v>
      </c>
      <c r="C3138" t="s">
        <v>35</v>
      </c>
      <c r="D3138" t="s">
        <v>13</v>
      </c>
    </row>
    <row r="3139" spans="1:4" x14ac:dyDescent="0.35">
      <c r="A3139">
        <v>604</v>
      </c>
      <c r="B3139" t="s">
        <v>2390</v>
      </c>
      <c r="C3139" t="s">
        <v>352</v>
      </c>
      <c r="D3139" t="s">
        <v>13</v>
      </c>
    </row>
    <row r="3140" spans="1:4" x14ac:dyDescent="0.35">
      <c r="A3140">
        <v>604</v>
      </c>
      <c r="B3140" t="s">
        <v>2391</v>
      </c>
      <c r="C3140" t="s">
        <v>352</v>
      </c>
      <c r="D3140" t="s">
        <v>13</v>
      </c>
    </row>
    <row r="3141" spans="1:4" x14ac:dyDescent="0.35">
      <c r="A3141">
        <v>604</v>
      </c>
      <c r="B3141" t="s">
        <v>2392</v>
      </c>
      <c r="C3141" t="s">
        <v>78</v>
      </c>
      <c r="D3141" t="s">
        <v>13</v>
      </c>
    </row>
    <row r="3142" spans="1:4" x14ac:dyDescent="0.35">
      <c r="A3142">
        <v>604</v>
      </c>
      <c r="B3142" t="s">
        <v>2393</v>
      </c>
      <c r="C3142" t="s">
        <v>19</v>
      </c>
      <c r="D3142" t="s">
        <v>13</v>
      </c>
    </row>
    <row r="3143" spans="1:4" x14ac:dyDescent="0.35">
      <c r="A3143">
        <v>604</v>
      </c>
      <c r="B3143" t="s">
        <v>2394</v>
      </c>
      <c r="C3143" t="s">
        <v>517</v>
      </c>
      <c r="D3143" t="s">
        <v>13</v>
      </c>
    </row>
    <row r="3144" spans="1:4" x14ac:dyDescent="0.35">
      <c r="A3144">
        <v>604</v>
      </c>
      <c r="B3144" t="s">
        <v>2395</v>
      </c>
      <c r="C3144" t="s">
        <v>2378</v>
      </c>
      <c r="D3144" t="s">
        <v>13</v>
      </c>
    </row>
    <row r="3145" spans="1:4" x14ac:dyDescent="0.35">
      <c r="A3145">
        <v>604</v>
      </c>
      <c r="B3145" t="s">
        <v>2396</v>
      </c>
      <c r="C3145" t="s">
        <v>64</v>
      </c>
      <c r="D3145" t="s">
        <v>13</v>
      </c>
    </row>
    <row r="3146" spans="1:4" x14ac:dyDescent="0.35">
      <c r="A3146">
        <v>604</v>
      </c>
      <c r="B3146" t="s">
        <v>2397</v>
      </c>
      <c r="C3146" t="s">
        <v>1072</v>
      </c>
      <c r="D3146" t="s">
        <v>13</v>
      </c>
    </row>
    <row r="3147" spans="1:4" x14ac:dyDescent="0.35">
      <c r="A3147">
        <v>604</v>
      </c>
      <c r="B3147" t="s">
        <v>1120</v>
      </c>
      <c r="C3147" t="s">
        <v>56</v>
      </c>
      <c r="D3147" t="s">
        <v>13</v>
      </c>
    </row>
    <row r="3148" spans="1:4" x14ac:dyDescent="0.35">
      <c r="A3148">
        <v>604</v>
      </c>
      <c r="B3148" t="s">
        <v>2398</v>
      </c>
      <c r="C3148" t="s">
        <v>56</v>
      </c>
      <c r="D3148" t="s">
        <v>13</v>
      </c>
    </row>
    <row r="3149" spans="1:4" x14ac:dyDescent="0.35">
      <c r="A3149">
        <v>604</v>
      </c>
      <c r="B3149" t="s">
        <v>2399</v>
      </c>
      <c r="C3149" t="s">
        <v>1072</v>
      </c>
      <c r="D3149" t="s">
        <v>13</v>
      </c>
    </row>
    <row r="3150" spans="1:4" x14ac:dyDescent="0.35">
      <c r="A3150">
        <v>604</v>
      </c>
      <c r="B3150" t="s">
        <v>2400</v>
      </c>
      <c r="C3150" t="s">
        <v>19</v>
      </c>
      <c r="D3150" t="s">
        <v>13</v>
      </c>
    </row>
    <row r="3151" spans="1:4" x14ac:dyDescent="0.35">
      <c r="A3151">
        <v>605</v>
      </c>
      <c r="B3151" t="s">
        <v>212</v>
      </c>
      <c r="C3151" t="s">
        <v>5</v>
      </c>
      <c r="D3151" t="s">
        <v>6</v>
      </c>
    </row>
    <row r="3152" spans="1:4" x14ac:dyDescent="0.35">
      <c r="A3152">
        <v>605</v>
      </c>
      <c r="B3152" t="s">
        <v>2401</v>
      </c>
      <c r="C3152" t="s">
        <v>5</v>
      </c>
      <c r="D3152" t="s">
        <v>6</v>
      </c>
    </row>
    <row r="3153" spans="1:4" x14ac:dyDescent="0.35">
      <c r="A3153">
        <v>605</v>
      </c>
      <c r="B3153" t="s">
        <v>2402</v>
      </c>
      <c r="C3153" t="s">
        <v>5</v>
      </c>
      <c r="D3153" t="s">
        <v>6</v>
      </c>
    </row>
    <row r="3154" spans="1:4" x14ac:dyDescent="0.35">
      <c r="A3154">
        <v>605</v>
      </c>
      <c r="B3154" t="s">
        <v>2402</v>
      </c>
      <c r="C3154" t="s">
        <v>56</v>
      </c>
      <c r="D3154" t="s">
        <v>13</v>
      </c>
    </row>
    <row r="3155" spans="1:4" x14ac:dyDescent="0.35">
      <c r="A3155">
        <v>605</v>
      </c>
      <c r="B3155" t="s">
        <v>2403</v>
      </c>
      <c r="C3155" t="s">
        <v>56</v>
      </c>
      <c r="D3155" t="s">
        <v>13</v>
      </c>
    </row>
    <row r="3156" spans="1:4" x14ac:dyDescent="0.35">
      <c r="A3156">
        <v>605</v>
      </c>
      <c r="B3156" t="s">
        <v>2404</v>
      </c>
      <c r="C3156" t="s">
        <v>56</v>
      </c>
      <c r="D3156" t="s">
        <v>13</v>
      </c>
    </row>
    <row r="3157" spans="1:4" x14ac:dyDescent="0.35">
      <c r="A3157">
        <v>605</v>
      </c>
      <c r="B3157" t="s">
        <v>1185</v>
      </c>
      <c r="C3157" t="s">
        <v>56</v>
      </c>
      <c r="D3157" t="s">
        <v>13</v>
      </c>
    </row>
    <row r="3158" spans="1:4" x14ac:dyDescent="0.35">
      <c r="A3158">
        <v>605</v>
      </c>
      <c r="B3158" t="s">
        <v>1187</v>
      </c>
      <c r="C3158" t="s">
        <v>5</v>
      </c>
      <c r="D3158" t="s">
        <v>6</v>
      </c>
    </row>
    <row r="3159" spans="1:4" x14ac:dyDescent="0.35">
      <c r="A3159">
        <v>606</v>
      </c>
      <c r="B3159" t="s">
        <v>2405</v>
      </c>
      <c r="C3159" t="s">
        <v>93</v>
      </c>
      <c r="D3159" t="s">
        <v>13</v>
      </c>
    </row>
    <row r="3160" spans="1:4" x14ac:dyDescent="0.35">
      <c r="A3160">
        <v>606</v>
      </c>
      <c r="B3160" t="s">
        <v>2406</v>
      </c>
      <c r="C3160" t="s">
        <v>72</v>
      </c>
      <c r="D3160" t="s">
        <v>13</v>
      </c>
    </row>
    <row r="3161" spans="1:4" x14ac:dyDescent="0.35">
      <c r="A3161">
        <v>606</v>
      </c>
      <c r="B3161" t="s">
        <v>138</v>
      </c>
      <c r="C3161" t="s">
        <v>72</v>
      </c>
      <c r="D3161" t="s">
        <v>13</v>
      </c>
    </row>
    <row r="3162" spans="1:4" x14ac:dyDescent="0.35">
      <c r="A3162">
        <v>606</v>
      </c>
      <c r="B3162" t="s">
        <v>1317</v>
      </c>
      <c r="C3162" t="s">
        <v>231</v>
      </c>
      <c r="D3162" t="s">
        <v>6</v>
      </c>
    </row>
    <row r="3163" spans="1:4" x14ac:dyDescent="0.35">
      <c r="A3163">
        <v>606</v>
      </c>
      <c r="B3163" t="s">
        <v>2407</v>
      </c>
      <c r="C3163" t="s">
        <v>72</v>
      </c>
      <c r="D3163" t="s">
        <v>13</v>
      </c>
    </row>
    <row r="3164" spans="1:4" x14ac:dyDescent="0.35">
      <c r="A3164">
        <v>606</v>
      </c>
      <c r="B3164" t="s">
        <v>141</v>
      </c>
      <c r="C3164" t="s">
        <v>72</v>
      </c>
      <c r="D3164" t="s">
        <v>13</v>
      </c>
    </row>
    <row r="3165" spans="1:4" x14ac:dyDescent="0.35">
      <c r="A3165">
        <v>607</v>
      </c>
      <c r="B3165" t="s">
        <v>2408</v>
      </c>
      <c r="C3165" t="s">
        <v>189</v>
      </c>
      <c r="D3165" t="s">
        <v>6</v>
      </c>
    </row>
    <row r="3166" spans="1:4" x14ac:dyDescent="0.35">
      <c r="A3166">
        <v>607</v>
      </c>
      <c r="B3166" t="s">
        <v>1823</v>
      </c>
      <c r="C3166" t="s">
        <v>93</v>
      </c>
      <c r="D3166" t="s">
        <v>13</v>
      </c>
    </row>
    <row r="3167" spans="1:4" x14ac:dyDescent="0.35">
      <c r="A3167">
        <v>607</v>
      </c>
      <c r="B3167" t="s">
        <v>1823</v>
      </c>
      <c r="C3167" t="s">
        <v>40</v>
      </c>
      <c r="D3167" t="s">
        <v>13</v>
      </c>
    </row>
    <row r="3168" spans="1:4" x14ac:dyDescent="0.35">
      <c r="A3168">
        <v>607</v>
      </c>
      <c r="B3168" t="s">
        <v>2409</v>
      </c>
      <c r="C3168" t="s">
        <v>93</v>
      </c>
      <c r="D3168" t="s">
        <v>13</v>
      </c>
    </row>
    <row r="3169" spans="1:4" x14ac:dyDescent="0.35">
      <c r="A3169">
        <v>607</v>
      </c>
      <c r="B3169" t="s">
        <v>2410</v>
      </c>
      <c r="C3169" t="s">
        <v>93</v>
      </c>
      <c r="D3169" t="s">
        <v>13</v>
      </c>
    </row>
    <row r="3170" spans="1:4" x14ac:dyDescent="0.35">
      <c r="A3170">
        <v>607</v>
      </c>
      <c r="B3170" t="s">
        <v>1824</v>
      </c>
      <c r="C3170" t="s">
        <v>93</v>
      </c>
      <c r="D3170" t="s">
        <v>13</v>
      </c>
    </row>
    <row r="3171" spans="1:4" x14ac:dyDescent="0.35">
      <c r="A3171">
        <v>607</v>
      </c>
      <c r="B3171" t="s">
        <v>1825</v>
      </c>
      <c r="C3171" t="s">
        <v>93</v>
      </c>
      <c r="D3171" t="s">
        <v>13</v>
      </c>
    </row>
    <row r="3172" spans="1:4" x14ac:dyDescent="0.35">
      <c r="A3172">
        <v>607</v>
      </c>
      <c r="B3172" t="s">
        <v>2411</v>
      </c>
      <c r="C3172" t="s">
        <v>19</v>
      </c>
      <c r="D3172" t="s">
        <v>13</v>
      </c>
    </row>
    <row r="3173" spans="1:4" x14ac:dyDescent="0.35">
      <c r="A3173">
        <v>607</v>
      </c>
      <c r="B3173" t="s">
        <v>2411</v>
      </c>
      <c r="C3173" t="s">
        <v>98</v>
      </c>
      <c r="D3173" t="s">
        <v>13</v>
      </c>
    </row>
    <row r="3174" spans="1:4" x14ac:dyDescent="0.35">
      <c r="A3174">
        <v>607</v>
      </c>
      <c r="B3174" t="s">
        <v>2412</v>
      </c>
      <c r="C3174" t="s">
        <v>98</v>
      </c>
      <c r="D3174" t="s">
        <v>13</v>
      </c>
    </row>
    <row r="3175" spans="1:4" x14ac:dyDescent="0.35">
      <c r="A3175">
        <v>607</v>
      </c>
      <c r="B3175" t="s">
        <v>2413</v>
      </c>
      <c r="C3175" t="s">
        <v>93</v>
      </c>
      <c r="D3175" t="s">
        <v>13</v>
      </c>
    </row>
    <row r="3176" spans="1:4" x14ac:dyDescent="0.35">
      <c r="A3176">
        <v>607</v>
      </c>
      <c r="B3176" t="s">
        <v>2413</v>
      </c>
      <c r="C3176" t="s">
        <v>56</v>
      </c>
      <c r="D3176" t="s">
        <v>13</v>
      </c>
    </row>
    <row r="3177" spans="1:4" x14ac:dyDescent="0.35">
      <c r="A3177">
        <v>608</v>
      </c>
      <c r="B3177" t="s">
        <v>2414</v>
      </c>
      <c r="C3177" t="s">
        <v>352</v>
      </c>
      <c r="D3177" t="s">
        <v>13</v>
      </c>
    </row>
    <row r="3178" spans="1:4" x14ac:dyDescent="0.35">
      <c r="A3178">
        <v>608</v>
      </c>
      <c r="B3178" t="s">
        <v>2415</v>
      </c>
      <c r="C3178" t="s">
        <v>352</v>
      </c>
      <c r="D3178" t="s">
        <v>13</v>
      </c>
    </row>
    <row r="3179" spans="1:4" x14ac:dyDescent="0.35">
      <c r="A3179">
        <v>608</v>
      </c>
      <c r="B3179" t="s">
        <v>2416</v>
      </c>
      <c r="C3179" t="s">
        <v>352</v>
      </c>
      <c r="D3179" t="s">
        <v>13</v>
      </c>
    </row>
    <row r="3180" spans="1:4" x14ac:dyDescent="0.35">
      <c r="A3180">
        <v>608</v>
      </c>
      <c r="B3180" t="s">
        <v>2417</v>
      </c>
      <c r="C3180" t="s">
        <v>352</v>
      </c>
      <c r="D3180" t="s">
        <v>13</v>
      </c>
    </row>
    <row r="3181" spans="1:4" x14ac:dyDescent="0.35">
      <c r="A3181">
        <v>608</v>
      </c>
      <c r="B3181" t="s">
        <v>2418</v>
      </c>
      <c r="C3181" t="s">
        <v>562</v>
      </c>
      <c r="D3181" t="s">
        <v>13</v>
      </c>
    </row>
    <row r="3182" spans="1:4" x14ac:dyDescent="0.35">
      <c r="A3182">
        <v>608</v>
      </c>
      <c r="B3182" t="s">
        <v>2419</v>
      </c>
      <c r="C3182" t="s">
        <v>352</v>
      </c>
      <c r="D3182" t="s">
        <v>13</v>
      </c>
    </row>
    <row r="3183" spans="1:4" x14ac:dyDescent="0.35">
      <c r="A3183">
        <v>608</v>
      </c>
      <c r="B3183" t="s">
        <v>2420</v>
      </c>
      <c r="C3183" t="s">
        <v>352</v>
      </c>
      <c r="D3183" t="s">
        <v>13</v>
      </c>
    </row>
    <row r="3184" spans="1:4" x14ac:dyDescent="0.35">
      <c r="A3184">
        <v>608</v>
      </c>
      <c r="B3184" t="s">
        <v>2421</v>
      </c>
      <c r="C3184" t="s">
        <v>562</v>
      </c>
      <c r="D3184" t="s">
        <v>13</v>
      </c>
    </row>
    <row r="3185" spans="1:4" x14ac:dyDescent="0.35">
      <c r="A3185">
        <v>608</v>
      </c>
      <c r="B3185" t="s">
        <v>2422</v>
      </c>
      <c r="C3185" t="s">
        <v>562</v>
      </c>
      <c r="D3185" t="s">
        <v>13</v>
      </c>
    </row>
    <row r="3186" spans="1:4" x14ac:dyDescent="0.35">
      <c r="A3186">
        <v>608</v>
      </c>
      <c r="B3186" t="s">
        <v>2423</v>
      </c>
      <c r="C3186" t="s">
        <v>352</v>
      </c>
      <c r="D3186" t="s">
        <v>13</v>
      </c>
    </row>
    <row r="3187" spans="1:4" x14ac:dyDescent="0.35">
      <c r="A3187">
        <v>609</v>
      </c>
      <c r="B3187" t="s">
        <v>2424</v>
      </c>
      <c r="C3187" t="s">
        <v>56</v>
      </c>
      <c r="D3187" t="s">
        <v>13</v>
      </c>
    </row>
    <row r="3188" spans="1:4" x14ac:dyDescent="0.35">
      <c r="A3188">
        <v>609</v>
      </c>
      <c r="B3188" t="s">
        <v>1273</v>
      </c>
      <c r="C3188" t="s">
        <v>56</v>
      </c>
      <c r="D3188" t="s">
        <v>13</v>
      </c>
    </row>
    <row r="3189" spans="1:4" x14ac:dyDescent="0.35">
      <c r="A3189">
        <v>609</v>
      </c>
      <c r="B3189" t="s">
        <v>2425</v>
      </c>
      <c r="C3189" t="s">
        <v>56</v>
      </c>
      <c r="D3189" t="s">
        <v>13</v>
      </c>
    </row>
    <row r="3190" spans="1:4" x14ac:dyDescent="0.35">
      <c r="A3190">
        <v>609</v>
      </c>
      <c r="B3190" t="s">
        <v>2426</v>
      </c>
      <c r="C3190" t="s">
        <v>56</v>
      </c>
      <c r="D3190" t="s">
        <v>13</v>
      </c>
    </row>
    <row r="3191" spans="1:4" x14ac:dyDescent="0.35">
      <c r="A3191">
        <v>610</v>
      </c>
      <c r="B3191" t="s">
        <v>2427</v>
      </c>
      <c r="C3191" t="s">
        <v>189</v>
      </c>
      <c r="D3191" t="s">
        <v>6</v>
      </c>
    </row>
    <row r="3192" spans="1:4" x14ac:dyDescent="0.35">
      <c r="A3192">
        <v>610</v>
      </c>
      <c r="B3192" t="s">
        <v>2428</v>
      </c>
      <c r="C3192" t="s">
        <v>189</v>
      </c>
      <c r="D3192" t="s">
        <v>6</v>
      </c>
    </row>
    <row r="3193" spans="1:4" x14ac:dyDescent="0.35">
      <c r="A3193">
        <v>610</v>
      </c>
      <c r="B3193" t="s">
        <v>2429</v>
      </c>
      <c r="C3193" t="s">
        <v>189</v>
      </c>
      <c r="D3193" t="s">
        <v>6</v>
      </c>
    </row>
    <row r="3194" spans="1:4" x14ac:dyDescent="0.35">
      <c r="A3194">
        <v>610</v>
      </c>
      <c r="B3194" t="s">
        <v>2430</v>
      </c>
      <c r="C3194" t="s">
        <v>189</v>
      </c>
      <c r="D3194" t="s">
        <v>6</v>
      </c>
    </row>
    <row r="3195" spans="1:4" x14ac:dyDescent="0.35">
      <c r="A3195">
        <v>610</v>
      </c>
      <c r="B3195" t="s">
        <v>2431</v>
      </c>
      <c r="C3195" t="s">
        <v>189</v>
      </c>
      <c r="D3195" t="s">
        <v>6</v>
      </c>
    </row>
    <row r="3196" spans="1:4" x14ac:dyDescent="0.35">
      <c r="A3196">
        <v>610</v>
      </c>
      <c r="B3196" t="s">
        <v>2432</v>
      </c>
      <c r="C3196" t="s">
        <v>189</v>
      </c>
      <c r="D3196" t="s">
        <v>6</v>
      </c>
    </row>
    <row r="3197" spans="1:4" x14ac:dyDescent="0.35">
      <c r="A3197">
        <v>610</v>
      </c>
      <c r="B3197" t="s">
        <v>2433</v>
      </c>
      <c r="C3197" t="s">
        <v>189</v>
      </c>
      <c r="D3197" t="s">
        <v>6</v>
      </c>
    </row>
    <row r="3198" spans="1:4" x14ac:dyDescent="0.35">
      <c r="A3198">
        <v>610</v>
      </c>
      <c r="B3198" t="s">
        <v>2434</v>
      </c>
      <c r="C3198" t="s">
        <v>189</v>
      </c>
      <c r="D3198" t="s">
        <v>6</v>
      </c>
    </row>
    <row r="3199" spans="1:4" x14ac:dyDescent="0.35">
      <c r="A3199">
        <v>610</v>
      </c>
      <c r="B3199" t="s">
        <v>2435</v>
      </c>
      <c r="C3199" t="s">
        <v>189</v>
      </c>
      <c r="D3199" t="s">
        <v>6</v>
      </c>
    </row>
    <row r="3200" spans="1:4" x14ac:dyDescent="0.35">
      <c r="A3200">
        <v>611</v>
      </c>
      <c r="B3200" t="s">
        <v>356</v>
      </c>
      <c r="C3200" t="s">
        <v>231</v>
      </c>
      <c r="D3200" t="s">
        <v>6</v>
      </c>
    </row>
    <row r="3201" spans="1:4" x14ac:dyDescent="0.35">
      <c r="A3201">
        <v>611</v>
      </c>
      <c r="B3201" t="s">
        <v>293</v>
      </c>
      <c r="C3201" t="s">
        <v>101</v>
      </c>
      <c r="D3201" t="s">
        <v>6</v>
      </c>
    </row>
    <row r="3202" spans="1:4" x14ac:dyDescent="0.35">
      <c r="A3202">
        <v>611</v>
      </c>
      <c r="B3202" t="s">
        <v>413</v>
      </c>
      <c r="C3202" t="s">
        <v>189</v>
      </c>
      <c r="D3202" t="s">
        <v>6</v>
      </c>
    </row>
    <row r="3203" spans="1:4" x14ac:dyDescent="0.35">
      <c r="A3203">
        <v>611</v>
      </c>
      <c r="B3203" t="s">
        <v>357</v>
      </c>
      <c r="C3203" t="s">
        <v>231</v>
      </c>
      <c r="D3203" t="s">
        <v>6</v>
      </c>
    </row>
    <row r="3204" spans="1:4" x14ac:dyDescent="0.35">
      <c r="A3204">
        <v>611</v>
      </c>
      <c r="B3204" t="s">
        <v>358</v>
      </c>
      <c r="C3204" t="s">
        <v>231</v>
      </c>
      <c r="D3204" t="s">
        <v>6</v>
      </c>
    </row>
    <row r="3205" spans="1:4" x14ac:dyDescent="0.35">
      <c r="A3205">
        <v>611</v>
      </c>
      <c r="B3205" t="s">
        <v>415</v>
      </c>
      <c r="C3205" t="s">
        <v>45</v>
      </c>
      <c r="D3205" t="s">
        <v>6</v>
      </c>
    </row>
    <row r="3206" spans="1:4" x14ac:dyDescent="0.35">
      <c r="A3206">
        <v>611</v>
      </c>
      <c r="B3206" t="s">
        <v>416</v>
      </c>
      <c r="C3206" t="s">
        <v>45</v>
      </c>
      <c r="D3206" t="s">
        <v>6</v>
      </c>
    </row>
    <row r="3207" spans="1:4" x14ac:dyDescent="0.35">
      <c r="A3207">
        <v>611</v>
      </c>
      <c r="B3207" t="s">
        <v>359</v>
      </c>
      <c r="C3207" t="s">
        <v>231</v>
      </c>
      <c r="D3207" t="s">
        <v>6</v>
      </c>
    </row>
    <row r="3208" spans="1:4" x14ac:dyDescent="0.35">
      <c r="A3208">
        <v>611</v>
      </c>
      <c r="B3208" t="s">
        <v>417</v>
      </c>
      <c r="C3208" t="s">
        <v>5</v>
      </c>
      <c r="D3208" t="s">
        <v>6</v>
      </c>
    </row>
    <row r="3209" spans="1:4" x14ac:dyDescent="0.35">
      <c r="A3209">
        <v>611</v>
      </c>
      <c r="B3209" t="s">
        <v>406</v>
      </c>
      <c r="C3209" t="s">
        <v>189</v>
      </c>
      <c r="D3209" t="s">
        <v>6</v>
      </c>
    </row>
    <row r="3210" spans="1:4" x14ac:dyDescent="0.35">
      <c r="A3210">
        <v>611</v>
      </c>
      <c r="B3210" t="s">
        <v>406</v>
      </c>
      <c r="C3210" t="s">
        <v>231</v>
      </c>
      <c r="D3210" t="s">
        <v>6</v>
      </c>
    </row>
    <row r="3211" spans="1:4" x14ac:dyDescent="0.35">
      <c r="A3211">
        <v>611</v>
      </c>
      <c r="B3211" t="s">
        <v>360</v>
      </c>
      <c r="C3211" t="s">
        <v>231</v>
      </c>
      <c r="D3211" t="s">
        <v>6</v>
      </c>
    </row>
    <row r="3212" spans="1:4" x14ac:dyDescent="0.35">
      <c r="A3212">
        <v>612</v>
      </c>
      <c r="B3212" t="s">
        <v>2436</v>
      </c>
      <c r="C3212" t="s">
        <v>341</v>
      </c>
      <c r="D3212" t="s">
        <v>13</v>
      </c>
    </row>
    <row r="3213" spans="1:4" x14ac:dyDescent="0.35">
      <c r="A3213">
        <v>612</v>
      </c>
      <c r="B3213" t="s">
        <v>2437</v>
      </c>
      <c r="C3213" t="s">
        <v>157</v>
      </c>
      <c r="D3213" t="s">
        <v>6</v>
      </c>
    </row>
    <row r="3214" spans="1:4" x14ac:dyDescent="0.35">
      <c r="A3214">
        <v>613</v>
      </c>
      <c r="B3214" t="s">
        <v>2438</v>
      </c>
      <c r="C3214" t="s">
        <v>19</v>
      </c>
      <c r="D3214" t="s">
        <v>13</v>
      </c>
    </row>
    <row r="3215" spans="1:4" x14ac:dyDescent="0.35">
      <c r="A3215">
        <v>613</v>
      </c>
      <c r="B3215" t="s">
        <v>2439</v>
      </c>
      <c r="C3215" t="s">
        <v>19</v>
      </c>
      <c r="D3215" t="s">
        <v>13</v>
      </c>
    </row>
    <row r="3216" spans="1:4" x14ac:dyDescent="0.35">
      <c r="A3216">
        <v>613</v>
      </c>
      <c r="B3216" t="s">
        <v>2440</v>
      </c>
      <c r="C3216" t="s">
        <v>19</v>
      </c>
      <c r="D3216" t="s">
        <v>13</v>
      </c>
    </row>
    <row r="3217" spans="1:4" x14ac:dyDescent="0.35">
      <c r="A3217">
        <v>614</v>
      </c>
      <c r="B3217" t="s">
        <v>1250</v>
      </c>
      <c r="C3217" t="s">
        <v>5</v>
      </c>
      <c r="D3217" t="s">
        <v>6</v>
      </c>
    </row>
    <row r="3218" spans="1:4" x14ac:dyDescent="0.35">
      <c r="A3218">
        <v>614</v>
      </c>
      <c r="B3218" t="s">
        <v>1251</v>
      </c>
      <c r="C3218" t="s">
        <v>5</v>
      </c>
      <c r="D3218" t="s">
        <v>6</v>
      </c>
    </row>
    <row r="3219" spans="1:4" x14ac:dyDescent="0.35">
      <c r="A3219">
        <v>615</v>
      </c>
      <c r="B3219" t="s">
        <v>2441</v>
      </c>
      <c r="C3219" t="s">
        <v>189</v>
      </c>
      <c r="D3219" t="s">
        <v>6</v>
      </c>
    </row>
    <row r="3220" spans="1:4" x14ac:dyDescent="0.35">
      <c r="A3220">
        <v>615</v>
      </c>
      <c r="B3220" t="s">
        <v>2442</v>
      </c>
      <c r="C3220" t="s">
        <v>48</v>
      </c>
      <c r="D3220" t="s">
        <v>13</v>
      </c>
    </row>
    <row r="3221" spans="1:4" x14ac:dyDescent="0.35">
      <c r="A3221">
        <v>615</v>
      </c>
      <c r="B3221" t="s">
        <v>2443</v>
      </c>
      <c r="C3221" t="s">
        <v>189</v>
      </c>
      <c r="D3221" t="s">
        <v>6</v>
      </c>
    </row>
    <row r="3222" spans="1:4" x14ac:dyDescent="0.35">
      <c r="A3222">
        <v>615</v>
      </c>
      <c r="B3222" t="s">
        <v>2444</v>
      </c>
      <c r="C3222" t="s">
        <v>189</v>
      </c>
      <c r="D3222" t="s">
        <v>6</v>
      </c>
    </row>
    <row r="3223" spans="1:4" x14ac:dyDescent="0.35">
      <c r="A3223">
        <v>615</v>
      </c>
      <c r="B3223" t="s">
        <v>2445</v>
      </c>
      <c r="C3223" t="s">
        <v>189</v>
      </c>
      <c r="D3223" t="s">
        <v>6</v>
      </c>
    </row>
    <row r="3224" spans="1:4" x14ac:dyDescent="0.35">
      <c r="A3224">
        <v>615</v>
      </c>
      <c r="B3224" t="s">
        <v>2446</v>
      </c>
      <c r="C3224" t="s">
        <v>189</v>
      </c>
      <c r="D3224" t="s">
        <v>6</v>
      </c>
    </row>
    <row r="3225" spans="1:4" x14ac:dyDescent="0.35">
      <c r="A3225">
        <v>616</v>
      </c>
      <c r="B3225" t="s">
        <v>1110</v>
      </c>
      <c r="C3225" t="s">
        <v>352</v>
      </c>
      <c r="D3225" t="s">
        <v>13</v>
      </c>
    </row>
    <row r="3226" spans="1:4" x14ac:dyDescent="0.35">
      <c r="A3226">
        <v>616</v>
      </c>
      <c r="B3226" t="s">
        <v>1111</v>
      </c>
      <c r="C3226" t="s">
        <v>56</v>
      </c>
      <c r="D3226" t="s">
        <v>13</v>
      </c>
    </row>
    <row r="3227" spans="1:4" x14ac:dyDescent="0.35">
      <c r="A3227">
        <v>616</v>
      </c>
      <c r="B3227" t="s">
        <v>1111</v>
      </c>
      <c r="C3227" t="s">
        <v>189</v>
      </c>
      <c r="D3227" t="s">
        <v>6</v>
      </c>
    </row>
    <row r="3228" spans="1:4" x14ac:dyDescent="0.35">
      <c r="A3228">
        <v>616</v>
      </c>
      <c r="B3228" t="s">
        <v>1113</v>
      </c>
      <c r="C3228" t="s">
        <v>517</v>
      </c>
      <c r="D3228" t="s">
        <v>13</v>
      </c>
    </row>
    <row r="3229" spans="1:4" x14ac:dyDescent="0.35">
      <c r="A3229">
        <v>616</v>
      </c>
      <c r="B3229" t="s">
        <v>1114</v>
      </c>
      <c r="C3229" t="s">
        <v>35</v>
      </c>
      <c r="D3229" t="s">
        <v>13</v>
      </c>
    </row>
    <row r="3230" spans="1:4" x14ac:dyDescent="0.35">
      <c r="A3230">
        <v>616</v>
      </c>
      <c r="B3230" t="s">
        <v>2447</v>
      </c>
      <c r="C3230" t="s">
        <v>93</v>
      </c>
      <c r="D3230" t="s">
        <v>13</v>
      </c>
    </row>
    <row r="3231" spans="1:4" x14ac:dyDescent="0.35">
      <c r="A3231">
        <v>616</v>
      </c>
      <c r="B3231" t="s">
        <v>1116</v>
      </c>
      <c r="C3231" t="s">
        <v>93</v>
      </c>
      <c r="D3231" t="s">
        <v>13</v>
      </c>
    </row>
    <row r="3232" spans="1:4" x14ac:dyDescent="0.35">
      <c r="A3232">
        <v>616</v>
      </c>
      <c r="B3232" t="s">
        <v>840</v>
      </c>
      <c r="C3232" t="s">
        <v>189</v>
      </c>
      <c r="D3232" t="s">
        <v>6</v>
      </c>
    </row>
    <row r="3233" spans="1:4" x14ac:dyDescent="0.35">
      <c r="A3233">
        <v>616</v>
      </c>
      <c r="B3233" t="s">
        <v>1117</v>
      </c>
      <c r="C3233" t="s">
        <v>56</v>
      </c>
      <c r="D3233" t="s">
        <v>13</v>
      </c>
    </row>
    <row r="3234" spans="1:4" x14ac:dyDescent="0.35">
      <c r="A3234">
        <v>616</v>
      </c>
      <c r="B3234" t="s">
        <v>1118</v>
      </c>
      <c r="C3234" t="s">
        <v>93</v>
      </c>
      <c r="D3234" t="s">
        <v>13</v>
      </c>
    </row>
    <row r="3235" spans="1:4" x14ac:dyDescent="0.35">
      <c r="A3235">
        <v>616</v>
      </c>
      <c r="B3235" t="s">
        <v>1118</v>
      </c>
      <c r="C3235" t="s">
        <v>56</v>
      </c>
      <c r="D3235" t="s">
        <v>13</v>
      </c>
    </row>
    <row r="3236" spans="1:4" x14ac:dyDescent="0.35">
      <c r="A3236">
        <v>616</v>
      </c>
      <c r="B3236" t="s">
        <v>1119</v>
      </c>
      <c r="C3236" t="s">
        <v>164</v>
      </c>
      <c r="D3236" t="s">
        <v>13</v>
      </c>
    </row>
    <row r="3237" spans="1:4" x14ac:dyDescent="0.35">
      <c r="A3237">
        <v>616</v>
      </c>
      <c r="B3237" t="s">
        <v>1120</v>
      </c>
      <c r="C3237" t="s">
        <v>56</v>
      </c>
      <c r="D3237" t="s">
        <v>13</v>
      </c>
    </row>
    <row r="3238" spans="1:4" x14ac:dyDescent="0.35">
      <c r="A3238">
        <v>618</v>
      </c>
      <c r="B3238" t="s">
        <v>147</v>
      </c>
      <c r="C3238" t="s">
        <v>19</v>
      </c>
      <c r="D3238" t="s">
        <v>13</v>
      </c>
    </row>
    <row r="3239" spans="1:4" x14ac:dyDescent="0.35">
      <c r="A3239">
        <v>618</v>
      </c>
      <c r="B3239" t="s">
        <v>571</v>
      </c>
      <c r="C3239" t="s">
        <v>72</v>
      </c>
      <c r="D3239" t="s">
        <v>13</v>
      </c>
    </row>
    <row r="3240" spans="1:4" x14ac:dyDescent="0.35">
      <c r="A3240">
        <v>618</v>
      </c>
      <c r="B3240" t="s">
        <v>2448</v>
      </c>
      <c r="C3240" t="s">
        <v>157</v>
      </c>
      <c r="D3240" t="s">
        <v>6</v>
      </c>
    </row>
    <row r="3241" spans="1:4" x14ac:dyDescent="0.35">
      <c r="A3241">
        <v>619</v>
      </c>
      <c r="B3241" t="s">
        <v>1881</v>
      </c>
      <c r="C3241" t="s">
        <v>157</v>
      </c>
      <c r="D3241" t="s">
        <v>6</v>
      </c>
    </row>
    <row r="3242" spans="1:4" x14ac:dyDescent="0.35">
      <c r="A3242">
        <v>619</v>
      </c>
      <c r="B3242" t="s">
        <v>1821</v>
      </c>
      <c r="C3242" t="s">
        <v>157</v>
      </c>
      <c r="D3242" t="s">
        <v>6</v>
      </c>
    </row>
    <row r="3243" spans="1:4" x14ac:dyDescent="0.35">
      <c r="A3243">
        <v>620</v>
      </c>
      <c r="B3243" t="s">
        <v>2449</v>
      </c>
      <c r="C3243" t="s">
        <v>2450</v>
      </c>
      <c r="D3243" t="s">
        <v>13</v>
      </c>
    </row>
    <row r="3244" spans="1:4" x14ac:dyDescent="0.35">
      <c r="A3244">
        <v>620</v>
      </c>
      <c r="B3244" t="s">
        <v>2451</v>
      </c>
      <c r="C3244" t="s">
        <v>2450</v>
      </c>
      <c r="D3244" t="s">
        <v>13</v>
      </c>
    </row>
    <row r="3245" spans="1:4" x14ac:dyDescent="0.35">
      <c r="A3245">
        <v>621</v>
      </c>
      <c r="B3245" t="s">
        <v>2452</v>
      </c>
      <c r="C3245" t="s">
        <v>157</v>
      </c>
      <c r="D3245" t="s">
        <v>6</v>
      </c>
    </row>
    <row r="3246" spans="1:4" x14ac:dyDescent="0.35">
      <c r="A3246">
        <v>621</v>
      </c>
      <c r="B3246" t="s">
        <v>158</v>
      </c>
      <c r="C3246" t="s">
        <v>98</v>
      </c>
      <c r="D3246" t="s">
        <v>13</v>
      </c>
    </row>
    <row r="3247" spans="1:4" x14ac:dyDescent="0.35">
      <c r="A3247">
        <v>622</v>
      </c>
      <c r="B3247" t="s">
        <v>2453</v>
      </c>
      <c r="C3247" t="s">
        <v>93</v>
      </c>
      <c r="D3247" t="s">
        <v>13</v>
      </c>
    </row>
    <row r="3248" spans="1:4" x14ac:dyDescent="0.35">
      <c r="A3248">
        <v>622</v>
      </c>
      <c r="B3248" t="s">
        <v>2454</v>
      </c>
      <c r="C3248" t="s">
        <v>72</v>
      </c>
      <c r="D3248" t="s">
        <v>13</v>
      </c>
    </row>
    <row r="3249" spans="1:4" x14ac:dyDescent="0.35">
      <c r="A3249">
        <v>622</v>
      </c>
      <c r="B3249" t="s">
        <v>2455</v>
      </c>
      <c r="C3249" t="s">
        <v>72</v>
      </c>
      <c r="D3249" t="s">
        <v>13</v>
      </c>
    </row>
    <row r="3250" spans="1:4" x14ac:dyDescent="0.35">
      <c r="A3250">
        <v>623</v>
      </c>
      <c r="B3250" t="s">
        <v>1109</v>
      </c>
      <c r="C3250" t="s">
        <v>22</v>
      </c>
      <c r="D3250" t="s">
        <v>13</v>
      </c>
    </row>
    <row r="3251" spans="1:4" x14ac:dyDescent="0.35">
      <c r="A3251">
        <v>623</v>
      </c>
      <c r="B3251" t="s">
        <v>594</v>
      </c>
      <c r="C3251" t="s">
        <v>22</v>
      </c>
      <c r="D3251" t="s">
        <v>13</v>
      </c>
    </row>
    <row r="3252" spans="1:4" x14ac:dyDescent="0.35">
      <c r="A3252">
        <v>623</v>
      </c>
      <c r="B3252" t="s">
        <v>2456</v>
      </c>
      <c r="C3252" t="s">
        <v>48</v>
      </c>
      <c r="D3252" t="s">
        <v>13</v>
      </c>
    </row>
    <row r="3253" spans="1:4" x14ac:dyDescent="0.35">
      <c r="A3253">
        <v>624</v>
      </c>
      <c r="B3253" t="s">
        <v>2329</v>
      </c>
      <c r="C3253" t="s">
        <v>19</v>
      </c>
      <c r="D3253" t="s">
        <v>13</v>
      </c>
    </row>
    <row r="3254" spans="1:4" x14ac:dyDescent="0.35">
      <c r="A3254">
        <v>624</v>
      </c>
      <c r="B3254" t="s">
        <v>1978</v>
      </c>
      <c r="C3254" t="s">
        <v>72</v>
      </c>
      <c r="D3254" t="s">
        <v>13</v>
      </c>
    </row>
    <row r="3255" spans="1:4" x14ac:dyDescent="0.35">
      <c r="A3255">
        <v>624</v>
      </c>
      <c r="B3255" t="s">
        <v>1666</v>
      </c>
      <c r="C3255" t="s">
        <v>72</v>
      </c>
      <c r="D3255" t="s">
        <v>13</v>
      </c>
    </row>
    <row r="3256" spans="1:4" x14ac:dyDescent="0.35">
      <c r="A3256">
        <v>624</v>
      </c>
      <c r="B3256" t="s">
        <v>2457</v>
      </c>
      <c r="C3256" t="s">
        <v>19</v>
      </c>
      <c r="D3256" t="s">
        <v>13</v>
      </c>
    </row>
    <row r="3257" spans="1:4" x14ac:dyDescent="0.35">
      <c r="A3257">
        <v>625</v>
      </c>
      <c r="B3257" t="s">
        <v>2458</v>
      </c>
      <c r="C3257" t="s">
        <v>98</v>
      </c>
      <c r="D3257" t="s">
        <v>13</v>
      </c>
    </row>
    <row r="3258" spans="1:4" x14ac:dyDescent="0.35">
      <c r="A3258">
        <v>625</v>
      </c>
      <c r="B3258" t="s">
        <v>2459</v>
      </c>
      <c r="C3258" t="s">
        <v>93</v>
      </c>
      <c r="D3258" t="s">
        <v>13</v>
      </c>
    </row>
    <row r="3259" spans="1:4" x14ac:dyDescent="0.35">
      <c r="A3259">
        <v>625</v>
      </c>
      <c r="B3259" t="s">
        <v>2460</v>
      </c>
      <c r="C3259" t="s">
        <v>98</v>
      </c>
      <c r="D3259" t="s">
        <v>13</v>
      </c>
    </row>
    <row r="3260" spans="1:4" x14ac:dyDescent="0.35">
      <c r="A3260">
        <v>626</v>
      </c>
      <c r="B3260" t="s">
        <v>2461</v>
      </c>
      <c r="C3260" t="s">
        <v>22</v>
      </c>
      <c r="D3260" t="s">
        <v>13</v>
      </c>
    </row>
    <row r="3261" spans="1:4" x14ac:dyDescent="0.35">
      <c r="A3261">
        <v>626</v>
      </c>
      <c r="B3261" t="s">
        <v>2462</v>
      </c>
      <c r="C3261" t="s">
        <v>72</v>
      </c>
      <c r="D3261" t="s">
        <v>13</v>
      </c>
    </row>
    <row r="3262" spans="1:4" x14ac:dyDescent="0.35">
      <c r="A3262">
        <v>627</v>
      </c>
      <c r="B3262" t="s">
        <v>1673</v>
      </c>
      <c r="C3262" t="s">
        <v>35</v>
      </c>
      <c r="D3262" t="s">
        <v>13</v>
      </c>
    </row>
    <row r="3263" spans="1:4" x14ac:dyDescent="0.35">
      <c r="A3263">
        <v>627</v>
      </c>
      <c r="B3263" t="s">
        <v>1673</v>
      </c>
      <c r="C3263" t="s">
        <v>72</v>
      </c>
      <c r="D3263" t="s">
        <v>13</v>
      </c>
    </row>
    <row r="3264" spans="1:4" x14ac:dyDescent="0.35">
      <c r="A3264">
        <v>627</v>
      </c>
      <c r="B3264" t="s">
        <v>2463</v>
      </c>
      <c r="C3264" t="s">
        <v>72</v>
      </c>
      <c r="D3264" t="s">
        <v>13</v>
      </c>
    </row>
    <row r="3265" spans="1:4" x14ac:dyDescent="0.35">
      <c r="A3265">
        <v>627</v>
      </c>
      <c r="B3265" t="s">
        <v>1675</v>
      </c>
      <c r="C3265" t="s">
        <v>72</v>
      </c>
      <c r="D3265" t="s">
        <v>13</v>
      </c>
    </row>
    <row r="3266" spans="1:4" x14ac:dyDescent="0.35">
      <c r="A3266">
        <v>627</v>
      </c>
      <c r="B3266" t="s">
        <v>1676</v>
      </c>
      <c r="C3266" t="s">
        <v>35</v>
      </c>
      <c r="D3266" t="s">
        <v>13</v>
      </c>
    </row>
    <row r="3267" spans="1:4" x14ac:dyDescent="0.35">
      <c r="A3267">
        <v>628</v>
      </c>
      <c r="B3267" t="s">
        <v>2464</v>
      </c>
      <c r="C3267" t="s">
        <v>72</v>
      </c>
      <c r="D3267" t="s">
        <v>13</v>
      </c>
    </row>
    <row r="3268" spans="1:4" x14ac:dyDescent="0.35">
      <c r="A3268">
        <v>628</v>
      </c>
      <c r="B3268" t="s">
        <v>2062</v>
      </c>
      <c r="C3268" t="s">
        <v>72</v>
      </c>
      <c r="D3268" t="s">
        <v>13</v>
      </c>
    </row>
    <row r="3269" spans="1:4" x14ac:dyDescent="0.35">
      <c r="A3269">
        <v>629</v>
      </c>
      <c r="B3269" t="s">
        <v>2465</v>
      </c>
      <c r="C3269" t="s">
        <v>93</v>
      </c>
      <c r="D3269" t="s">
        <v>13</v>
      </c>
    </row>
    <row r="3270" spans="1:4" x14ac:dyDescent="0.35">
      <c r="A3270">
        <v>629</v>
      </c>
      <c r="B3270" t="s">
        <v>2465</v>
      </c>
      <c r="C3270" t="s">
        <v>2378</v>
      </c>
      <c r="D3270" t="s">
        <v>13</v>
      </c>
    </row>
    <row r="3271" spans="1:4" x14ac:dyDescent="0.35">
      <c r="A3271">
        <v>629</v>
      </c>
      <c r="B3271" t="s">
        <v>2465</v>
      </c>
      <c r="C3271" t="s">
        <v>98</v>
      </c>
      <c r="D3271" t="s">
        <v>13</v>
      </c>
    </row>
    <row r="3272" spans="1:4" x14ac:dyDescent="0.35">
      <c r="A3272">
        <v>629</v>
      </c>
      <c r="B3272" t="s">
        <v>2466</v>
      </c>
      <c r="C3272" t="s">
        <v>1192</v>
      </c>
      <c r="D3272" t="s">
        <v>13</v>
      </c>
    </row>
    <row r="3273" spans="1:4" x14ac:dyDescent="0.35">
      <c r="A3273">
        <v>629</v>
      </c>
      <c r="B3273" t="s">
        <v>2466</v>
      </c>
      <c r="C3273" t="s">
        <v>93</v>
      </c>
      <c r="D3273" t="s">
        <v>13</v>
      </c>
    </row>
    <row r="3274" spans="1:4" x14ac:dyDescent="0.35">
      <c r="A3274">
        <v>629</v>
      </c>
      <c r="B3274" t="s">
        <v>2467</v>
      </c>
      <c r="C3274" t="s">
        <v>35</v>
      </c>
      <c r="D3274" t="s">
        <v>13</v>
      </c>
    </row>
    <row r="3275" spans="1:4" x14ac:dyDescent="0.35">
      <c r="A3275">
        <v>629</v>
      </c>
      <c r="B3275" t="s">
        <v>2467</v>
      </c>
      <c r="C3275" t="s">
        <v>2378</v>
      </c>
      <c r="D3275" t="s">
        <v>13</v>
      </c>
    </row>
    <row r="3276" spans="1:4" x14ac:dyDescent="0.35">
      <c r="A3276">
        <v>629</v>
      </c>
      <c r="B3276" t="s">
        <v>2468</v>
      </c>
      <c r="C3276" t="s">
        <v>341</v>
      </c>
      <c r="D3276" t="s">
        <v>13</v>
      </c>
    </row>
    <row r="3277" spans="1:4" x14ac:dyDescent="0.35">
      <c r="A3277">
        <v>629</v>
      </c>
      <c r="B3277" t="s">
        <v>1090</v>
      </c>
      <c r="C3277" t="s">
        <v>78</v>
      </c>
      <c r="D3277" t="s">
        <v>13</v>
      </c>
    </row>
    <row r="3278" spans="1:4" x14ac:dyDescent="0.35">
      <c r="A3278">
        <v>629</v>
      </c>
      <c r="B3278" t="s">
        <v>1090</v>
      </c>
      <c r="C3278" t="s">
        <v>93</v>
      </c>
      <c r="D3278" t="s">
        <v>13</v>
      </c>
    </row>
    <row r="3279" spans="1:4" x14ac:dyDescent="0.35">
      <c r="A3279">
        <v>629</v>
      </c>
      <c r="B3279" t="s">
        <v>1506</v>
      </c>
      <c r="C3279" t="s">
        <v>93</v>
      </c>
      <c r="D3279" t="s">
        <v>13</v>
      </c>
    </row>
    <row r="3280" spans="1:4" x14ac:dyDescent="0.35">
      <c r="A3280">
        <v>629</v>
      </c>
      <c r="B3280" t="s">
        <v>2469</v>
      </c>
      <c r="C3280" t="s">
        <v>93</v>
      </c>
      <c r="D3280" t="s">
        <v>13</v>
      </c>
    </row>
    <row r="3281" spans="1:4" x14ac:dyDescent="0.35">
      <c r="A3281">
        <v>629</v>
      </c>
      <c r="B3281" t="s">
        <v>2470</v>
      </c>
      <c r="C3281" t="s">
        <v>35</v>
      </c>
      <c r="D3281" t="s">
        <v>13</v>
      </c>
    </row>
    <row r="3282" spans="1:4" x14ac:dyDescent="0.35">
      <c r="A3282">
        <v>629</v>
      </c>
      <c r="B3282" t="s">
        <v>2471</v>
      </c>
      <c r="C3282" t="s">
        <v>93</v>
      </c>
      <c r="D3282" t="s">
        <v>13</v>
      </c>
    </row>
    <row r="3283" spans="1:4" x14ac:dyDescent="0.35">
      <c r="A3283">
        <v>629</v>
      </c>
      <c r="B3283" t="s">
        <v>2472</v>
      </c>
      <c r="C3283" t="s">
        <v>35</v>
      </c>
      <c r="D3283" t="s">
        <v>13</v>
      </c>
    </row>
    <row r="3284" spans="1:4" x14ac:dyDescent="0.35">
      <c r="A3284">
        <v>629</v>
      </c>
      <c r="B3284" t="s">
        <v>2473</v>
      </c>
      <c r="C3284" t="s">
        <v>2378</v>
      </c>
      <c r="D3284" t="s">
        <v>13</v>
      </c>
    </row>
    <row r="3285" spans="1:4" x14ac:dyDescent="0.35">
      <c r="A3285">
        <v>629</v>
      </c>
      <c r="B3285" t="s">
        <v>2474</v>
      </c>
      <c r="C3285" t="s">
        <v>35</v>
      </c>
      <c r="D3285" t="s">
        <v>13</v>
      </c>
    </row>
    <row r="3286" spans="1:4" x14ac:dyDescent="0.35">
      <c r="A3286">
        <v>630</v>
      </c>
      <c r="B3286" t="s">
        <v>2475</v>
      </c>
      <c r="C3286" t="s">
        <v>72</v>
      </c>
      <c r="D3286" t="s">
        <v>13</v>
      </c>
    </row>
    <row r="3287" spans="1:4" x14ac:dyDescent="0.35">
      <c r="A3287">
        <v>630</v>
      </c>
      <c r="B3287" t="s">
        <v>2476</v>
      </c>
      <c r="C3287" t="s">
        <v>72</v>
      </c>
      <c r="D3287" t="s">
        <v>13</v>
      </c>
    </row>
    <row r="3288" spans="1:4" x14ac:dyDescent="0.35">
      <c r="A3288">
        <v>630</v>
      </c>
      <c r="B3288" t="s">
        <v>2477</v>
      </c>
      <c r="C3288" t="s">
        <v>72</v>
      </c>
      <c r="D3288" t="s">
        <v>13</v>
      </c>
    </row>
    <row r="3289" spans="1:4" x14ac:dyDescent="0.35">
      <c r="A3289">
        <v>631</v>
      </c>
      <c r="B3289" t="s">
        <v>2042</v>
      </c>
      <c r="C3289" t="s">
        <v>56</v>
      </c>
      <c r="D3289" t="s">
        <v>13</v>
      </c>
    </row>
    <row r="3290" spans="1:4" x14ac:dyDescent="0.35">
      <c r="A3290">
        <v>631</v>
      </c>
      <c r="B3290" t="s">
        <v>2043</v>
      </c>
      <c r="C3290" t="s">
        <v>56</v>
      </c>
      <c r="D3290" t="s">
        <v>13</v>
      </c>
    </row>
    <row r="3291" spans="1:4" x14ac:dyDescent="0.35">
      <c r="A3291">
        <v>631</v>
      </c>
      <c r="B3291" t="s">
        <v>2478</v>
      </c>
      <c r="C3291" t="s">
        <v>56</v>
      </c>
      <c r="D3291" t="s">
        <v>13</v>
      </c>
    </row>
    <row r="3292" spans="1:4" x14ac:dyDescent="0.35">
      <c r="A3292">
        <v>631</v>
      </c>
      <c r="B3292" t="s">
        <v>2479</v>
      </c>
      <c r="C3292" t="s">
        <v>56</v>
      </c>
      <c r="D3292" t="s">
        <v>13</v>
      </c>
    </row>
    <row r="3293" spans="1:4" x14ac:dyDescent="0.35">
      <c r="A3293">
        <v>631</v>
      </c>
      <c r="B3293" t="s">
        <v>2044</v>
      </c>
      <c r="C3293" t="s">
        <v>56</v>
      </c>
      <c r="D3293" t="s">
        <v>13</v>
      </c>
    </row>
    <row r="3294" spans="1:4" x14ac:dyDescent="0.35">
      <c r="A3294">
        <v>632</v>
      </c>
      <c r="B3294" t="s">
        <v>2480</v>
      </c>
      <c r="C3294" t="s">
        <v>72</v>
      </c>
      <c r="D3294" t="s">
        <v>13</v>
      </c>
    </row>
    <row r="3295" spans="1:4" x14ac:dyDescent="0.35">
      <c r="A3295">
        <v>632</v>
      </c>
      <c r="B3295" t="s">
        <v>2481</v>
      </c>
      <c r="C3295" t="s">
        <v>72</v>
      </c>
      <c r="D3295" t="s">
        <v>13</v>
      </c>
    </row>
    <row r="3296" spans="1:4" x14ac:dyDescent="0.35">
      <c r="A3296">
        <v>633</v>
      </c>
      <c r="B3296" t="s">
        <v>2482</v>
      </c>
      <c r="C3296" t="s">
        <v>25</v>
      </c>
      <c r="D3296" t="s">
        <v>13</v>
      </c>
    </row>
    <row r="3297" spans="1:4" x14ac:dyDescent="0.35">
      <c r="A3297">
        <v>633</v>
      </c>
      <c r="B3297" t="s">
        <v>2483</v>
      </c>
      <c r="C3297" t="s">
        <v>25</v>
      </c>
      <c r="D3297" t="s">
        <v>13</v>
      </c>
    </row>
    <row r="3298" spans="1:4" x14ac:dyDescent="0.35">
      <c r="A3298">
        <v>633</v>
      </c>
      <c r="B3298" t="s">
        <v>2484</v>
      </c>
      <c r="C3298" t="s">
        <v>25</v>
      </c>
      <c r="D3298" t="s">
        <v>13</v>
      </c>
    </row>
    <row r="3299" spans="1:4" x14ac:dyDescent="0.35">
      <c r="A3299">
        <v>633</v>
      </c>
      <c r="B3299" t="s">
        <v>2485</v>
      </c>
      <c r="C3299" t="s">
        <v>25</v>
      </c>
      <c r="D3299" t="s">
        <v>13</v>
      </c>
    </row>
    <row r="3300" spans="1:4" x14ac:dyDescent="0.35">
      <c r="A3300">
        <v>633</v>
      </c>
      <c r="B3300" t="s">
        <v>2486</v>
      </c>
      <c r="C3300" t="s">
        <v>25</v>
      </c>
      <c r="D3300" t="s">
        <v>13</v>
      </c>
    </row>
    <row r="3301" spans="1:4" x14ac:dyDescent="0.35">
      <c r="A3301">
        <v>633</v>
      </c>
      <c r="B3301" t="s">
        <v>2487</v>
      </c>
      <c r="C3301" t="s">
        <v>25</v>
      </c>
      <c r="D3301" t="s">
        <v>13</v>
      </c>
    </row>
    <row r="3302" spans="1:4" x14ac:dyDescent="0.35">
      <c r="A3302">
        <v>633</v>
      </c>
      <c r="B3302" t="s">
        <v>2488</v>
      </c>
      <c r="C3302" t="s">
        <v>25</v>
      </c>
      <c r="D3302" t="s">
        <v>13</v>
      </c>
    </row>
    <row r="3303" spans="1:4" x14ac:dyDescent="0.35">
      <c r="A3303">
        <v>633</v>
      </c>
      <c r="B3303" t="s">
        <v>2489</v>
      </c>
      <c r="C3303" t="s">
        <v>72</v>
      </c>
      <c r="D3303" t="s">
        <v>13</v>
      </c>
    </row>
    <row r="3304" spans="1:4" x14ac:dyDescent="0.35">
      <c r="A3304">
        <v>633</v>
      </c>
      <c r="B3304" t="s">
        <v>2489</v>
      </c>
      <c r="C3304" t="s">
        <v>93</v>
      </c>
      <c r="D3304" t="s">
        <v>13</v>
      </c>
    </row>
    <row r="3305" spans="1:4" x14ac:dyDescent="0.35">
      <c r="A3305">
        <v>633</v>
      </c>
      <c r="B3305" t="s">
        <v>2490</v>
      </c>
      <c r="C3305" t="s">
        <v>72</v>
      </c>
      <c r="D3305" t="s">
        <v>13</v>
      </c>
    </row>
    <row r="3306" spans="1:4" x14ac:dyDescent="0.35">
      <c r="A3306">
        <v>633</v>
      </c>
      <c r="B3306" t="s">
        <v>2491</v>
      </c>
      <c r="C3306" t="s">
        <v>25</v>
      </c>
      <c r="D3306" t="s">
        <v>13</v>
      </c>
    </row>
    <row r="3307" spans="1:4" x14ac:dyDescent="0.35">
      <c r="A3307">
        <v>634</v>
      </c>
      <c r="B3307" t="s">
        <v>2492</v>
      </c>
      <c r="C3307" t="s">
        <v>19</v>
      </c>
      <c r="D3307" t="s">
        <v>13</v>
      </c>
    </row>
    <row r="3308" spans="1:4" x14ac:dyDescent="0.35">
      <c r="A3308">
        <v>634</v>
      </c>
      <c r="B3308" t="s">
        <v>2493</v>
      </c>
      <c r="C3308" t="s">
        <v>164</v>
      </c>
      <c r="D3308" t="s">
        <v>13</v>
      </c>
    </row>
    <row r="3309" spans="1:4" x14ac:dyDescent="0.35">
      <c r="A3309">
        <v>634</v>
      </c>
      <c r="B3309" t="s">
        <v>2494</v>
      </c>
      <c r="C3309" t="s">
        <v>19</v>
      </c>
      <c r="D3309" t="s">
        <v>13</v>
      </c>
    </row>
    <row r="3310" spans="1:4" x14ac:dyDescent="0.35">
      <c r="A3310">
        <v>634</v>
      </c>
      <c r="B3310" t="s">
        <v>2495</v>
      </c>
      <c r="C3310" t="s">
        <v>19</v>
      </c>
      <c r="D3310" t="s">
        <v>13</v>
      </c>
    </row>
    <row r="3311" spans="1:4" x14ac:dyDescent="0.35">
      <c r="A3311">
        <v>634</v>
      </c>
      <c r="B3311" t="s">
        <v>2496</v>
      </c>
      <c r="C3311" t="s">
        <v>19</v>
      </c>
      <c r="D3311" t="s">
        <v>13</v>
      </c>
    </row>
    <row r="3312" spans="1:4" x14ac:dyDescent="0.35">
      <c r="A3312">
        <v>634</v>
      </c>
      <c r="B3312" t="s">
        <v>2497</v>
      </c>
      <c r="C3312" t="s">
        <v>19</v>
      </c>
      <c r="D3312" t="s">
        <v>13</v>
      </c>
    </row>
    <row r="3313" spans="1:4" x14ac:dyDescent="0.35">
      <c r="A3313">
        <v>634</v>
      </c>
      <c r="B3313" t="s">
        <v>2498</v>
      </c>
      <c r="C3313" t="s">
        <v>19</v>
      </c>
      <c r="D3313" t="s">
        <v>13</v>
      </c>
    </row>
    <row r="3314" spans="1:4" x14ac:dyDescent="0.35">
      <c r="A3314">
        <v>634</v>
      </c>
      <c r="B3314" t="s">
        <v>2499</v>
      </c>
      <c r="C3314" t="s">
        <v>19</v>
      </c>
      <c r="D3314" t="s">
        <v>13</v>
      </c>
    </row>
    <row r="3315" spans="1:4" x14ac:dyDescent="0.35">
      <c r="A3315">
        <v>634</v>
      </c>
      <c r="B3315" t="s">
        <v>2500</v>
      </c>
      <c r="C3315" t="s">
        <v>19</v>
      </c>
      <c r="D3315" t="s">
        <v>13</v>
      </c>
    </row>
    <row r="3316" spans="1:4" x14ac:dyDescent="0.35">
      <c r="A3316">
        <v>635</v>
      </c>
      <c r="B3316" t="s">
        <v>2501</v>
      </c>
      <c r="C3316" t="s">
        <v>72</v>
      </c>
      <c r="D3316" t="s">
        <v>13</v>
      </c>
    </row>
    <row r="3317" spans="1:4" x14ac:dyDescent="0.35">
      <c r="A3317">
        <v>635</v>
      </c>
      <c r="B3317" t="s">
        <v>2502</v>
      </c>
      <c r="C3317" t="s">
        <v>72</v>
      </c>
      <c r="D3317" t="s">
        <v>13</v>
      </c>
    </row>
    <row r="3318" spans="1:4" x14ac:dyDescent="0.35">
      <c r="A3318">
        <v>635</v>
      </c>
      <c r="B3318" t="s">
        <v>2503</v>
      </c>
      <c r="C3318" t="s">
        <v>72</v>
      </c>
      <c r="D3318" t="s">
        <v>13</v>
      </c>
    </row>
    <row r="3319" spans="1:4" x14ac:dyDescent="0.35">
      <c r="A3319">
        <v>635</v>
      </c>
      <c r="B3319" t="s">
        <v>2504</v>
      </c>
      <c r="C3319" t="s">
        <v>72</v>
      </c>
      <c r="D3319" t="s">
        <v>13</v>
      </c>
    </row>
    <row r="3320" spans="1:4" x14ac:dyDescent="0.35">
      <c r="A3320">
        <v>636</v>
      </c>
      <c r="B3320" t="s">
        <v>2505</v>
      </c>
      <c r="C3320" t="s">
        <v>72</v>
      </c>
      <c r="D3320" t="s">
        <v>13</v>
      </c>
    </row>
    <row r="3321" spans="1:4" x14ac:dyDescent="0.35">
      <c r="A3321">
        <v>636</v>
      </c>
      <c r="B3321" t="s">
        <v>2506</v>
      </c>
      <c r="C3321" t="s">
        <v>72</v>
      </c>
      <c r="D3321" t="s">
        <v>13</v>
      </c>
    </row>
    <row r="3322" spans="1:4" x14ac:dyDescent="0.35">
      <c r="A3322">
        <v>636</v>
      </c>
      <c r="B3322" t="s">
        <v>2507</v>
      </c>
      <c r="C3322" t="s">
        <v>72</v>
      </c>
      <c r="D3322" t="s">
        <v>13</v>
      </c>
    </row>
    <row r="3323" spans="1:4" x14ac:dyDescent="0.35">
      <c r="A3323">
        <v>636</v>
      </c>
      <c r="B3323" t="s">
        <v>2240</v>
      </c>
      <c r="C3323" t="s">
        <v>72</v>
      </c>
      <c r="D3323" t="s">
        <v>13</v>
      </c>
    </row>
    <row r="3324" spans="1:4" x14ac:dyDescent="0.35">
      <c r="A3324">
        <v>637</v>
      </c>
      <c r="B3324" t="s">
        <v>2508</v>
      </c>
      <c r="C3324" t="s">
        <v>5</v>
      </c>
      <c r="D3324" t="s">
        <v>6</v>
      </c>
    </row>
    <row r="3325" spans="1:4" x14ac:dyDescent="0.35">
      <c r="A3325">
        <v>637</v>
      </c>
      <c r="B3325" t="s">
        <v>2509</v>
      </c>
      <c r="C3325" t="s">
        <v>72</v>
      </c>
      <c r="D3325" t="s">
        <v>13</v>
      </c>
    </row>
    <row r="3326" spans="1:4" x14ac:dyDescent="0.35">
      <c r="A3326">
        <v>637</v>
      </c>
      <c r="B3326" t="s">
        <v>1645</v>
      </c>
      <c r="C3326" t="s">
        <v>72</v>
      </c>
      <c r="D3326" t="s">
        <v>13</v>
      </c>
    </row>
    <row r="3327" spans="1:4" x14ac:dyDescent="0.35">
      <c r="A3327">
        <v>637</v>
      </c>
      <c r="B3327" t="s">
        <v>311</v>
      </c>
      <c r="C3327" t="s">
        <v>5</v>
      </c>
      <c r="D3327" t="s">
        <v>6</v>
      </c>
    </row>
    <row r="3328" spans="1:4" x14ac:dyDescent="0.35">
      <c r="A3328">
        <v>637</v>
      </c>
      <c r="B3328" t="s">
        <v>2510</v>
      </c>
      <c r="C3328" t="s">
        <v>72</v>
      </c>
      <c r="D3328" t="s">
        <v>13</v>
      </c>
    </row>
    <row r="3329" spans="1:4" x14ac:dyDescent="0.35">
      <c r="A3329">
        <v>637</v>
      </c>
      <c r="B3329" t="s">
        <v>2511</v>
      </c>
      <c r="C3329" t="s">
        <v>72</v>
      </c>
      <c r="D3329" t="s">
        <v>13</v>
      </c>
    </row>
    <row r="3330" spans="1:4" x14ac:dyDescent="0.35">
      <c r="A3330">
        <v>637</v>
      </c>
      <c r="B3330" t="s">
        <v>313</v>
      </c>
      <c r="C3330" t="s">
        <v>72</v>
      </c>
      <c r="D3330" t="s">
        <v>13</v>
      </c>
    </row>
    <row r="3331" spans="1:4" x14ac:dyDescent="0.35">
      <c r="A3331">
        <v>637</v>
      </c>
      <c r="B3331" t="s">
        <v>2512</v>
      </c>
      <c r="C3331" t="s">
        <v>72</v>
      </c>
      <c r="D3331" t="s">
        <v>13</v>
      </c>
    </row>
    <row r="3332" spans="1:4" x14ac:dyDescent="0.35">
      <c r="A3332">
        <v>638</v>
      </c>
      <c r="B3332" t="s">
        <v>2513</v>
      </c>
      <c r="C3332" t="s">
        <v>2261</v>
      </c>
      <c r="D3332" t="s">
        <v>13</v>
      </c>
    </row>
    <row r="3333" spans="1:4" x14ac:dyDescent="0.35">
      <c r="A3333">
        <v>638</v>
      </c>
      <c r="B3333" t="s">
        <v>2514</v>
      </c>
      <c r="C3333" t="s">
        <v>19</v>
      </c>
      <c r="D3333" t="s">
        <v>13</v>
      </c>
    </row>
    <row r="3334" spans="1:4" x14ac:dyDescent="0.35">
      <c r="A3334">
        <v>638</v>
      </c>
      <c r="B3334" t="s">
        <v>2515</v>
      </c>
      <c r="C3334" t="s">
        <v>2261</v>
      </c>
      <c r="D3334" t="s">
        <v>13</v>
      </c>
    </row>
    <row r="3335" spans="1:4" x14ac:dyDescent="0.35">
      <c r="A3335">
        <v>638</v>
      </c>
      <c r="B3335" t="s">
        <v>2516</v>
      </c>
      <c r="C3335" t="s">
        <v>2261</v>
      </c>
      <c r="D3335" t="s">
        <v>13</v>
      </c>
    </row>
    <row r="3336" spans="1:4" x14ac:dyDescent="0.35">
      <c r="A3336">
        <v>639</v>
      </c>
      <c r="B3336" t="s">
        <v>2517</v>
      </c>
      <c r="C3336" t="s">
        <v>56</v>
      </c>
      <c r="D3336" t="s">
        <v>13</v>
      </c>
    </row>
    <row r="3337" spans="1:4" x14ac:dyDescent="0.35">
      <c r="A3337">
        <v>640</v>
      </c>
      <c r="B3337" t="s">
        <v>2518</v>
      </c>
      <c r="C3337" t="s">
        <v>189</v>
      </c>
      <c r="D3337" t="s">
        <v>6</v>
      </c>
    </row>
    <row r="3338" spans="1:4" x14ac:dyDescent="0.35">
      <c r="A3338">
        <v>640</v>
      </c>
      <c r="B3338" t="s">
        <v>2519</v>
      </c>
      <c r="C3338" t="s">
        <v>517</v>
      </c>
      <c r="D3338" t="s">
        <v>13</v>
      </c>
    </row>
    <row r="3339" spans="1:4" x14ac:dyDescent="0.35">
      <c r="A3339">
        <v>640</v>
      </c>
      <c r="B3339" t="s">
        <v>2520</v>
      </c>
      <c r="C3339" t="s">
        <v>517</v>
      </c>
      <c r="D3339" t="s">
        <v>13</v>
      </c>
    </row>
    <row r="3340" spans="1:4" x14ac:dyDescent="0.35">
      <c r="A3340">
        <v>640</v>
      </c>
      <c r="B3340" t="s">
        <v>2521</v>
      </c>
      <c r="C3340" t="s">
        <v>189</v>
      </c>
      <c r="D3340" t="s">
        <v>6</v>
      </c>
    </row>
    <row r="3341" spans="1:4" x14ac:dyDescent="0.35">
      <c r="A3341">
        <v>641</v>
      </c>
      <c r="B3341" t="s">
        <v>2522</v>
      </c>
      <c r="C3341" t="s">
        <v>1744</v>
      </c>
      <c r="D3341" t="s">
        <v>13</v>
      </c>
    </row>
    <row r="3342" spans="1:4" x14ac:dyDescent="0.35">
      <c r="A3342">
        <v>641</v>
      </c>
      <c r="B3342" t="s">
        <v>2498</v>
      </c>
      <c r="C3342" t="s">
        <v>19</v>
      </c>
      <c r="D3342" t="s">
        <v>13</v>
      </c>
    </row>
    <row r="3343" spans="1:4" x14ac:dyDescent="0.35">
      <c r="A3343">
        <v>641</v>
      </c>
      <c r="B3343" t="s">
        <v>2523</v>
      </c>
      <c r="C3343" t="s">
        <v>1744</v>
      </c>
      <c r="D3343" t="s">
        <v>13</v>
      </c>
    </row>
    <row r="3344" spans="1:4" x14ac:dyDescent="0.35">
      <c r="A3344">
        <v>642</v>
      </c>
      <c r="B3344" t="s">
        <v>2524</v>
      </c>
      <c r="C3344" t="s">
        <v>25</v>
      </c>
      <c r="D3344" t="s">
        <v>13</v>
      </c>
    </row>
    <row r="3345" spans="1:4" x14ac:dyDescent="0.35">
      <c r="A3345">
        <v>642</v>
      </c>
      <c r="B3345" t="s">
        <v>2525</v>
      </c>
      <c r="C3345" t="s">
        <v>25</v>
      </c>
      <c r="D3345" t="s">
        <v>13</v>
      </c>
    </row>
    <row r="3346" spans="1:4" x14ac:dyDescent="0.35">
      <c r="A3346">
        <v>642</v>
      </c>
      <c r="B3346" t="s">
        <v>2526</v>
      </c>
      <c r="C3346" t="s">
        <v>25</v>
      </c>
      <c r="D3346" t="s">
        <v>13</v>
      </c>
    </row>
    <row r="3347" spans="1:4" x14ac:dyDescent="0.35">
      <c r="A3347">
        <v>642</v>
      </c>
      <c r="B3347" t="s">
        <v>2527</v>
      </c>
      <c r="C3347" t="s">
        <v>25</v>
      </c>
      <c r="D3347" t="s">
        <v>13</v>
      </c>
    </row>
    <row r="3348" spans="1:4" x14ac:dyDescent="0.35">
      <c r="A3348">
        <v>643</v>
      </c>
      <c r="B3348" t="s">
        <v>2528</v>
      </c>
      <c r="C3348" t="s">
        <v>19</v>
      </c>
      <c r="D3348" t="s">
        <v>13</v>
      </c>
    </row>
    <row r="3349" spans="1:4" x14ac:dyDescent="0.35">
      <c r="A3349">
        <v>643</v>
      </c>
      <c r="B3349" t="s">
        <v>1702</v>
      </c>
      <c r="C3349" t="s">
        <v>72</v>
      </c>
      <c r="D3349" t="s">
        <v>13</v>
      </c>
    </row>
    <row r="3350" spans="1:4" x14ac:dyDescent="0.35">
      <c r="A3350">
        <v>643</v>
      </c>
      <c r="B3350" t="s">
        <v>1702</v>
      </c>
      <c r="C3350" t="s">
        <v>19</v>
      </c>
      <c r="D3350" t="s">
        <v>13</v>
      </c>
    </row>
    <row r="3351" spans="1:4" x14ac:dyDescent="0.35">
      <c r="A3351">
        <v>643</v>
      </c>
      <c r="B3351" t="s">
        <v>2529</v>
      </c>
      <c r="C3351" t="s">
        <v>72</v>
      </c>
      <c r="D3351" t="s">
        <v>13</v>
      </c>
    </row>
    <row r="3352" spans="1:4" x14ac:dyDescent="0.35">
      <c r="A3352">
        <v>644</v>
      </c>
      <c r="B3352" t="s">
        <v>618</v>
      </c>
      <c r="C3352" t="s">
        <v>72</v>
      </c>
      <c r="D3352" t="s">
        <v>13</v>
      </c>
    </row>
    <row r="3353" spans="1:4" x14ac:dyDescent="0.35">
      <c r="A3353">
        <v>644</v>
      </c>
      <c r="B3353" t="s">
        <v>619</v>
      </c>
      <c r="C3353" t="s">
        <v>72</v>
      </c>
      <c r="D3353" t="s">
        <v>13</v>
      </c>
    </row>
    <row r="3354" spans="1:4" x14ac:dyDescent="0.35">
      <c r="A3354">
        <v>645</v>
      </c>
      <c r="B3354" t="s">
        <v>1226</v>
      </c>
      <c r="C3354" t="s">
        <v>72</v>
      </c>
      <c r="D3354" t="s">
        <v>13</v>
      </c>
    </row>
    <row r="3355" spans="1:4" x14ac:dyDescent="0.35">
      <c r="A3355">
        <v>645</v>
      </c>
      <c r="B3355" t="s">
        <v>2530</v>
      </c>
      <c r="C3355" t="s">
        <v>72</v>
      </c>
      <c r="D3355" t="s">
        <v>13</v>
      </c>
    </row>
    <row r="3356" spans="1:4" x14ac:dyDescent="0.35">
      <c r="A3356">
        <v>645</v>
      </c>
      <c r="B3356" t="s">
        <v>2531</v>
      </c>
      <c r="C3356" t="s">
        <v>72</v>
      </c>
      <c r="D3356" t="s">
        <v>13</v>
      </c>
    </row>
    <row r="3357" spans="1:4" x14ac:dyDescent="0.35">
      <c r="A3357">
        <v>645</v>
      </c>
      <c r="B3357" t="s">
        <v>2532</v>
      </c>
      <c r="C3357" t="s">
        <v>72</v>
      </c>
      <c r="D3357" t="s">
        <v>13</v>
      </c>
    </row>
    <row r="3358" spans="1:4" x14ac:dyDescent="0.35">
      <c r="A3358">
        <v>646</v>
      </c>
      <c r="B3358" t="s">
        <v>2533</v>
      </c>
      <c r="C3358" t="s">
        <v>19</v>
      </c>
      <c r="D3358" t="s">
        <v>13</v>
      </c>
    </row>
    <row r="3359" spans="1:4" x14ac:dyDescent="0.35">
      <c r="A3359">
        <v>646</v>
      </c>
      <c r="B3359" t="s">
        <v>2533</v>
      </c>
      <c r="C3359" t="s">
        <v>189</v>
      </c>
      <c r="D3359" t="s">
        <v>6</v>
      </c>
    </row>
    <row r="3360" spans="1:4" x14ac:dyDescent="0.35">
      <c r="A3360">
        <v>646</v>
      </c>
      <c r="B3360" t="s">
        <v>2534</v>
      </c>
      <c r="C3360" t="s">
        <v>19</v>
      </c>
      <c r="D3360" t="s">
        <v>13</v>
      </c>
    </row>
    <row r="3361" spans="1:4" x14ac:dyDescent="0.35">
      <c r="A3361">
        <v>646</v>
      </c>
      <c r="B3361" t="s">
        <v>2535</v>
      </c>
      <c r="C3361" t="s">
        <v>19</v>
      </c>
      <c r="D3361" t="s">
        <v>13</v>
      </c>
    </row>
    <row r="3362" spans="1:4" x14ac:dyDescent="0.35">
      <c r="A3362">
        <v>646</v>
      </c>
      <c r="B3362" t="s">
        <v>2536</v>
      </c>
      <c r="C3362" t="s">
        <v>189</v>
      </c>
      <c r="D3362" t="s">
        <v>6</v>
      </c>
    </row>
    <row r="3363" spans="1:4" x14ac:dyDescent="0.35">
      <c r="A3363">
        <v>647</v>
      </c>
      <c r="B3363" t="s">
        <v>2537</v>
      </c>
      <c r="C3363" t="s">
        <v>93</v>
      </c>
      <c r="D3363" t="s">
        <v>13</v>
      </c>
    </row>
    <row r="3364" spans="1:4" x14ac:dyDescent="0.35">
      <c r="A3364">
        <v>647</v>
      </c>
      <c r="B3364" t="s">
        <v>2538</v>
      </c>
      <c r="C3364" t="s">
        <v>93</v>
      </c>
      <c r="D3364" t="s">
        <v>13</v>
      </c>
    </row>
    <row r="3365" spans="1:4" x14ac:dyDescent="0.35">
      <c r="A3365">
        <v>647</v>
      </c>
      <c r="B3365" t="s">
        <v>2539</v>
      </c>
      <c r="C3365" t="s">
        <v>93</v>
      </c>
      <c r="D3365" t="s">
        <v>13</v>
      </c>
    </row>
    <row r="3366" spans="1:4" x14ac:dyDescent="0.35">
      <c r="A3366">
        <v>647</v>
      </c>
      <c r="B3366" t="s">
        <v>2540</v>
      </c>
      <c r="C3366" t="s">
        <v>93</v>
      </c>
      <c r="D3366" t="s">
        <v>13</v>
      </c>
    </row>
    <row r="3367" spans="1:4" x14ac:dyDescent="0.35">
      <c r="A3367">
        <v>648</v>
      </c>
      <c r="B3367" t="s">
        <v>2480</v>
      </c>
      <c r="C3367" t="s">
        <v>72</v>
      </c>
      <c r="D3367" t="s">
        <v>13</v>
      </c>
    </row>
    <row r="3368" spans="1:4" x14ac:dyDescent="0.35">
      <c r="A3368">
        <v>648</v>
      </c>
      <c r="B3368" t="s">
        <v>2541</v>
      </c>
      <c r="C3368" t="s">
        <v>72</v>
      </c>
      <c r="D3368" t="s">
        <v>13</v>
      </c>
    </row>
    <row r="3369" spans="1:4" x14ac:dyDescent="0.35">
      <c r="A3369">
        <v>649</v>
      </c>
      <c r="B3369" t="s">
        <v>2542</v>
      </c>
      <c r="C3369" t="s">
        <v>19</v>
      </c>
      <c r="D3369" t="s">
        <v>13</v>
      </c>
    </row>
    <row r="3370" spans="1:4" x14ac:dyDescent="0.35">
      <c r="A3370">
        <v>649</v>
      </c>
      <c r="B3370" t="s">
        <v>2543</v>
      </c>
      <c r="C3370" t="s">
        <v>19</v>
      </c>
      <c r="D3370" t="s">
        <v>13</v>
      </c>
    </row>
    <row r="3371" spans="1:4" x14ac:dyDescent="0.35">
      <c r="A3371">
        <v>650</v>
      </c>
      <c r="B3371" t="s">
        <v>2544</v>
      </c>
      <c r="C3371" t="s">
        <v>72</v>
      </c>
      <c r="D3371" t="s">
        <v>13</v>
      </c>
    </row>
    <row r="3372" spans="1:4" x14ac:dyDescent="0.35">
      <c r="A3372">
        <v>650</v>
      </c>
      <c r="B3372" t="s">
        <v>2545</v>
      </c>
      <c r="C3372" t="s">
        <v>72</v>
      </c>
      <c r="D3372" t="s">
        <v>13</v>
      </c>
    </row>
    <row r="3373" spans="1:4" x14ac:dyDescent="0.35">
      <c r="A3373">
        <v>650</v>
      </c>
      <c r="B3373" t="s">
        <v>2546</v>
      </c>
      <c r="C3373" t="s">
        <v>64</v>
      </c>
      <c r="D3373" t="s">
        <v>13</v>
      </c>
    </row>
    <row r="3374" spans="1:4" x14ac:dyDescent="0.35">
      <c r="A3374">
        <v>651</v>
      </c>
      <c r="B3374" t="s">
        <v>2547</v>
      </c>
      <c r="C3374" t="s">
        <v>72</v>
      </c>
      <c r="D3374" t="s">
        <v>13</v>
      </c>
    </row>
    <row r="3375" spans="1:4" x14ac:dyDescent="0.35">
      <c r="A3375">
        <v>651</v>
      </c>
      <c r="B3375" t="s">
        <v>2548</v>
      </c>
      <c r="C3375" t="s">
        <v>72</v>
      </c>
      <c r="D3375" t="s">
        <v>13</v>
      </c>
    </row>
    <row r="3376" spans="1:4" x14ac:dyDescent="0.35">
      <c r="A3376">
        <v>651</v>
      </c>
      <c r="B3376" t="s">
        <v>1146</v>
      </c>
      <c r="C3376" t="s">
        <v>72</v>
      </c>
      <c r="D3376" t="s">
        <v>13</v>
      </c>
    </row>
    <row r="3377" spans="1:4" x14ac:dyDescent="0.35">
      <c r="A3377">
        <v>651</v>
      </c>
      <c r="B3377" t="s">
        <v>2549</v>
      </c>
      <c r="C3377" t="s">
        <v>72</v>
      </c>
      <c r="D3377" t="s">
        <v>13</v>
      </c>
    </row>
    <row r="3378" spans="1:4" x14ac:dyDescent="0.35">
      <c r="A3378">
        <v>652</v>
      </c>
      <c r="B3378" t="s">
        <v>2550</v>
      </c>
      <c r="C3378" t="s">
        <v>19</v>
      </c>
      <c r="D3378" t="s">
        <v>13</v>
      </c>
    </row>
    <row r="3379" spans="1:4" x14ac:dyDescent="0.35">
      <c r="A3379">
        <v>652</v>
      </c>
      <c r="B3379" t="s">
        <v>496</v>
      </c>
      <c r="C3379" t="s">
        <v>19</v>
      </c>
      <c r="D3379" t="s">
        <v>13</v>
      </c>
    </row>
    <row r="3380" spans="1:4" x14ac:dyDescent="0.35">
      <c r="A3380">
        <v>652</v>
      </c>
      <c r="B3380" t="s">
        <v>496</v>
      </c>
      <c r="C3380" t="s">
        <v>497</v>
      </c>
      <c r="D3380" t="s">
        <v>13</v>
      </c>
    </row>
    <row r="3381" spans="1:4" x14ac:dyDescent="0.35">
      <c r="A3381">
        <v>653</v>
      </c>
      <c r="B3381" t="s">
        <v>2551</v>
      </c>
      <c r="C3381" t="s">
        <v>48</v>
      </c>
      <c r="D3381" t="s">
        <v>13</v>
      </c>
    </row>
    <row r="3382" spans="1:4" x14ac:dyDescent="0.35">
      <c r="A3382">
        <v>653</v>
      </c>
      <c r="B3382" t="s">
        <v>2552</v>
      </c>
      <c r="C3382" t="s">
        <v>48</v>
      </c>
      <c r="D3382" t="s">
        <v>13</v>
      </c>
    </row>
    <row r="3383" spans="1:4" x14ac:dyDescent="0.35">
      <c r="A3383">
        <v>653</v>
      </c>
      <c r="B3383" t="s">
        <v>2553</v>
      </c>
      <c r="C3383" t="s">
        <v>48</v>
      </c>
      <c r="D3383" t="s">
        <v>13</v>
      </c>
    </row>
    <row r="3384" spans="1:4" x14ac:dyDescent="0.35">
      <c r="A3384">
        <v>653</v>
      </c>
      <c r="B3384" t="s">
        <v>2553</v>
      </c>
      <c r="C3384" t="s">
        <v>1896</v>
      </c>
      <c r="D3384" t="s">
        <v>13</v>
      </c>
    </row>
    <row r="3385" spans="1:4" x14ac:dyDescent="0.35">
      <c r="A3385">
        <v>653</v>
      </c>
      <c r="B3385" t="s">
        <v>2554</v>
      </c>
      <c r="C3385" t="s">
        <v>48</v>
      </c>
      <c r="D3385" t="s">
        <v>13</v>
      </c>
    </row>
    <row r="3386" spans="1:4" x14ac:dyDescent="0.35">
      <c r="A3386">
        <v>654</v>
      </c>
      <c r="B3386" t="s">
        <v>2011</v>
      </c>
      <c r="C3386" t="s">
        <v>72</v>
      </c>
      <c r="D3386" t="s">
        <v>13</v>
      </c>
    </row>
    <row r="3387" spans="1:4" x14ac:dyDescent="0.35">
      <c r="A3387">
        <v>654</v>
      </c>
      <c r="B3387" t="s">
        <v>2555</v>
      </c>
      <c r="C3387" t="s">
        <v>72</v>
      </c>
      <c r="D3387" t="s">
        <v>13</v>
      </c>
    </row>
    <row r="3388" spans="1:4" x14ac:dyDescent="0.35">
      <c r="A3388">
        <v>654</v>
      </c>
      <c r="B3388" t="s">
        <v>1711</v>
      </c>
      <c r="C3388" t="s">
        <v>19</v>
      </c>
      <c r="D3388" t="s">
        <v>13</v>
      </c>
    </row>
    <row r="3389" spans="1:4" x14ac:dyDescent="0.35">
      <c r="A3389">
        <v>654</v>
      </c>
      <c r="B3389" t="s">
        <v>1711</v>
      </c>
      <c r="C3389" t="s">
        <v>72</v>
      </c>
      <c r="D3389" t="s">
        <v>13</v>
      </c>
    </row>
    <row r="3390" spans="1:4" x14ac:dyDescent="0.35">
      <c r="A3390">
        <v>655</v>
      </c>
      <c r="B3390" t="s">
        <v>2556</v>
      </c>
      <c r="C3390" t="s">
        <v>16</v>
      </c>
      <c r="D3390" t="s">
        <v>13</v>
      </c>
    </row>
    <row r="3391" spans="1:4" x14ac:dyDescent="0.35">
      <c r="A3391">
        <v>655</v>
      </c>
      <c r="B3391" t="s">
        <v>2557</v>
      </c>
      <c r="C3391" t="s">
        <v>16</v>
      </c>
      <c r="D3391" t="s">
        <v>13</v>
      </c>
    </row>
    <row r="3392" spans="1:4" x14ac:dyDescent="0.35">
      <c r="A3392">
        <v>655</v>
      </c>
      <c r="B3392" t="s">
        <v>2558</v>
      </c>
      <c r="C3392" t="s">
        <v>16</v>
      </c>
      <c r="D3392" t="s">
        <v>13</v>
      </c>
    </row>
    <row r="3393" spans="1:4" x14ac:dyDescent="0.35">
      <c r="A3393">
        <v>655</v>
      </c>
      <c r="B3393" t="s">
        <v>2559</v>
      </c>
      <c r="C3393" t="s">
        <v>16</v>
      </c>
      <c r="D3393" t="s">
        <v>13</v>
      </c>
    </row>
    <row r="3394" spans="1:4" x14ac:dyDescent="0.35">
      <c r="A3394">
        <v>655</v>
      </c>
      <c r="B3394" t="s">
        <v>2560</v>
      </c>
      <c r="C3394" t="s">
        <v>16</v>
      </c>
      <c r="D3394" t="s">
        <v>13</v>
      </c>
    </row>
    <row r="3395" spans="1:4" x14ac:dyDescent="0.35">
      <c r="A3395">
        <v>656</v>
      </c>
      <c r="B3395" t="s">
        <v>2561</v>
      </c>
      <c r="C3395" t="s">
        <v>144</v>
      </c>
      <c r="D3395" t="s">
        <v>13</v>
      </c>
    </row>
    <row r="3396" spans="1:4" x14ac:dyDescent="0.35">
      <c r="A3396">
        <v>656</v>
      </c>
      <c r="B3396" t="s">
        <v>2561</v>
      </c>
      <c r="C3396" t="s">
        <v>157</v>
      </c>
      <c r="D3396" t="s">
        <v>6</v>
      </c>
    </row>
    <row r="3397" spans="1:4" x14ac:dyDescent="0.35">
      <c r="A3397">
        <v>656</v>
      </c>
      <c r="B3397" t="s">
        <v>1869</v>
      </c>
      <c r="C3397" t="s">
        <v>19</v>
      </c>
      <c r="D3397" t="s">
        <v>13</v>
      </c>
    </row>
    <row r="3398" spans="1:4" x14ac:dyDescent="0.35">
      <c r="A3398">
        <v>656</v>
      </c>
      <c r="B3398" t="s">
        <v>1871</v>
      </c>
      <c r="C3398" t="s">
        <v>157</v>
      </c>
      <c r="D3398" t="s">
        <v>6</v>
      </c>
    </row>
    <row r="3399" spans="1:4" x14ac:dyDescent="0.35">
      <c r="A3399">
        <v>656</v>
      </c>
      <c r="B3399" t="s">
        <v>1871</v>
      </c>
      <c r="C3399" t="s">
        <v>19</v>
      </c>
      <c r="D3399" t="s">
        <v>13</v>
      </c>
    </row>
    <row r="3400" spans="1:4" x14ac:dyDescent="0.35">
      <c r="A3400">
        <v>656</v>
      </c>
      <c r="B3400" t="s">
        <v>2562</v>
      </c>
      <c r="C3400" t="s">
        <v>19</v>
      </c>
      <c r="D3400" t="s">
        <v>13</v>
      </c>
    </row>
    <row r="3401" spans="1:4" x14ac:dyDescent="0.35">
      <c r="A3401">
        <v>656</v>
      </c>
      <c r="B3401" t="s">
        <v>2563</v>
      </c>
      <c r="C3401" t="s">
        <v>19</v>
      </c>
      <c r="D3401" t="s">
        <v>13</v>
      </c>
    </row>
    <row r="3402" spans="1:4" x14ac:dyDescent="0.35">
      <c r="A3402">
        <v>656</v>
      </c>
      <c r="B3402" t="s">
        <v>2564</v>
      </c>
      <c r="C3402" t="s">
        <v>19</v>
      </c>
      <c r="D3402" t="s">
        <v>13</v>
      </c>
    </row>
    <row r="3403" spans="1:4" x14ac:dyDescent="0.35">
      <c r="A3403">
        <v>656</v>
      </c>
      <c r="B3403" t="s">
        <v>2565</v>
      </c>
      <c r="C3403" t="s">
        <v>157</v>
      </c>
      <c r="D3403" t="s">
        <v>6</v>
      </c>
    </row>
    <row r="3404" spans="1:4" x14ac:dyDescent="0.35">
      <c r="A3404">
        <v>656</v>
      </c>
      <c r="B3404" t="s">
        <v>2566</v>
      </c>
      <c r="C3404" t="s">
        <v>45</v>
      </c>
      <c r="D3404" t="s">
        <v>6</v>
      </c>
    </row>
    <row r="3405" spans="1:4" x14ac:dyDescent="0.35">
      <c r="A3405">
        <v>656</v>
      </c>
      <c r="B3405" t="s">
        <v>2567</v>
      </c>
      <c r="C3405" t="s">
        <v>45</v>
      </c>
      <c r="D3405" t="s">
        <v>6</v>
      </c>
    </row>
    <row r="3406" spans="1:4" x14ac:dyDescent="0.35">
      <c r="A3406">
        <v>657</v>
      </c>
      <c r="B3406" t="s">
        <v>2568</v>
      </c>
      <c r="C3406" t="s">
        <v>98</v>
      </c>
      <c r="D3406" t="s">
        <v>13</v>
      </c>
    </row>
    <row r="3407" spans="1:4" x14ac:dyDescent="0.35">
      <c r="A3407">
        <v>657</v>
      </c>
      <c r="B3407" t="s">
        <v>2569</v>
      </c>
      <c r="C3407" t="s">
        <v>35</v>
      </c>
      <c r="D3407" t="s">
        <v>13</v>
      </c>
    </row>
    <row r="3408" spans="1:4" x14ac:dyDescent="0.35">
      <c r="A3408">
        <v>657</v>
      </c>
      <c r="B3408" t="s">
        <v>444</v>
      </c>
      <c r="C3408" t="s">
        <v>35</v>
      </c>
      <c r="D3408" t="s">
        <v>13</v>
      </c>
    </row>
    <row r="3409" spans="1:4" x14ac:dyDescent="0.35">
      <c r="A3409">
        <v>657</v>
      </c>
      <c r="B3409" t="s">
        <v>2570</v>
      </c>
      <c r="C3409" t="s">
        <v>35</v>
      </c>
      <c r="D3409" t="s">
        <v>13</v>
      </c>
    </row>
    <row r="3410" spans="1:4" x14ac:dyDescent="0.35">
      <c r="A3410">
        <v>657</v>
      </c>
      <c r="B3410" t="s">
        <v>826</v>
      </c>
      <c r="C3410" t="s">
        <v>45</v>
      </c>
      <c r="D3410" t="s">
        <v>6</v>
      </c>
    </row>
    <row r="3411" spans="1:4" x14ac:dyDescent="0.35">
      <c r="A3411">
        <v>658</v>
      </c>
      <c r="B3411" t="s">
        <v>2571</v>
      </c>
      <c r="C3411" t="s">
        <v>45</v>
      </c>
      <c r="D3411" t="s">
        <v>6</v>
      </c>
    </row>
    <row r="3412" spans="1:4" x14ac:dyDescent="0.35">
      <c r="A3412">
        <v>658</v>
      </c>
      <c r="B3412" t="s">
        <v>2572</v>
      </c>
      <c r="C3412" t="s">
        <v>517</v>
      </c>
      <c r="D3412" t="s">
        <v>13</v>
      </c>
    </row>
    <row r="3413" spans="1:4" x14ac:dyDescent="0.35">
      <c r="A3413">
        <v>658</v>
      </c>
      <c r="B3413" t="s">
        <v>2573</v>
      </c>
      <c r="C3413" t="s">
        <v>45</v>
      </c>
      <c r="D3413" t="s">
        <v>6</v>
      </c>
    </row>
    <row r="3414" spans="1:4" x14ac:dyDescent="0.35">
      <c r="A3414">
        <v>658</v>
      </c>
      <c r="B3414" t="s">
        <v>2574</v>
      </c>
      <c r="C3414" t="s">
        <v>517</v>
      </c>
      <c r="D3414" t="s">
        <v>13</v>
      </c>
    </row>
    <row r="3415" spans="1:4" x14ac:dyDescent="0.35">
      <c r="A3415">
        <v>658</v>
      </c>
      <c r="B3415" t="s">
        <v>2575</v>
      </c>
      <c r="C3415" t="s">
        <v>517</v>
      </c>
      <c r="D3415" t="s">
        <v>13</v>
      </c>
    </row>
    <row r="3416" spans="1:4" x14ac:dyDescent="0.35">
      <c r="A3416">
        <v>658</v>
      </c>
      <c r="B3416" t="s">
        <v>2576</v>
      </c>
      <c r="C3416" t="s">
        <v>157</v>
      </c>
      <c r="D3416" t="s">
        <v>6</v>
      </c>
    </row>
    <row r="3417" spans="1:4" x14ac:dyDescent="0.35">
      <c r="A3417">
        <v>658</v>
      </c>
      <c r="B3417" t="s">
        <v>2577</v>
      </c>
      <c r="C3417" t="s">
        <v>45</v>
      </c>
      <c r="D3417" t="s">
        <v>6</v>
      </c>
    </row>
    <row r="3418" spans="1:4" x14ac:dyDescent="0.35">
      <c r="A3418">
        <v>658</v>
      </c>
      <c r="B3418" t="s">
        <v>2578</v>
      </c>
      <c r="C3418" t="s">
        <v>45</v>
      </c>
      <c r="D3418" t="s">
        <v>6</v>
      </c>
    </row>
    <row r="3419" spans="1:4" x14ac:dyDescent="0.35">
      <c r="A3419">
        <v>658</v>
      </c>
      <c r="B3419" t="s">
        <v>2579</v>
      </c>
      <c r="C3419" t="s">
        <v>517</v>
      </c>
      <c r="D3419" t="s">
        <v>13</v>
      </c>
    </row>
    <row r="3420" spans="1:4" x14ac:dyDescent="0.35">
      <c r="A3420">
        <v>658</v>
      </c>
      <c r="B3420" t="s">
        <v>2580</v>
      </c>
      <c r="C3420" t="s">
        <v>45</v>
      </c>
      <c r="D3420" t="s">
        <v>6</v>
      </c>
    </row>
    <row r="3421" spans="1:4" x14ac:dyDescent="0.35">
      <c r="A3421">
        <v>658</v>
      </c>
      <c r="B3421" t="s">
        <v>2581</v>
      </c>
      <c r="C3421" t="s">
        <v>45</v>
      </c>
      <c r="D3421" t="s">
        <v>6</v>
      </c>
    </row>
    <row r="3422" spans="1:4" x14ac:dyDescent="0.35">
      <c r="A3422">
        <v>658</v>
      </c>
      <c r="B3422" t="s">
        <v>2582</v>
      </c>
      <c r="C3422" t="s">
        <v>45</v>
      </c>
      <c r="D3422" t="s">
        <v>6</v>
      </c>
    </row>
    <row r="3423" spans="1:4" x14ac:dyDescent="0.35">
      <c r="A3423">
        <v>658</v>
      </c>
      <c r="B3423" t="s">
        <v>2583</v>
      </c>
      <c r="C3423" t="s">
        <v>45</v>
      </c>
      <c r="D3423" t="s">
        <v>6</v>
      </c>
    </row>
    <row r="3424" spans="1:4" x14ac:dyDescent="0.35">
      <c r="A3424">
        <v>658</v>
      </c>
      <c r="B3424" t="s">
        <v>2584</v>
      </c>
      <c r="C3424" t="s">
        <v>45</v>
      </c>
      <c r="D3424" t="s">
        <v>6</v>
      </c>
    </row>
    <row r="3425" spans="1:4" x14ac:dyDescent="0.35">
      <c r="A3425">
        <v>659</v>
      </c>
      <c r="B3425" t="s">
        <v>2585</v>
      </c>
      <c r="C3425" t="s">
        <v>93</v>
      </c>
      <c r="D3425" t="s">
        <v>13</v>
      </c>
    </row>
    <row r="3426" spans="1:4" x14ac:dyDescent="0.35">
      <c r="A3426">
        <v>659</v>
      </c>
      <c r="B3426" t="s">
        <v>2586</v>
      </c>
      <c r="C3426" t="s">
        <v>93</v>
      </c>
      <c r="D3426" t="s">
        <v>13</v>
      </c>
    </row>
    <row r="3427" spans="1:4" x14ac:dyDescent="0.35">
      <c r="A3427">
        <v>659</v>
      </c>
      <c r="B3427" t="s">
        <v>2587</v>
      </c>
      <c r="C3427" t="s">
        <v>35</v>
      </c>
      <c r="D3427" t="s">
        <v>13</v>
      </c>
    </row>
    <row r="3428" spans="1:4" x14ac:dyDescent="0.35">
      <c r="A3428">
        <v>659</v>
      </c>
      <c r="B3428" t="s">
        <v>2588</v>
      </c>
      <c r="C3428" t="s">
        <v>35</v>
      </c>
      <c r="D3428" t="s">
        <v>13</v>
      </c>
    </row>
    <row r="3429" spans="1:4" x14ac:dyDescent="0.35">
      <c r="A3429">
        <v>659</v>
      </c>
      <c r="B3429" t="s">
        <v>2589</v>
      </c>
      <c r="C3429" t="s">
        <v>35</v>
      </c>
      <c r="D3429" t="s">
        <v>13</v>
      </c>
    </row>
    <row r="3430" spans="1:4" x14ac:dyDescent="0.35">
      <c r="A3430">
        <v>660</v>
      </c>
      <c r="B3430" t="s">
        <v>77</v>
      </c>
      <c r="C3430" t="s">
        <v>78</v>
      </c>
      <c r="D3430" t="s">
        <v>13</v>
      </c>
    </row>
    <row r="3431" spans="1:4" x14ac:dyDescent="0.35">
      <c r="A3431">
        <v>660</v>
      </c>
      <c r="B3431" t="s">
        <v>2590</v>
      </c>
      <c r="C3431" t="s">
        <v>72</v>
      </c>
      <c r="D3431" t="s">
        <v>13</v>
      </c>
    </row>
    <row r="3432" spans="1:4" x14ac:dyDescent="0.35">
      <c r="A3432">
        <v>660</v>
      </c>
      <c r="B3432" t="s">
        <v>81</v>
      </c>
      <c r="C3432" t="s">
        <v>72</v>
      </c>
      <c r="D3432" t="s">
        <v>13</v>
      </c>
    </row>
    <row r="3433" spans="1:4" x14ac:dyDescent="0.35">
      <c r="A3433">
        <v>660</v>
      </c>
      <c r="B3433" t="s">
        <v>82</v>
      </c>
      <c r="C3433" t="s">
        <v>72</v>
      </c>
      <c r="D3433" t="s">
        <v>13</v>
      </c>
    </row>
    <row r="3434" spans="1:4" x14ac:dyDescent="0.35">
      <c r="A3434">
        <v>660</v>
      </c>
      <c r="B3434" t="s">
        <v>2591</v>
      </c>
      <c r="C3434" t="s">
        <v>72</v>
      </c>
      <c r="D3434" t="s">
        <v>13</v>
      </c>
    </row>
    <row r="3435" spans="1:4" x14ac:dyDescent="0.35">
      <c r="A3435">
        <v>660</v>
      </c>
      <c r="B3435" t="s">
        <v>84</v>
      </c>
      <c r="C3435" t="s">
        <v>72</v>
      </c>
      <c r="D3435" t="s">
        <v>13</v>
      </c>
    </row>
    <row r="3436" spans="1:4" x14ac:dyDescent="0.35">
      <c r="A3436">
        <v>660</v>
      </c>
      <c r="B3436" t="s">
        <v>85</v>
      </c>
      <c r="C3436" t="s">
        <v>48</v>
      </c>
      <c r="D3436" t="s">
        <v>13</v>
      </c>
    </row>
    <row r="3437" spans="1:4" x14ac:dyDescent="0.35">
      <c r="A3437">
        <v>661</v>
      </c>
      <c r="B3437" t="s">
        <v>2592</v>
      </c>
      <c r="C3437" t="s">
        <v>2593</v>
      </c>
      <c r="D3437" t="s">
        <v>13</v>
      </c>
    </row>
    <row r="3438" spans="1:4" x14ac:dyDescent="0.35">
      <c r="A3438">
        <v>661</v>
      </c>
      <c r="B3438" t="s">
        <v>2594</v>
      </c>
      <c r="C3438" t="s">
        <v>2593</v>
      </c>
      <c r="D3438" t="s">
        <v>13</v>
      </c>
    </row>
    <row r="3439" spans="1:4" x14ac:dyDescent="0.35">
      <c r="A3439">
        <v>661</v>
      </c>
      <c r="B3439" t="s">
        <v>2595</v>
      </c>
      <c r="C3439" t="s">
        <v>2593</v>
      </c>
      <c r="D3439" t="s">
        <v>13</v>
      </c>
    </row>
    <row r="3440" spans="1:4" x14ac:dyDescent="0.35">
      <c r="A3440">
        <v>661</v>
      </c>
      <c r="B3440" t="s">
        <v>2596</v>
      </c>
      <c r="C3440" t="s">
        <v>2593</v>
      </c>
      <c r="D3440" t="s">
        <v>13</v>
      </c>
    </row>
    <row r="3441" spans="1:4" x14ac:dyDescent="0.35">
      <c r="A3441">
        <v>662</v>
      </c>
      <c r="B3441" t="s">
        <v>1834</v>
      </c>
      <c r="C3441" t="s">
        <v>72</v>
      </c>
      <c r="D3441" t="s">
        <v>13</v>
      </c>
    </row>
    <row r="3442" spans="1:4" x14ac:dyDescent="0.35">
      <c r="A3442">
        <v>662</v>
      </c>
      <c r="B3442" t="s">
        <v>2597</v>
      </c>
      <c r="C3442" t="s">
        <v>72</v>
      </c>
      <c r="D3442" t="s">
        <v>13</v>
      </c>
    </row>
    <row r="3443" spans="1:4" x14ac:dyDescent="0.35">
      <c r="A3443">
        <v>662</v>
      </c>
      <c r="B3443" t="s">
        <v>2598</v>
      </c>
      <c r="C3443" t="s">
        <v>72</v>
      </c>
      <c r="D3443" t="s">
        <v>13</v>
      </c>
    </row>
    <row r="3444" spans="1:4" x14ac:dyDescent="0.35">
      <c r="A3444">
        <v>662</v>
      </c>
      <c r="B3444" t="s">
        <v>1837</v>
      </c>
      <c r="C3444" t="s">
        <v>72</v>
      </c>
      <c r="D3444" t="s">
        <v>13</v>
      </c>
    </row>
    <row r="3445" spans="1:4" x14ac:dyDescent="0.35">
      <c r="A3445">
        <v>662</v>
      </c>
      <c r="B3445" t="s">
        <v>2599</v>
      </c>
      <c r="C3445" t="s">
        <v>72</v>
      </c>
      <c r="D3445" t="s">
        <v>13</v>
      </c>
    </row>
    <row r="3446" spans="1:4" x14ac:dyDescent="0.35">
      <c r="A3446">
        <v>662</v>
      </c>
      <c r="B3446" t="s">
        <v>2600</v>
      </c>
      <c r="C3446" t="s">
        <v>78</v>
      </c>
      <c r="D3446" t="s">
        <v>13</v>
      </c>
    </row>
    <row r="3447" spans="1:4" x14ac:dyDescent="0.35">
      <c r="A3447">
        <v>662</v>
      </c>
      <c r="B3447" t="s">
        <v>1839</v>
      </c>
      <c r="C3447" t="s">
        <v>72</v>
      </c>
      <c r="D3447" t="s">
        <v>13</v>
      </c>
    </row>
    <row r="3448" spans="1:4" x14ac:dyDescent="0.35">
      <c r="A3448">
        <v>662</v>
      </c>
      <c r="B3448" t="s">
        <v>2601</v>
      </c>
      <c r="C3448" t="s">
        <v>93</v>
      </c>
      <c r="D3448" t="s">
        <v>13</v>
      </c>
    </row>
    <row r="3449" spans="1:4" x14ac:dyDescent="0.35">
      <c r="A3449">
        <v>662</v>
      </c>
      <c r="B3449" t="s">
        <v>2602</v>
      </c>
      <c r="C3449" t="s">
        <v>72</v>
      </c>
      <c r="D3449" t="s">
        <v>13</v>
      </c>
    </row>
    <row r="3450" spans="1:4" x14ac:dyDescent="0.35">
      <c r="A3450">
        <v>663</v>
      </c>
      <c r="B3450" t="s">
        <v>2603</v>
      </c>
      <c r="C3450" t="s">
        <v>72</v>
      </c>
      <c r="D3450" t="s">
        <v>13</v>
      </c>
    </row>
    <row r="3451" spans="1:4" x14ac:dyDescent="0.35">
      <c r="A3451">
        <v>663</v>
      </c>
      <c r="B3451" t="s">
        <v>417</v>
      </c>
      <c r="C3451" t="s">
        <v>5</v>
      </c>
      <c r="D3451" t="s">
        <v>6</v>
      </c>
    </row>
    <row r="3452" spans="1:4" x14ac:dyDescent="0.35">
      <c r="A3452">
        <v>663</v>
      </c>
      <c r="B3452" t="s">
        <v>2604</v>
      </c>
      <c r="C3452" t="s">
        <v>72</v>
      </c>
      <c r="D3452" t="s">
        <v>13</v>
      </c>
    </row>
    <row r="3453" spans="1:4" x14ac:dyDescent="0.35">
      <c r="A3453">
        <v>663</v>
      </c>
      <c r="B3453" t="s">
        <v>2605</v>
      </c>
      <c r="C3453" t="s">
        <v>72</v>
      </c>
      <c r="D3453" t="s">
        <v>13</v>
      </c>
    </row>
    <row r="3454" spans="1:4" x14ac:dyDescent="0.35">
      <c r="A3454">
        <v>663</v>
      </c>
      <c r="B3454" t="s">
        <v>2606</v>
      </c>
      <c r="C3454" t="s">
        <v>72</v>
      </c>
      <c r="D3454" t="s">
        <v>13</v>
      </c>
    </row>
    <row r="3455" spans="1:4" x14ac:dyDescent="0.35">
      <c r="A3455">
        <v>663</v>
      </c>
      <c r="B3455" t="s">
        <v>2607</v>
      </c>
      <c r="C3455" t="s">
        <v>72</v>
      </c>
      <c r="D3455" t="s">
        <v>13</v>
      </c>
    </row>
    <row r="3456" spans="1:4" x14ac:dyDescent="0.35">
      <c r="A3456">
        <v>664</v>
      </c>
      <c r="B3456" t="s">
        <v>2608</v>
      </c>
      <c r="C3456" t="s">
        <v>72</v>
      </c>
      <c r="D3456" t="s">
        <v>13</v>
      </c>
    </row>
    <row r="3457" spans="1:4" x14ac:dyDescent="0.35">
      <c r="A3457">
        <v>664</v>
      </c>
      <c r="B3457" t="s">
        <v>77</v>
      </c>
      <c r="C3457" t="s">
        <v>78</v>
      </c>
      <c r="D3457" t="s">
        <v>13</v>
      </c>
    </row>
    <row r="3458" spans="1:4" x14ac:dyDescent="0.35">
      <c r="A3458">
        <v>664</v>
      </c>
      <c r="B3458" t="s">
        <v>2609</v>
      </c>
      <c r="C3458" t="s">
        <v>72</v>
      </c>
      <c r="D3458" t="s">
        <v>13</v>
      </c>
    </row>
    <row r="3459" spans="1:4" x14ac:dyDescent="0.35">
      <c r="A3459">
        <v>664</v>
      </c>
      <c r="B3459" t="s">
        <v>81</v>
      </c>
      <c r="C3459" t="s">
        <v>72</v>
      </c>
      <c r="D3459" t="s">
        <v>13</v>
      </c>
    </row>
    <row r="3460" spans="1:4" x14ac:dyDescent="0.35">
      <c r="A3460">
        <v>664</v>
      </c>
      <c r="B3460" t="s">
        <v>2610</v>
      </c>
      <c r="C3460" t="s">
        <v>72</v>
      </c>
      <c r="D3460" t="s">
        <v>13</v>
      </c>
    </row>
    <row r="3461" spans="1:4" x14ac:dyDescent="0.35">
      <c r="A3461">
        <v>664</v>
      </c>
      <c r="B3461" t="s">
        <v>82</v>
      </c>
      <c r="C3461" t="s">
        <v>72</v>
      </c>
      <c r="D3461" t="s">
        <v>13</v>
      </c>
    </row>
    <row r="3462" spans="1:4" x14ac:dyDescent="0.35">
      <c r="A3462">
        <v>664</v>
      </c>
      <c r="B3462" t="s">
        <v>2611</v>
      </c>
      <c r="C3462" t="s">
        <v>93</v>
      </c>
      <c r="D3462" t="s">
        <v>13</v>
      </c>
    </row>
    <row r="3463" spans="1:4" x14ac:dyDescent="0.35">
      <c r="A3463">
        <v>664</v>
      </c>
      <c r="B3463" t="s">
        <v>2591</v>
      </c>
      <c r="C3463" t="s">
        <v>72</v>
      </c>
      <c r="D3463" t="s">
        <v>13</v>
      </c>
    </row>
    <row r="3464" spans="1:4" x14ac:dyDescent="0.35">
      <c r="A3464">
        <v>664</v>
      </c>
      <c r="B3464" t="s">
        <v>84</v>
      </c>
      <c r="C3464" t="s">
        <v>72</v>
      </c>
      <c r="D3464" t="s">
        <v>13</v>
      </c>
    </row>
    <row r="3465" spans="1:4" x14ac:dyDescent="0.35">
      <c r="A3465">
        <v>665</v>
      </c>
      <c r="B3465" t="s">
        <v>2612</v>
      </c>
      <c r="C3465" t="s">
        <v>261</v>
      </c>
      <c r="D3465" t="s">
        <v>13</v>
      </c>
    </row>
    <row r="3466" spans="1:4" x14ac:dyDescent="0.35">
      <c r="A3466">
        <v>665</v>
      </c>
      <c r="B3466" t="s">
        <v>2613</v>
      </c>
      <c r="C3466" t="s">
        <v>72</v>
      </c>
      <c r="D3466" t="s">
        <v>13</v>
      </c>
    </row>
    <row r="3467" spans="1:4" x14ac:dyDescent="0.35">
      <c r="A3467">
        <v>665</v>
      </c>
      <c r="B3467" t="s">
        <v>2614</v>
      </c>
      <c r="C3467" t="s">
        <v>72</v>
      </c>
      <c r="D3467" t="s">
        <v>13</v>
      </c>
    </row>
    <row r="3468" spans="1:4" x14ac:dyDescent="0.35">
      <c r="A3468">
        <v>665</v>
      </c>
      <c r="B3468" t="s">
        <v>2615</v>
      </c>
      <c r="C3468" t="s">
        <v>261</v>
      </c>
      <c r="D3468" t="s">
        <v>13</v>
      </c>
    </row>
    <row r="3469" spans="1:4" x14ac:dyDescent="0.35">
      <c r="A3469">
        <v>665</v>
      </c>
      <c r="B3469" t="s">
        <v>2616</v>
      </c>
      <c r="C3469" t="s">
        <v>261</v>
      </c>
      <c r="D3469" t="s">
        <v>13</v>
      </c>
    </row>
    <row r="3470" spans="1:4" x14ac:dyDescent="0.35">
      <c r="A3470">
        <v>665</v>
      </c>
      <c r="B3470" t="s">
        <v>2616</v>
      </c>
      <c r="C3470" t="s">
        <v>157</v>
      </c>
      <c r="D3470" t="s">
        <v>6</v>
      </c>
    </row>
    <row r="3471" spans="1:4" x14ac:dyDescent="0.35">
      <c r="A3471">
        <v>665</v>
      </c>
      <c r="B3471" t="s">
        <v>2617</v>
      </c>
      <c r="C3471" t="s">
        <v>261</v>
      </c>
      <c r="D3471" t="s">
        <v>13</v>
      </c>
    </row>
    <row r="3472" spans="1:4" x14ac:dyDescent="0.35">
      <c r="A3472">
        <v>665</v>
      </c>
      <c r="B3472" t="s">
        <v>2618</v>
      </c>
      <c r="C3472" t="s">
        <v>72</v>
      </c>
      <c r="D3472" t="s">
        <v>13</v>
      </c>
    </row>
    <row r="3473" spans="1:4" x14ac:dyDescent="0.35">
      <c r="A3473">
        <v>665</v>
      </c>
      <c r="B3473" t="s">
        <v>2619</v>
      </c>
      <c r="C3473" t="s">
        <v>157</v>
      </c>
      <c r="D3473" t="s">
        <v>6</v>
      </c>
    </row>
    <row r="3474" spans="1:4" x14ac:dyDescent="0.35">
      <c r="A3474">
        <v>666</v>
      </c>
      <c r="B3474" t="s">
        <v>2620</v>
      </c>
      <c r="C3474" t="s">
        <v>231</v>
      </c>
      <c r="D3474" t="s">
        <v>6</v>
      </c>
    </row>
    <row r="3475" spans="1:4" x14ac:dyDescent="0.35">
      <c r="A3475">
        <v>666</v>
      </c>
      <c r="B3475" t="s">
        <v>2621</v>
      </c>
      <c r="C3475" t="s">
        <v>231</v>
      </c>
      <c r="D3475" t="s">
        <v>6</v>
      </c>
    </row>
    <row r="3476" spans="1:4" x14ac:dyDescent="0.35">
      <c r="A3476">
        <v>666</v>
      </c>
      <c r="B3476" t="s">
        <v>2622</v>
      </c>
      <c r="C3476" t="s">
        <v>231</v>
      </c>
      <c r="D3476" t="s">
        <v>6</v>
      </c>
    </row>
    <row r="3477" spans="1:4" x14ac:dyDescent="0.35">
      <c r="A3477">
        <v>667</v>
      </c>
      <c r="B3477" t="s">
        <v>2623</v>
      </c>
      <c r="C3477" t="s">
        <v>93</v>
      </c>
      <c r="D3477" t="s">
        <v>13</v>
      </c>
    </row>
    <row r="3478" spans="1:4" x14ac:dyDescent="0.35">
      <c r="A3478">
        <v>667</v>
      </c>
      <c r="B3478" t="s">
        <v>2624</v>
      </c>
      <c r="C3478" t="s">
        <v>93</v>
      </c>
      <c r="D3478" t="s">
        <v>13</v>
      </c>
    </row>
    <row r="3479" spans="1:4" x14ac:dyDescent="0.35">
      <c r="A3479">
        <v>667</v>
      </c>
      <c r="B3479" t="s">
        <v>2625</v>
      </c>
      <c r="C3479" t="s">
        <v>93</v>
      </c>
      <c r="D3479" t="s">
        <v>13</v>
      </c>
    </row>
    <row r="3480" spans="1:4" x14ac:dyDescent="0.35">
      <c r="A3480">
        <v>667</v>
      </c>
      <c r="B3480" t="s">
        <v>2626</v>
      </c>
      <c r="C3480" t="s">
        <v>93</v>
      </c>
      <c r="D3480" t="s">
        <v>13</v>
      </c>
    </row>
    <row r="3481" spans="1:4" x14ac:dyDescent="0.35">
      <c r="A3481">
        <v>667</v>
      </c>
      <c r="B3481" t="s">
        <v>2627</v>
      </c>
      <c r="C3481" t="s">
        <v>93</v>
      </c>
      <c r="D3481" t="s">
        <v>13</v>
      </c>
    </row>
    <row r="3482" spans="1:4" x14ac:dyDescent="0.35">
      <c r="A3482">
        <v>667</v>
      </c>
      <c r="B3482" t="s">
        <v>1602</v>
      </c>
      <c r="C3482" t="s">
        <v>93</v>
      </c>
      <c r="D3482" t="s">
        <v>13</v>
      </c>
    </row>
    <row r="3483" spans="1:4" x14ac:dyDescent="0.35">
      <c r="A3483">
        <v>668</v>
      </c>
      <c r="B3483" t="s">
        <v>2628</v>
      </c>
      <c r="C3483" t="s">
        <v>231</v>
      </c>
      <c r="D3483" t="s">
        <v>6</v>
      </c>
    </row>
    <row r="3484" spans="1:4" x14ac:dyDescent="0.35">
      <c r="A3484">
        <v>668</v>
      </c>
      <c r="B3484" t="s">
        <v>421</v>
      </c>
      <c r="C3484" t="s">
        <v>231</v>
      </c>
      <c r="D3484" t="s">
        <v>6</v>
      </c>
    </row>
    <row r="3485" spans="1:4" x14ac:dyDescent="0.35">
      <c r="A3485">
        <v>668</v>
      </c>
      <c r="B3485" t="s">
        <v>1445</v>
      </c>
      <c r="C3485" t="s">
        <v>231</v>
      </c>
      <c r="D3485" t="s">
        <v>6</v>
      </c>
    </row>
    <row r="3486" spans="1:4" x14ac:dyDescent="0.35">
      <c r="A3486">
        <v>668</v>
      </c>
      <c r="B3486" t="s">
        <v>2629</v>
      </c>
      <c r="C3486" t="s">
        <v>231</v>
      </c>
      <c r="D3486" t="s">
        <v>6</v>
      </c>
    </row>
    <row r="3487" spans="1:4" x14ac:dyDescent="0.35">
      <c r="A3487">
        <v>669</v>
      </c>
      <c r="B3487" t="s">
        <v>2630</v>
      </c>
      <c r="C3487" t="s">
        <v>25</v>
      </c>
      <c r="D3487" t="s">
        <v>13</v>
      </c>
    </row>
    <row r="3488" spans="1:4" x14ac:dyDescent="0.35">
      <c r="A3488">
        <v>669</v>
      </c>
      <c r="B3488" t="s">
        <v>2631</v>
      </c>
      <c r="C3488" t="s">
        <v>25</v>
      </c>
      <c r="D3488" t="s">
        <v>13</v>
      </c>
    </row>
    <row r="3489" spans="1:4" x14ac:dyDescent="0.35">
      <c r="A3489">
        <v>669</v>
      </c>
      <c r="B3489" t="s">
        <v>2632</v>
      </c>
      <c r="C3489" t="s">
        <v>25</v>
      </c>
      <c r="D3489" t="s">
        <v>13</v>
      </c>
    </row>
    <row r="3490" spans="1:4" x14ac:dyDescent="0.35">
      <c r="A3490">
        <v>669</v>
      </c>
      <c r="B3490" t="s">
        <v>2633</v>
      </c>
      <c r="C3490" t="s">
        <v>25</v>
      </c>
      <c r="D3490" t="s">
        <v>13</v>
      </c>
    </row>
    <row r="3491" spans="1:4" x14ac:dyDescent="0.35">
      <c r="A3491">
        <v>669</v>
      </c>
      <c r="B3491" t="s">
        <v>2634</v>
      </c>
      <c r="C3491" t="s">
        <v>25</v>
      </c>
      <c r="D3491" t="s">
        <v>13</v>
      </c>
    </row>
    <row r="3492" spans="1:4" x14ac:dyDescent="0.35">
      <c r="A3492">
        <v>669</v>
      </c>
      <c r="B3492" t="s">
        <v>2635</v>
      </c>
      <c r="C3492" t="s">
        <v>25</v>
      </c>
      <c r="D3492" t="s">
        <v>13</v>
      </c>
    </row>
    <row r="3493" spans="1:4" x14ac:dyDescent="0.35">
      <c r="A3493">
        <v>670</v>
      </c>
      <c r="B3493" t="s">
        <v>2636</v>
      </c>
      <c r="C3493" t="s">
        <v>231</v>
      </c>
      <c r="D3493" t="s">
        <v>6</v>
      </c>
    </row>
    <row r="3494" spans="1:4" x14ac:dyDescent="0.35">
      <c r="A3494">
        <v>670</v>
      </c>
      <c r="B3494" t="s">
        <v>2637</v>
      </c>
      <c r="C3494" t="s">
        <v>231</v>
      </c>
      <c r="D3494" t="s">
        <v>6</v>
      </c>
    </row>
    <row r="3495" spans="1:4" x14ac:dyDescent="0.35">
      <c r="A3495">
        <v>670</v>
      </c>
      <c r="B3495" t="s">
        <v>2638</v>
      </c>
      <c r="C3495" t="s">
        <v>231</v>
      </c>
      <c r="D3495" t="s">
        <v>6</v>
      </c>
    </row>
    <row r="3496" spans="1:4" x14ac:dyDescent="0.35">
      <c r="A3496">
        <v>670</v>
      </c>
      <c r="B3496" t="s">
        <v>2639</v>
      </c>
      <c r="C3496" t="s">
        <v>2261</v>
      </c>
      <c r="D3496" t="s">
        <v>13</v>
      </c>
    </row>
    <row r="3497" spans="1:4" x14ac:dyDescent="0.35">
      <c r="A3497">
        <v>670</v>
      </c>
      <c r="B3497" t="s">
        <v>2640</v>
      </c>
      <c r="C3497" t="s">
        <v>2261</v>
      </c>
      <c r="D3497" t="s">
        <v>13</v>
      </c>
    </row>
    <row r="3498" spans="1:4" x14ac:dyDescent="0.35">
      <c r="A3498">
        <v>670</v>
      </c>
      <c r="B3498" t="s">
        <v>2641</v>
      </c>
      <c r="C3498" t="s">
        <v>2261</v>
      </c>
      <c r="D3498" t="s">
        <v>13</v>
      </c>
    </row>
    <row r="3499" spans="1:4" x14ac:dyDescent="0.35">
      <c r="A3499">
        <v>671</v>
      </c>
      <c r="B3499" t="s">
        <v>687</v>
      </c>
      <c r="C3499" t="s">
        <v>231</v>
      </c>
      <c r="D3499" t="s">
        <v>6</v>
      </c>
    </row>
    <row r="3500" spans="1:4" x14ac:dyDescent="0.35">
      <c r="A3500">
        <v>671</v>
      </c>
      <c r="B3500" t="s">
        <v>2642</v>
      </c>
      <c r="C3500" t="s">
        <v>231</v>
      </c>
      <c r="D3500" t="s">
        <v>6</v>
      </c>
    </row>
    <row r="3501" spans="1:4" x14ac:dyDescent="0.35">
      <c r="A3501">
        <v>672</v>
      </c>
      <c r="B3501" t="s">
        <v>2643</v>
      </c>
      <c r="C3501" t="s">
        <v>19</v>
      </c>
      <c r="D3501" t="s">
        <v>13</v>
      </c>
    </row>
    <row r="3502" spans="1:4" x14ac:dyDescent="0.35">
      <c r="A3502">
        <v>672</v>
      </c>
      <c r="B3502" t="s">
        <v>2644</v>
      </c>
      <c r="C3502" t="s">
        <v>2285</v>
      </c>
      <c r="D3502" t="s">
        <v>13</v>
      </c>
    </row>
    <row r="3503" spans="1:4" x14ac:dyDescent="0.35">
      <c r="A3503">
        <v>672</v>
      </c>
      <c r="B3503" t="s">
        <v>2241</v>
      </c>
      <c r="C3503" t="s">
        <v>72</v>
      </c>
      <c r="D3503" t="s">
        <v>13</v>
      </c>
    </row>
    <row r="3504" spans="1:4" x14ac:dyDescent="0.35">
      <c r="A3504">
        <v>672</v>
      </c>
      <c r="B3504" t="s">
        <v>2645</v>
      </c>
      <c r="C3504" t="s">
        <v>19</v>
      </c>
      <c r="D3504" t="s">
        <v>13</v>
      </c>
    </row>
    <row r="3505" spans="1:4" x14ac:dyDescent="0.35">
      <c r="A3505">
        <v>672</v>
      </c>
      <c r="B3505" t="s">
        <v>2645</v>
      </c>
      <c r="C3505" t="s">
        <v>16</v>
      </c>
      <c r="D3505" t="s">
        <v>13</v>
      </c>
    </row>
    <row r="3506" spans="1:4" x14ac:dyDescent="0.35">
      <c r="A3506">
        <v>672</v>
      </c>
      <c r="B3506" t="s">
        <v>2646</v>
      </c>
      <c r="C3506" t="s">
        <v>72</v>
      </c>
      <c r="D3506" t="s">
        <v>13</v>
      </c>
    </row>
    <row r="3507" spans="1:4" x14ac:dyDescent="0.35">
      <c r="A3507">
        <v>672</v>
      </c>
      <c r="B3507" t="s">
        <v>2647</v>
      </c>
      <c r="C3507" t="s">
        <v>72</v>
      </c>
      <c r="D3507" t="s">
        <v>13</v>
      </c>
    </row>
    <row r="3508" spans="1:4" x14ac:dyDescent="0.35">
      <c r="A3508">
        <v>673</v>
      </c>
      <c r="B3508" t="s">
        <v>2648</v>
      </c>
      <c r="C3508" t="s">
        <v>78</v>
      </c>
      <c r="D3508" t="s">
        <v>13</v>
      </c>
    </row>
    <row r="3509" spans="1:4" x14ac:dyDescent="0.35">
      <c r="A3509">
        <v>673</v>
      </c>
      <c r="B3509" t="s">
        <v>2649</v>
      </c>
      <c r="C3509" t="s">
        <v>517</v>
      </c>
      <c r="D3509" t="s">
        <v>13</v>
      </c>
    </row>
    <row r="3510" spans="1:4" x14ac:dyDescent="0.35">
      <c r="A3510">
        <v>674</v>
      </c>
      <c r="B3510" t="s">
        <v>2650</v>
      </c>
      <c r="C3510" t="s">
        <v>261</v>
      </c>
      <c r="D3510" t="s">
        <v>13</v>
      </c>
    </row>
    <row r="3511" spans="1:4" x14ac:dyDescent="0.35">
      <c r="A3511">
        <v>674</v>
      </c>
      <c r="B3511" t="s">
        <v>1523</v>
      </c>
      <c r="C3511" t="s">
        <v>261</v>
      </c>
      <c r="D3511" t="s">
        <v>13</v>
      </c>
    </row>
    <row r="3512" spans="1:4" x14ac:dyDescent="0.35">
      <c r="A3512">
        <v>675</v>
      </c>
      <c r="B3512" t="s">
        <v>2453</v>
      </c>
      <c r="C3512" t="s">
        <v>93</v>
      </c>
      <c r="D3512" t="s">
        <v>13</v>
      </c>
    </row>
    <row r="3513" spans="1:4" x14ac:dyDescent="0.35">
      <c r="A3513">
        <v>675</v>
      </c>
      <c r="B3513" t="s">
        <v>2454</v>
      </c>
      <c r="C3513" t="s">
        <v>72</v>
      </c>
      <c r="D3513" t="s">
        <v>13</v>
      </c>
    </row>
    <row r="3514" spans="1:4" x14ac:dyDescent="0.35">
      <c r="A3514">
        <v>675</v>
      </c>
      <c r="B3514" t="s">
        <v>2455</v>
      </c>
      <c r="C3514" t="s">
        <v>72</v>
      </c>
      <c r="D3514" t="s">
        <v>13</v>
      </c>
    </row>
    <row r="3515" spans="1:4" x14ac:dyDescent="0.35">
      <c r="A3515">
        <v>676</v>
      </c>
      <c r="B3515" t="s">
        <v>2651</v>
      </c>
      <c r="C3515" t="s">
        <v>72</v>
      </c>
      <c r="D3515" t="s">
        <v>13</v>
      </c>
    </row>
    <row r="3516" spans="1:4" x14ac:dyDescent="0.35">
      <c r="A3516">
        <v>676</v>
      </c>
      <c r="B3516" t="s">
        <v>2652</v>
      </c>
      <c r="C3516" t="s">
        <v>72</v>
      </c>
      <c r="D3516" t="s">
        <v>13</v>
      </c>
    </row>
    <row r="3517" spans="1:4" x14ac:dyDescent="0.35">
      <c r="A3517">
        <v>676</v>
      </c>
      <c r="B3517" t="s">
        <v>2653</v>
      </c>
      <c r="C3517" t="s">
        <v>72</v>
      </c>
      <c r="D3517" t="s">
        <v>13</v>
      </c>
    </row>
    <row r="3518" spans="1:4" x14ac:dyDescent="0.35">
      <c r="A3518">
        <v>676</v>
      </c>
      <c r="B3518" t="s">
        <v>1126</v>
      </c>
      <c r="C3518" t="s">
        <v>72</v>
      </c>
      <c r="D3518" t="s">
        <v>13</v>
      </c>
    </row>
    <row r="3519" spans="1:4" x14ac:dyDescent="0.35">
      <c r="A3519">
        <v>676</v>
      </c>
      <c r="B3519" t="s">
        <v>2654</v>
      </c>
      <c r="C3519" t="s">
        <v>72</v>
      </c>
      <c r="D3519" t="s">
        <v>13</v>
      </c>
    </row>
    <row r="3520" spans="1:4" x14ac:dyDescent="0.35">
      <c r="A3520">
        <v>676</v>
      </c>
      <c r="B3520" t="s">
        <v>2655</v>
      </c>
      <c r="C3520" t="s">
        <v>72</v>
      </c>
      <c r="D3520" t="s">
        <v>13</v>
      </c>
    </row>
    <row r="3521" spans="1:4" x14ac:dyDescent="0.35">
      <c r="A3521">
        <v>677</v>
      </c>
      <c r="B3521" t="s">
        <v>1115</v>
      </c>
      <c r="C3521" t="s">
        <v>56</v>
      </c>
      <c r="D3521" t="s">
        <v>13</v>
      </c>
    </row>
    <row r="3522" spans="1:4" x14ac:dyDescent="0.35">
      <c r="A3522">
        <v>677</v>
      </c>
      <c r="B3522" t="s">
        <v>1115</v>
      </c>
      <c r="C3522" t="s">
        <v>189</v>
      </c>
      <c r="D3522" t="s">
        <v>6</v>
      </c>
    </row>
    <row r="3523" spans="1:4" x14ac:dyDescent="0.35">
      <c r="A3523">
        <v>677</v>
      </c>
      <c r="B3523" t="s">
        <v>1533</v>
      </c>
      <c r="C3523" t="s">
        <v>56</v>
      </c>
      <c r="D3523" t="s">
        <v>13</v>
      </c>
    </row>
    <row r="3524" spans="1:4" x14ac:dyDescent="0.35">
      <c r="A3524">
        <v>677</v>
      </c>
      <c r="B3524" t="s">
        <v>1534</v>
      </c>
      <c r="C3524" t="s">
        <v>56</v>
      </c>
      <c r="D3524" t="s">
        <v>13</v>
      </c>
    </row>
    <row r="3525" spans="1:4" x14ac:dyDescent="0.35">
      <c r="A3525">
        <v>678</v>
      </c>
      <c r="B3525" t="s">
        <v>2656</v>
      </c>
      <c r="C3525" t="s">
        <v>16</v>
      </c>
      <c r="D3525" t="s">
        <v>13</v>
      </c>
    </row>
    <row r="3526" spans="1:4" x14ac:dyDescent="0.35">
      <c r="A3526">
        <v>678</v>
      </c>
      <c r="B3526" t="s">
        <v>2657</v>
      </c>
      <c r="C3526" t="s">
        <v>16</v>
      </c>
      <c r="D3526" t="s">
        <v>13</v>
      </c>
    </row>
    <row r="3527" spans="1:4" x14ac:dyDescent="0.35">
      <c r="A3527">
        <v>678</v>
      </c>
      <c r="B3527" t="s">
        <v>2658</v>
      </c>
      <c r="C3527" t="s">
        <v>16</v>
      </c>
      <c r="D3527" t="s">
        <v>13</v>
      </c>
    </row>
    <row r="3528" spans="1:4" x14ac:dyDescent="0.35">
      <c r="A3528">
        <v>679</v>
      </c>
      <c r="B3528" t="s">
        <v>925</v>
      </c>
      <c r="C3528" t="s">
        <v>22</v>
      </c>
      <c r="D3528" t="s">
        <v>13</v>
      </c>
    </row>
    <row r="3529" spans="1:4" x14ac:dyDescent="0.35">
      <c r="A3529">
        <v>679</v>
      </c>
      <c r="B3529" t="s">
        <v>256</v>
      </c>
      <c r="C3529" t="s">
        <v>22</v>
      </c>
      <c r="D3529" t="s">
        <v>13</v>
      </c>
    </row>
    <row r="3530" spans="1:4" x14ac:dyDescent="0.35">
      <c r="A3530">
        <v>679</v>
      </c>
      <c r="B3530" t="s">
        <v>257</v>
      </c>
      <c r="C3530" t="s">
        <v>22</v>
      </c>
      <c r="D3530" t="s">
        <v>13</v>
      </c>
    </row>
    <row r="3531" spans="1:4" x14ac:dyDescent="0.35">
      <c r="A3531">
        <v>679</v>
      </c>
      <c r="B3531" t="s">
        <v>259</v>
      </c>
      <c r="C3531" t="s">
        <v>22</v>
      </c>
      <c r="D3531" t="s">
        <v>13</v>
      </c>
    </row>
    <row r="3532" spans="1:4" x14ac:dyDescent="0.35">
      <c r="A3532">
        <v>680</v>
      </c>
      <c r="B3532" t="s">
        <v>2659</v>
      </c>
      <c r="C3532" t="s">
        <v>48</v>
      </c>
      <c r="D3532" t="s">
        <v>13</v>
      </c>
    </row>
    <row r="3533" spans="1:4" x14ac:dyDescent="0.35">
      <c r="A3533">
        <v>680</v>
      </c>
      <c r="B3533" t="s">
        <v>2660</v>
      </c>
      <c r="C3533" t="s">
        <v>48</v>
      </c>
      <c r="D3533" t="s">
        <v>13</v>
      </c>
    </row>
    <row r="3534" spans="1:4" x14ac:dyDescent="0.35">
      <c r="A3534">
        <v>680</v>
      </c>
      <c r="B3534" t="s">
        <v>2661</v>
      </c>
      <c r="C3534" t="s">
        <v>48</v>
      </c>
      <c r="D3534" t="s">
        <v>13</v>
      </c>
    </row>
    <row r="3535" spans="1:4" x14ac:dyDescent="0.35">
      <c r="A3535">
        <v>680</v>
      </c>
      <c r="B3535" t="s">
        <v>2662</v>
      </c>
      <c r="C3535" t="s">
        <v>48</v>
      </c>
      <c r="D3535" t="s">
        <v>13</v>
      </c>
    </row>
    <row r="3536" spans="1:4" x14ac:dyDescent="0.35">
      <c r="A3536">
        <v>680</v>
      </c>
      <c r="B3536" t="s">
        <v>2663</v>
      </c>
      <c r="C3536" t="s">
        <v>48</v>
      </c>
      <c r="D3536" t="s">
        <v>13</v>
      </c>
    </row>
    <row r="3537" spans="1:4" x14ac:dyDescent="0.35">
      <c r="A3537">
        <v>680</v>
      </c>
      <c r="B3537" t="s">
        <v>2664</v>
      </c>
      <c r="C3537" t="s">
        <v>48</v>
      </c>
      <c r="D3537" t="s">
        <v>13</v>
      </c>
    </row>
    <row r="3538" spans="1:4" x14ac:dyDescent="0.35">
      <c r="A3538">
        <v>681</v>
      </c>
      <c r="B3538" t="s">
        <v>2665</v>
      </c>
      <c r="C3538" t="s">
        <v>19</v>
      </c>
      <c r="D3538" t="s">
        <v>13</v>
      </c>
    </row>
    <row r="3539" spans="1:4" x14ac:dyDescent="0.35">
      <c r="A3539">
        <v>681</v>
      </c>
      <c r="B3539" t="s">
        <v>2666</v>
      </c>
      <c r="C3539" t="s">
        <v>19</v>
      </c>
      <c r="D3539" t="s">
        <v>13</v>
      </c>
    </row>
    <row r="3540" spans="1:4" x14ac:dyDescent="0.35">
      <c r="A3540">
        <v>681</v>
      </c>
      <c r="B3540" t="s">
        <v>2666</v>
      </c>
      <c r="C3540" t="s">
        <v>189</v>
      </c>
      <c r="D3540" t="s">
        <v>6</v>
      </c>
    </row>
    <row r="3541" spans="1:4" x14ac:dyDescent="0.35">
      <c r="A3541">
        <v>681</v>
      </c>
      <c r="B3541" t="s">
        <v>2667</v>
      </c>
      <c r="C3541" t="s">
        <v>19</v>
      </c>
      <c r="D3541" t="s">
        <v>13</v>
      </c>
    </row>
    <row r="3542" spans="1:4" x14ac:dyDescent="0.35">
      <c r="A3542">
        <v>682</v>
      </c>
      <c r="B3542" t="s">
        <v>2042</v>
      </c>
      <c r="C3542" t="s">
        <v>56</v>
      </c>
      <c r="D3542" t="s">
        <v>13</v>
      </c>
    </row>
    <row r="3543" spans="1:4" x14ac:dyDescent="0.35">
      <c r="A3543">
        <v>682</v>
      </c>
      <c r="B3543" t="s">
        <v>2668</v>
      </c>
      <c r="C3543" t="s">
        <v>56</v>
      </c>
      <c r="D3543" t="s">
        <v>13</v>
      </c>
    </row>
    <row r="3544" spans="1:4" x14ac:dyDescent="0.35">
      <c r="A3544">
        <v>682</v>
      </c>
      <c r="B3544" t="s">
        <v>1486</v>
      </c>
      <c r="C3544" t="s">
        <v>56</v>
      </c>
      <c r="D3544" t="s">
        <v>13</v>
      </c>
    </row>
    <row r="3545" spans="1:4" x14ac:dyDescent="0.35">
      <c r="A3545">
        <v>682</v>
      </c>
      <c r="B3545" t="s">
        <v>2669</v>
      </c>
      <c r="C3545" t="s">
        <v>56</v>
      </c>
      <c r="D3545" t="s">
        <v>13</v>
      </c>
    </row>
    <row r="3546" spans="1:4" x14ac:dyDescent="0.35">
      <c r="A3546">
        <v>683</v>
      </c>
      <c r="B3546" t="s">
        <v>2670</v>
      </c>
      <c r="C3546" t="s">
        <v>56</v>
      </c>
      <c r="D3546" t="s">
        <v>13</v>
      </c>
    </row>
    <row r="3547" spans="1:4" x14ac:dyDescent="0.35">
      <c r="A3547">
        <v>683</v>
      </c>
      <c r="B3547" t="s">
        <v>2671</v>
      </c>
      <c r="C3547" t="s">
        <v>56</v>
      </c>
      <c r="D3547" t="s">
        <v>13</v>
      </c>
    </row>
    <row r="3548" spans="1:4" x14ac:dyDescent="0.35">
      <c r="A3548">
        <v>683</v>
      </c>
      <c r="B3548" t="s">
        <v>1120</v>
      </c>
      <c r="C3548" t="s">
        <v>56</v>
      </c>
      <c r="D3548" t="s">
        <v>13</v>
      </c>
    </row>
    <row r="3549" spans="1:4" x14ac:dyDescent="0.35">
      <c r="A3549">
        <v>684</v>
      </c>
      <c r="B3549" t="s">
        <v>2672</v>
      </c>
      <c r="C3549" t="s">
        <v>90</v>
      </c>
      <c r="D3549" t="s">
        <v>13</v>
      </c>
    </row>
    <row r="3550" spans="1:4" x14ac:dyDescent="0.35">
      <c r="A3550">
        <v>684</v>
      </c>
      <c r="B3550" t="s">
        <v>2673</v>
      </c>
      <c r="C3550" t="s">
        <v>517</v>
      </c>
      <c r="D3550" t="s">
        <v>13</v>
      </c>
    </row>
    <row r="3551" spans="1:4" x14ac:dyDescent="0.35">
      <c r="A3551">
        <v>684</v>
      </c>
      <c r="B3551" t="s">
        <v>2674</v>
      </c>
      <c r="C3551" t="s">
        <v>90</v>
      </c>
      <c r="D3551" t="s">
        <v>13</v>
      </c>
    </row>
    <row r="3552" spans="1:4" x14ac:dyDescent="0.35">
      <c r="A3552">
        <v>684</v>
      </c>
      <c r="B3552" t="s">
        <v>2675</v>
      </c>
      <c r="C3552" t="s">
        <v>517</v>
      </c>
      <c r="D3552" t="s">
        <v>13</v>
      </c>
    </row>
    <row r="3553" spans="1:4" x14ac:dyDescent="0.35">
      <c r="A3553">
        <v>684</v>
      </c>
      <c r="B3553" t="s">
        <v>2676</v>
      </c>
      <c r="C3553" t="s">
        <v>517</v>
      </c>
      <c r="D3553" t="s">
        <v>13</v>
      </c>
    </row>
    <row r="3554" spans="1:4" x14ac:dyDescent="0.35">
      <c r="A3554">
        <v>684</v>
      </c>
      <c r="B3554" t="s">
        <v>2677</v>
      </c>
      <c r="C3554" t="s">
        <v>517</v>
      </c>
      <c r="D3554" t="s">
        <v>13</v>
      </c>
    </row>
    <row r="3555" spans="1:4" x14ac:dyDescent="0.35">
      <c r="A3555">
        <v>685</v>
      </c>
      <c r="B3555" t="s">
        <v>2678</v>
      </c>
      <c r="C3555" t="s">
        <v>72</v>
      </c>
      <c r="D3555" t="s">
        <v>13</v>
      </c>
    </row>
    <row r="3556" spans="1:4" x14ac:dyDescent="0.35">
      <c r="A3556">
        <v>685</v>
      </c>
      <c r="B3556" t="s">
        <v>2679</v>
      </c>
      <c r="C3556" t="s">
        <v>72</v>
      </c>
      <c r="D3556" t="s">
        <v>13</v>
      </c>
    </row>
    <row r="3557" spans="1:4" x14ac:dyDescent="0.35">
      <c r="A3557">
        <v>685</v>
      </c>
      <c r="B3557" t="s">
        <v>2680</v>
      </c>
      <c r="C3557" t="s">
        <v>72</v>
      </c>
      <c r="D3557" t="s">
        <v>13</v>
      </c>
    </row>
    <row r="3558" spans="1:4" x14ac:dyDescent="0.35">
      <c r="A3558">
        <v>686</v>
      </c>
      <c r="B3558" t="s">
        <v>2681</v>
      </c>
      <c r="C3558" t="s">
        <v>56</v>
      </c>
      <c r="D3558" t="s">
        <v>13</v>
      </c>
    </row>
    <row r="3559" spans="1:4" x14ac:dyDescent="0.35">
      <c r="A3559">
        <v>686</v>
      </c>
      <c r="B3559" t="s">
        <v>2670</v>
      </c>
      <c r="C3559" t="s">
        <v>189</v>
      </c>
      <c r="D3559" t="s">
        <v>6</v>
      </c>
    </row>
    <row r="3560" spans="1:4" x14ac:dyDescent="0.35">
      <c r="A3560">
        <v>686</v>
      </c>
      <c r="B3560" t="s">
        <v>2670</v>
      </c>
      <c r="C3560" t="s">
        <v>56</v>
      </c>
      <c r="D3560" t="s">
        <v>13</v>
      </c>
    </row>
    <row r="3561" spans="1:4" x14ac:dyDescent="0.35">
      <c r="A3561">
        <v>686</v>
      </c>
      <c r="B3561" t="s">
        <v>2671</v>
      </c>
      <c r="C3561" t="s">
        <v>56</v>
      </c>
      <c r="D3561" t="s">
        <v>13</v>
      </c>
    </row>
    <row r="3562" spans="1:4" x14ac:dyDescent="0.35">
      <c r="A3562">
        <v>686</v>
      </c>
      <c r="B3562" t="s">
        <v>1120</v>
      </c>
      <c r="C3562" t="s">
        <v>56</v>
      </c>
      <c r="D3562" t="s">
        <v>13</v>
      </c>
    </row>
    <row r="3563" spans="1:4" x14ac:dyDescent="0.35">
      <c r="A3563">
        <v>686</v>
      </c>
      <c r="B3563" t="s">
        <v>924</v>
      </c>
      <c r="C3563" t="s">
        <v>56</v>
      </c>
      <c r="D3563" t="s">
        <v>13</v>
      </c>
    </row>
    <row r="3564" spans="1:4" x14ac:dyDescent="0.35">
      <c r="A3564">
        <v>687</v>
      </c>
      <c r="B3564" t="s">
        <v>2682</v>
      </c>
      <c r="C3564" t="s">
        <v>19</v>
      </c>
      <c r="D3564" t="s">
        <v>13</v>
      </c>
    </row>
    <row r="3565" spans="1:4" x14ac:dyDescent="0.35">
      <c r="A3565">
        <v>687</v>
      </c>
      <c r="B3565" t="s">
        <v>2683</v>
      </c>
      <c r="C3565" t="s">
        <v>19</v>
      </c>
      <c r="D3565" t="s">
        <v>13</v>
      </c>
    </row>
    <row r="3566" spans="1:4" x14ac:dyDescent="0.35">
      <c r="A3566">
        <v>688</v>
      </c>
      <c r="B3566" t="s">
        <v>2684</v>
      </c>
      <c r="C3566" t="s">
        <v>72</v>
      </c>
      <c r="D3566" t="s">
        <v>13</v>
      </c>
    </row>
    <row r="3567" spans="1:4" x14ac:dyDescent="0.35">
      <c r="A3567">
        <v>688</v>
      </c>
      <c r="B3567" t="s">
        <v>2685</v>
      </c>
      <c r="C3567" t="s">
        <v>2686</v>
      </c>
      <c r="D3567" t="s">
        <v>13</v>
      </c>
    </row>
    <row r="3568" spans="1:4" x14ac:dyDescent="0.35">
      <c r="A3568">
        <v>688</v>
      </c>
      <c r="B3568" t="s">
        <v>2687</v>
      </c>
      <c r="C3568" t="s">
        <v>72</v>
      </c>
      <c r="D3568" t="s">
        <v>13</v>
      </c>
    </row>
    <row r="3569" spans="1:4" x14ac:dyDescent="0.35">
      <c r="A3569">
        <v>688</v>
      </c>
      <c r="B3569" t="s">
        <v>2688</v>
      </c>
      <c r="C3569" t="s">
        <v>72</v>
      </c>
      <c r="D3569" t="s">
        <v>13</v>
      </c>
    </row>
    <row r="3570" spans="1:4" x14ac:dyDescent="0.35">
      <c r="A3570">
        <v>688</v>
      </c>
      <c r="B3570" t="s">
        <v>2689</v>
      </c>
      <c r="C3570" t="s">
        <v>72</v>
      </c>
      <c r="D3570" t="s">
        <v>13</v>
      </c>
    </row>
    <row r="3571" spans="1:4" x14ac:dyDescent="0.35">
      <c r="A3571">
        <v>688</v>
      </c>
      <c r="B3571" t="s">
        <v>2690</v>
      </c>
      <c r="C3571" t="s">
        <v>72</v>
      </c>
      <c r="D3571" t="s">
        <v>13</v>
      </c>
    </row>
    <row r="3572" spans="1:4" x14ac:dyDescent="0.35">
      <c r="A3572">
        <v>689</v>
      </c>
      <c r="B3572" t="s">
        <v>2691</v>
      </c>
      <c r="C3572" t="s">
        <v>164</v>
      </c>
      <c r="D3572" t="s">
        <v>13</v>
      </c>
    </row>
    <row r="3573" spans="1:4" x14ac:dyDescent="0.35">
      <c r="A3573">
        <v>689</v>
      </c>
      <c r="B3573" t="s">
        <v>2692</v>
      </c>
      <c r="C3573" t="s">
        <v>164</v>
      </c>
      <c r="D3573" t="s">
        <v>13</v>
      </c>
    </row>
    <row r="3574" spans="1:4" x14ac:dyDescent="0.35">
      <c r="A3574">
        <v>689</v>
      </c>
      <c r="B3574" t="s">
        <v>2693</v>
      </c>
      <c r="C3574" t="s">
        <v>164</v>
      </c>
      <c r="D3574" t="s">
        <v>13</v>
      </c>
    </row>
    <row r="3575" spans="1:4" x14ac:dyDescent="0.35">
      <c r="A3575">
        <v>690</v>
      </c>
      <c r="B3575" t="s">
        <v>1654</v>
      </c>
      <c r="C3575" t="s">
        <v>72</v>
      </c>
      <c r="D3575" t="s">
        <v>13</v>
      </c>
    </row>
    <row r="3576" spans="1:4" x14ac:dyDescent="0.35">
      <c r="A3576">
        <v>690</v>
      </c>
      <c r="B3576" t="s">
        <v>2694</v>
      </c>
      <c r="C3576" t="s">
        <v>72</v>
      </c>
      <c r="D3576" t="s">
        <v>13</v>
      </c>
    </row>
    <row r="3577" spans="1:4" x14ac:dyDescent="0.35">
      <c r="A3577">
        <v>690</v>
      </c>
      <c r="B3577" t="s">
        <v>2695</v>
      </c>
      <c r="C3577" t="s">
        <v>72</v>
      </c>
      <c r="D3577" t="s">
        <v>13</v>
      </c>
    </row>
    <row r="3578" spans="1:4" x14ac:dyDescent="0.35">
      <c r="A3578">
        <v>691</v>
      </c>
      <c r="B3578" t="s">
        <v>2696</v>
      </c>
      <c r="C3578" t="s">
        <v>341</v>
      </c>
      <c r="D3578" t="s">
        <v>13</v>
      </c>
    </row>
    <row r="3579" spans="1:4" x14ac:dyDescent="0.35">
      <c r="A3579">
        <v>691</v>
      </c>
      <c r="B3579" t="s">
        <v>2697</v>
      </c>
      <c r="C3579" t="s">
        <v>341</v>
      </c>
      <c r="D3579" t="s">
        <v>13</v>
      </c>
    </row>
    <row r="3580" spans="1:4" x14ac:dyDescent="0.35">
      <c r="A3580">
        <v>691</v>
      </c>
      <c r="B3580" t="s">
        <v>339</v>
      </c>
      <c r="C3580" t="s">
        <v>72</v>
      </c>
      <c r="D3580" t="s">
        <v>13</v>
      </c>
    </row>
    <row r="3581" spans="1:4" x14ac:dyDescent="0.35">
      <c r="A3581">
        <v>691</v>
      </c>
      <c r="B3581" t="s">
        <v>340</v>
      </c>
      <c r="C3581" t="s">
        <v>72</v>
      </c>
      <c r="D3581" t="s">
        <v>13</v>
      </c>
    </row>
    <row r="3582" spans="1:4" x14ac:dyDescent="0.35">
      <c r="A3582">
        <v>691</v>
      </c>
      <c r="B3582" t="s">
        <v>340</v>
      </c>
      <c r="C3582" t="s">
        <v>341</v>
      </c>
      <c r="D3582" t="s">
        <v>13</v>
      </c>
    </row>
    <row r="3583" spans="1:4" x14ac:dyDescent="0.35">
      <c r="A3583">
        <v>691</v>
      </c>
      <c r="B3583" t="s">
        <v>342</v>
      </c>
      <c r="C3583" t="s">
        <v>341</v>
      </c>
      <c r="D3583" t="s">
        <v>13</v>
      </c>
    </row>
    <row r="3584" spans="1:4" x14ac:dyDescent="0.35">
      <c r="A3584">
        <v>691</v>
      </c>
      <c r="B3584" t="s">
        <v>2489</v>
      </c>
      <c r="C3584" t="s">
        <v>72</v>
      </c>
      <c r="D3584" t="s">
        <v>13</v>
      </c>
    </row>
    <row r="3585" spans="1:4" x14ac:dyDescent="0.35">
      <c r="A3585">
        <v>691</v>
      </c>
      <c r="B3585" t="s">
        <v>2489</v>
      </c>
      <c r="C3585" t="s">
        <v>93</v>
      </c>
      <c r="D3585" t="s">
        <v>13</v>
      </c>
    </row>
    <row r="3586" spans="1:4" x14ac:dyDescent="0.35">
      <c r="A3586">
        <v>691</v>
      </c>
      <c r="B3586" t="s">
        <v>2490</v>
      </c>
      <c r="C3586" t="s">
        <v>72</v>
      </c>
      <c r="D3586" t="s">
        <v>13</v>
      </c>
    </row>
    <row r="3587" spans="1:4" x14ac:dyDescent="0.35">
      <c r="A3587">
        <v>691</v>
      </c>
      <c r="B3587" t="s">
        <v>2698</v>
      </c>
      <c r="C3587" t="s">
        <v>72</v>
      </c>
      <c r="D3587" t="s">
        <v>13</v>
      </c>
    </row>
    <row r="3588" spans="1:4" x14ac:dyDescent="0.35">
      <c r="A3588">
        <v>692</v>
      </c>
      <c r="B3588" t="s">
        <v>2699</v>
      </c>
      <c r="C3588" t="s">
        <v>72</v>
      </c>
      <c r="D3588" t="s">
        <v>13</v>
      </c>
    </row>
    <row r="3589" spans="1:4" x14ac:dyDescent="0.35">
      <c r="A3589">
        <v>692</v>
      </c>
      <c r="B3589" t="s">
        <v>2700</v>
      </c>
      <c r="C3589" t="s">
        <v>72</v>
      </c>
      <c r="D3589" t="s">
        <v>13</v>
      </c>
    </row>
    <row r="3590" spans="1:4" x14ac:dyDescent="0.35">
      <c r="A3590">
        <v>692</v>
      </c>
      <c r="B3590" t="s">
        <v>2701</v>
      </c>
      <c r="C3590" t="s">
        <v>72</v>
      </c>
      <c r="D3590" t="s">
        <v>13</v>
      </c>
    </row>
    <row r="3591" spans="1:4" x14ac:dyDescent="0.35">
      <c r="A3591">
        <v>692</v>
      </c>
      <c r="B3591" t="s">
        <v>2702</v>
      </c>
      <c r="C3591" t="s">
        <v>72</v>
      </c>
      <c r="D3591" t="s">
        <v>13</v>
      </c>
    </row>
    <row r="3592" spans="1:4" x14ac:dyDescent="0.35">
      <c r="A3592">
        <v>693</v>
      </c>
      <c r="B3592" t="s">
        <v>1823</v>
      </c>
      <c r="C3592" t="s">
        <v>93</v>
      </c>
      <c r="D3592" t="s">
        <v>13</v>
      </c>
    </row>
    <row r="3593" spans="1:4" x14ac:dyDescent="0.35">
      <c r="A3593">
        <v>693</v>
      </c>
      <c r="B3593" t="s">
        <v>1823</v>
      </c>
      <c r="C3593" t="s">
        <v>40</v>
      </c>
      <c r="D3593" t="s">
        <v>13</v>
      </c>
    </row>
    <row r="3594" spans="1:4" x14ac:dyDescent="0.35">
      <c r="A3594">
        <v>693</v>
      </c>
      <c r="B3594" t="s">
        <v>2703</v>
      </c>
      <c r="C3594" t="s">
        <v>98</v>
      </c>
      <c r="D3594" t="s">
        <v>13</v>
      </c>
    </row>
    <row r="3595" spans="1:4" x14ac:dyDescent="0.35">
      <c r="A3595">
        <v>693</v>
      </c>
      <c r="B3595" t="s">
        <v>1824</v>
      </c>
      <c r="C3595" t="s">
        <v>93</v>
      </c>
      <c r="D3595" t="s">
        <v>13</v>
      </c>
    </row>
    <row r="3596" spans="1:4" x14ac:dyDescent="0.35">
      <c r="A3596">
        <v>693</v>
      </c>
      <c r="B3596" t="s">
        <v>1825</v>
      </c>
      <c r="C3596" t="s">
        <v>93</v>
      </c>
      <c r="D3596" t="s">
        <v>13</v>
      </c>
    </row>
    <row r="3597" spans="1:4" x14ac:dyDescent="0.35">
      <c r="A3597">
        <v>693</v>
      </c>
      <c r="B3597" t="s">
        <v>2411</v>
      </c>
      <c r="C3597" t="s">
        <v>19</v>
      </c>
      <c r="D3597" t="s">
        <v>13</v>
      </c>
    </row>
    <row r="3598" spans="1:4" x14ac:dyDescent="0.35">
      <c r="A3598">
        <v>693</v>
      </c>
      <c r="B3598" t="s">
        <v>2411</v>
      </c>
      <c r="C3598" t="s">
        <v>98</v>
      </c>
      <c r="D3598" t="s">
        <v>13</v>
      </c>
    </row>
    <row r="3599" spans="1:4" x14ac:dyDescent="0.35">
      <c r="A3599">
        <v>693</v>
      </c>
      <c r="B3599" t="s">
        <v>2412</v>
      </c>
      <c r="C3599" t="s">
        <v>98</v>
      </c>
      <c r="D3599" t="s">
        <v>13</v>
      </c>
    </row>
    <row r="3600" spans="1:4" x14ac:dyDescent="0.35">
      <c r="A3600">
        <v>694</v>
      </c>
      <c r="B3600" t="s">
        <v>2704</v>
      </c>
      <c r="C3600" t="s">
        <v>19</v>
      </c>
      <c r="D3600" t="s">
        <v>13</v>
      </c>
    </row>
    <row r="3601" spans="1:4" x14ac:dyDescent="0.35">
      <c r="A3601">
        <v>694</v>
      </c>
      <c r="B3601" t="s">
        <v>2705</v>
      </c>
      <c r="C3601" t="s">
        <v>19</v>
      </c>
      <c r="D3601" t="s">
        <v>13</v>
      </c>
    </row>
    <row r="3602" spans="1:4" x14ac:dyDescent="0.35">
      <c r="A3602">
        <v>694</v>
      </c>
      <c r="B3602" t="s">
        <v>2706</v>
      </c>
      <c r="C3602" t="s">
        <v>19</v>
      </c>
      <c r="D3602" t="s">
        <v>13</v>
      </c>
    </row>
    <row r="3603" spans="1:4" x14ac:dyDescent="0.35">
      <c r="A3603">
        <v>694</v>
      </c>
      <c r="B3603" t="s">
        <v>2707</v>
      </c>
      <c r="C3603" t="s">
        <v>19</v>
      </c>
      <c r="D3603" t="s">
        <v>13</v>
      </c>
    </row>
    <row r="3604" spans="1:4" x14ac:dyDescent="0.35">
      <c r="A3604">
        <v>694</v>
      </c>
      <c r="B3604" t="s">
        <v>2708</v>
      </c>
      <c r="C3604" t="s">
        <v>19</v>
      </c>
      <c r="D3604" t="s">
        <v>13</v>
      </c>
    </row>
    <row r="3605" spans="1:4" x14ac:dyDescent="0.35">
      <c r="A3605">
        <v>694</v>
      </c>
      <c r="B3605" t="s">
        <v>2709</v>
      </c>
      <c r="C3605" t="s">
        <v>19</v>
      </c>
      <c r="D3605" t="s">
        <v>13</v>
      </c>
    </row>
    <row r="3606" spans="1:4" x14ac:dyDescent="0.35">
      <c r="A3606">
        <v>694</v>
      </c>
      <c r="B3606" t="s">
        <v>2710</v>
      </c>
      <c r="C3606" t="s">
        <v>19</v>
      </c>
      <c r="D3606" t="s">
        <v>13</v>
      </c>
    </row>
    <row r="3607" spans="1:4" x14ac:dyDescent="0.35">
      <c r="A3607">
        <v>694</v>
      </c>
      <c r="B3607" t="s">
        <v>2711</v>
      </c>
      <c r="C3607" t="s">
        <v>19</v>
      </c>
      <c r="D3607" t="s">
        <v>13</v>
      </c>
    </row>
    <row r="3608" spans="1:4" x14ac:dyDescent="0.35">
      <c r="A3608">
        <v>694</v>
      </c>
      <c r="B3608" t="s">
        <v>2712</v>
      </c>
      <c r="C3608" t="s">
        <v>19</v>
      </c>
      <c r="D3608" t="s">
        <v>13</v>
      </c>
    </row>
    <row r="3609" spans="1:4" x14ac:dyDescent="0.35">
      <c r="A3609">
        <v>694</v>
      </c>
      <c r="B3609" t="s">
        <v>2713</v>
      </c>
      <c r="C3609" t="s">
        <v>98</v>
      </c>
      <c r="D3609" t="s">
        <v>13</v>
      </c>
    </row>
    <row r="3610" spans="1:4" x14ac:dyDescent="0.35">
      <c r="A3610">
        <v>695</v>
      </c>
      <c r="B3610" t="s">
        <v>2714</v>
      </c>
      <c r="C3610" t="s">
        <v>19</v>
      </c>
      <c r="D3610" t="s">
        <v>13</v>
      </c>
    </row>
    <row r="3611" spans="1:4" x14ac:dyDescent="0.35">
      <c r="A3611">
        <v>695</v>
      </c>
      <c r="B3611" t="s">
        <v>2715</v>
      </c>
      <c r="C3611" t="s">
        <v>19</v>
      </c>
      <c r="D3611" t="s">
        <v>13</v>
      </c>
    </row>
    <row r="3612" spans="1:4" x14ac:dyDescent="0.35">
      <c r="A3612">
        <v>695</v>
      </c>
      <c r="B3612" t="s">
        <v>2716</v>
      </c>
      <c r="C3612" t="s">
        <v>19</v>
      </c>
      <c r="D3612" t="s">
        <v>13</v>
      </c>
    </row>
    <row r="3613" spans="1:4" x14ac:dyDescent="0.35">
      <c r="A3613">
        <v>696</v>
      </c>
      <c r="B3613" t="s">
        <v>2717</v>
      </c>
      <c r="C3613" t="s">
        <v>72</v>
      </c>
      <c r="D3613" t="s">
        <v>13</v>
      </c>
    </row>
    <row r="3614" spans="1:4" x14ac:dyDescent="0.35">
      <c r="A3614">
        <v>696</v>
      </c>
      <c r="B3614" t="s">
        <v>417</v>
      </c>
      <c r="C3614" t="s">
        <v>5</v>
      </c>
      <c r="D3614" t="s">
        <v>6</v>
      </c>
    </row>
    <row r="3615" spans="1:4" x14ac:dyDescent="0.35">
      <c r="A3615">
        <v>696</v>
      </c>
      <c r="B3615" t="s">
        <v>2605</v>
      </c>
      <c r="C3615" t="s">
        <v>72</v>
      </c>
      <c r="D3615" t="s">
        <v>13</v>
      </c>
    </row>
    <row r="3616" spans="1:4" x14ac:dyDescent="0.35">
      <c r="A3616">
        <v>696</v>
      </c>
      <c r="B3616" t="s">
        <v>2606</v>
      </c>
      <c r="C3616" t="s">
        <v>72</v>
      </c>
      <c r="D3616" t="s">
        <v>13</v>
      </c>
    </row>
    <row r="3617" spans="1:4" x14ac:dyDescent="0.35">
      <c r="A3617">
        <v>696</v>
      </c>
      <c r="B3617" t="s">
        <v>2607</v>
      </c>
      <c r="C3617" t="s">
        <v>72</v>
      </c>
      <c r="D3617" t="s">
        <v>13</v>
      </c>
    </row>
    <row r="3618" spans="1:4" x14ac:dyDescent="0.35">
      <c r="A3618">
        <v>697</v>
      </c>
      <c r="B3618" t="s">
        <v>2718</v>
      </c>
      <c r="C3618" t="s">
        <v>72</v>
      </c>
      <c r="D3618" t="s">
        <v>13</v>
      </c>
    </row>
    <row r="3619" spans="1:4" x14ac:dyDescent="0.35">
      <c r="A3619">
        <v>697</v>
      </c>
      <c r="B3619" t="s">
        <v>417</v>
      </c>
      <c r="C3619" t="s">
        <v>5</v>
      </c>
      <c r="D3619" t="s">
        <v>6</v>
      </c>
    </row>
    <row r="3620" spans="1:4" x14ac:dyDescent="0.35">
      <c r="A3620">
        <v>697</v>
      </c>
      <c r="B3620" t="s">
        <v>2604</v>
      </c>
      <c r="C3620" t="s">
        <v>72</v>
      </c>
      <c r="D3620" t="s">
        <v>13</v>
      </c>
    </row>
    <row r="3621" spans="1:4" x14ac:dyDescent="0.35">
      <c r="A3621">
        <v>697</v>
      </c>
      <c r="B3621" t="s">
        <v>2605</v>
      </c>
      <c r="C3621" t="s">
        <v>72</v>
      </c>
      <c r="D3621" t="s">
        <v>13</v>
      </c>
    </row>
    <row r="3622" spans="1:4" x14ac:dyDescent="0.35">
      <c r="A3622">
        <v>697</v>
      </c>
      <c r="B3622" t="s">
        <v>2606</v>
      </c>
      <c r="C3622" t="s">
        <v>72</v>
      </c>
      <c r="D3622" t="s">
        <v>13</v>
      </c>
    </row>
    <row r="3623" spans="1:4" x14ac:dyDescent="0.35">
      <c r="A3623">
        <v>697</v>
      </c>
      <c r="B3623" t="s">
        <v>2719</v>
      </c>
      <c r="C3623" t="s">
        <v>72</v>
      </c>
      <c r="D3623" t="s">
        <v>13</v>
      </c>
    </row>
    <row r="3624" spans="1:4" x14ac:dyDescent="0.35">
      <c r="A3624">
        <v>697</v>
      </c>
      <c r="B3624" t="s">
        <v>2607</v>
      </c>
      <c r="C3624" t="s">
        <v>72</v>
      </c>
      <c r="D3624" t="s">
        <v>13</v>
      </c>
    </row>
    <row r="3625" spans="1:4" x14ac:dyDescent="0.35">
      <c r="A3625">
        <v>698</v>
      </c>
      <c r="B3625" t="s">
        <v>2720</v>
      </c>
      <c r="C3625" t="s">
        <v>231</v>
      </c>
      <c r="D3625" t="s">
        <v>6</v>
      </c>
    </row>
    <row r="3626" spans="1:4" x14ac:dyDescent="0.35">
      <c r="A3626">
        <v>698</v>
      </c>
      <c r="B3626" t="s">
        <v>2721</v>
      </c>
      <c r="C3626" t="s">
        <v>231</v>
      </c>
      <c r="D3626" t="s">
        <v>6</v>
      </c>
    </row>
    <row r="3627" spans="1:4" x14ac:dyDescent="0.35">
      <c r="A3627">
        <v>698</v>
      </c>
      <c r="B3627" t="s">
        <v>2722</v>
      </c>
      <c r="C3627" t="s">
        <v>231</v>
      </c>
      <c r="D3627" t="s">
        <v>6</v>
      </c>
    </row>
    <row r="3628" spans="1:4" x14ac:dyDescent="0.35">
      <c r="A3628">
        <v>698</v>
      </c>
      <c r="B3628" t="s">
        <v>2723</v>
      </c>
      <c r="C3628" t="s">
        <v>231</v>
      </c>
      <c r="D3628" t="s">
        <v>6</v>
      </c>
    </row>
    <row r="3629" spans="1:4" x14ac:dyDescent="0.35">
      <c r="A3629">
        <v>699</v>
      </c>
      <c r="B3629" t="s">
        <v>2724</v>
      </c>
      <c r="C3629" t="s">
        <v>19</v>
      </c>
      <c r="D3629" t="s">
        <v>13</v>
      </c>
    </row>
    <row r="3630" spans="1:4" x14ac:dyDescent="0.35">
      <c r="A3630">
        <v>699</v>
      </c>
      <c r="B3630" t="s">
        <v>2725</v>
      </c>
      <c r="C3630" t="s">
        <v>19</v>
      </c>
      <c r="D3630" t="s">
        <v>13</v>
      </c>
    </row>
    <row r="3631" spans="1:4" x14ac:dyDescent="0.35">
      <c r="A3631">
        <v>699</v>
      </c>
      <c r="B3631" t="s">
        <v>2726</v>
      </c>
      <c r="C3631" t="s">
        <v>19</v>
      </c>
      <c r="D3631" t="s">
        <v>13</v>
      </c>
    </row>
    <row r="3632" spans="1:4" x14ac:dyDescent="0.35">
      <c r="A3632">
        <v>699</v>
      </c>
      <c r="B3632" t="s">
        <v>2727</v>
      </c>
      <c r="C3632" t="s">
        <v>19</v>
      </c>
      <c r="D3632" t="s">
        <v>13</v>
      </c>
    </row>
    <row r="3633" spans="1:4" x14ac:dyDescent="0.35">
      <c r="A3633">
        <v>699</v>
      </c>
      <c r="B3633" t="s">
        <v>2728</v>
      </c>
      <c r="C3633" t="s">
        <v>19</v>
      </c>
      <c r="D3633" t="s">
        <v>13</v>
      </c>
    </row>
    <row r="3634" spans="1:4" x14ac:dyDescent="0.35">
      <c r="A3634">
        <v>699</v>
      </c>
      <c r="B3634" t="s">
        <v>2729</v>
      </c>
      <c r="C3634" t="s">
        <v>19</v>
      </c>
      <c r="D3634" t="s">
        <v>13</v>
      </c>
    </row>
    <row r="3635" spans="1:4" x14ac:dyDescent="0.35">
      <c r="A3635">
        <v>699</v>
      </c>
      <c r="B3635" t="s">
        <v>2730</v>
      </c>
      <c r="C3635" t="s">
        <v>2731</v>
      </c>
      <c r="D3635" t="s">
        <v>13</v>
      </c>
    </row>
    <row r="3636" spans="1:4" x14ac:dyDescent="0.35">
      <c r="A3636">
        <v>700</v>
      </c>
      <c r="B3636" t="s">
        <v>2732</v>
      </c>
      <c r="C3636" t="s">
        <v>16</v>
      </c>
      <c r="D3636" t="s">
        <v>13</v>
      </c>
    </row>
    <row r="3637" spans="1:4" x14ac:dyDescent="0.35">
      <c r="A3637">
        <v>700</v>
      </c>
      <c r="B3637" t="s">
        <v>2733</v>
      </c>
      <c r="C3637" t="s">
        <v>16</v>
      </c>
      <c r="D3637" t="s">
        <v>13</v>
      </c>
    </row>
    <row r="3638" spans="1:4" x14ac:dyDescent="0.35">
      <c r="A3638">
        <v>700</v>
      </c>
      <c r="B3638" t="s">
        <v>2734</v>
      </c>
      <c r="C3638" t="s">
        <v>16</v>
      </c>
      <c r="D3638" t="s">
        <v>13</v>
      </c>
    </row>
    <row r="3639" spans="1:4" x14ac:dyDescent="0.35">
      <c r="A3639">
        <v>700</v>
      </c>
      <c r="B3639" t="s">
        <v>2735</v>
      </c>
      <c r="C3639" t="s">
        <v>16</v>
      </c>
      <c r="D3639" t="s">
        <v>13</v>
      </c>
    </row>
    <row r="3640" spans="1:4" x14ac:dyDescent="0.35">
      <c r="A3640">
        <v>701</v>
      </c>
      <c r="B3640" t="s">
        <v>1225</v>
      </c>
      <c r="C3640" t="s">
        <v>72</v>
      </c>
      <c r="D3640" t="s">
        <v>13</v>
      </c>
    </row>
    <row r="3641" spans="1:4" x14ac:dyDescent="0.35">
      <c r="A3641">
        <v>701</v>
      </c>
      <c r="B3641" t="s">
        <v>2736</v>
      </c>
      <c r="C3641" t="s">
        <v>72</v>
      </c>
      <c r="D3641" t="s">
        <v>13</v>
      </c>
    </row>
    <row r="3642" spans="1:4" x14ac:dyDescent="0.35">
      <c r="A3642">
        <v>701</v>
      </c>
      <c r="B3642" t="s">
        <v>2737</v>
      </c>
      <c r="C3642" t="s">
        <v>72</v>
      </c>
      <c r="D3642" t="s">
        <v>13</v>
      </c>
    </row>
    <row r="3643" spans="1:4" x14ac:dyDescent="0.35">
      <c r="A3643">
        <v>701</v>
      </c>
      <c r="B3643" t="s">
        <v>1144</v>
      </c>
      <c r="C3643" t="s">
        <v>72</v>
      </c>
      <c r="D3643" t="s">
        <v>13</v>
      </c>
    </row>
    <row r="3644" spans="1:4" x14ac:dyDescent="0.35">
      <c r="A3644">
        <v>701</v>
      </c>
      <c r="B3644" t="s">
        <v>1745</v>
      </c>
      <c r="C3644" t="s">
        <v>72</v>
      </c>
      <c r="D3644" t="s">
        <v>13</v>
      </c>
    </row>
    <row r="3645" spans="1:4" x14ac:dyDescent="0.35">
      <c r="A3645">
        <v>702</v>
      </c>
      <c r="B3645" t="s">
        <v>2738</v>
      </c>
      <c r="C3645" t="s">
        <v>1744</v>
      </c>
      <c r="D3645" t="s">
        <v>13</v>
      </c>
    </row>
    <row r="3646" spans="1:4" x14ac:dyDescent="0.35">
      <c r="A3646">
        <v>702</v>
      </c>
      <c r="B3646" t="s">
        <v>2739</v>
      </c>
      <c r="C3646" t="s">
        <v>93</v>
      </c>
      <c r="D3646" t="s">
        <v>13</v>
      </c>
    </row>
    <row r="3647" spans="1:4" x14ac:dyDescent="0.35">
      <c r="A3647">
        <v>702</v>
      </c>
      <c r="B3647" t="s">
        <v>2740</v>
      </c>
      <c r="C3647" t="s">
        <v>1744</v>
      </c>
      <c r="D3647" t="s">
        <v>13</v>
      </c>
    </row>
    <row r="3648" spans="1:4" x14ac:dyDescent="0.35">
      <c r="A3648">
        <v>702</v>
      </c>
      <c r="B3648" t="s">
        <v>2741</v>
      </c>
      <c r="C3648" t="s">
        <v>1744</v>
      </c>
      <c r="D3648" t="s">
        <v>13</v>
      </c>
    </row>
    <row r="3649" spans="1:4" x14ac:dyDescent="0.35">
      <c r="A3649">
        <v>703</v>
      </c>
      <c r="B3649" t="s">
        <v>2696</v>
      </c>
      <c r="C3649" t="s">
        <v>341</v>
      </c>
      <c r="D3649" t="s">
        <v>13</v>
      </c>
    </row>
    <row r="3650" spans="1:4" x14ac:dyDescent="0.35">
      <c r="A3650">
        <v>703</v>
      </c>
      <c r="B3650" t="s">
        <v>2742</v>
      </c>
      <c r="C3650" t="s">
        <v>72</v>
      </c>
      <c r="D3650" t="s">
        <v>13</v>
      </c>
    </row>
    <row r="3651" spans="1:4" x14ac:dyDescent="0.35">
      <c r="A3651">
        <v>703</v>
      </c>
      <c r="B3651" t="s">
        <v>2697</v>
      </c>
      <c r="C3651" t="s">
        <v>341</v>
      </c>
      <c r="D3651" t="s">
        <v>13</v>
      </c>
    </row>
    <row r="3652" spans="1:4" x14ac:dyDescent="0.35">
      <c r="A3652">
        <v>703</v>
      </c>
      <c r="B3652" t="s">
        <v>339</v>
      </c>
      <c r="C3652" t="s">
        <v>72</v>
      </c>
      <c r="D3652" t="s">
        <v>13</v>
      </c>
    </row>
    <row r="3653" spans="1:4" x14ac:dyDescent="0.35">
      <c r="A3653">
        <v>703</v>
      </c>
      <c r="B3653" t="s">
        <v>340</v>
      </c>
      <c r="C3653" t="s">
        <v>72</v>
      </c>
      <c r="D3653" t="s">
        <v>13</v>
      </c>
    </row>
    <row r="3654" spans="1:4" x14ac:dyDescent="0.35">
      <c r="A3654">
        <v>703</v>
      </c>
      <c r="B3654" t="s">
        <v>340</v>
      </c>
      <c r="C3654" t="s">
        <v>341</v>
      </c>
      <c r="D3654" t="s">
        <v>13</v>
      </c>
    </row>
    <row r="3655" spans="1:4" x14ac:dyDescent="0.35">
      <c r="A3655">
        <v>703</v>
      </c>
      <c r="B3655" t="s">
        <v>2743</v>
      </c>
      <c r="C3655" t="s">
        <v>72</v>
      </c>
      <c r="D3655" t="s">
        <v>13</v>
      </c>
    </row>
    <row r="3656" spans="1:4" x14ac:dyDescent="0.35">
      <c r="A3656">
        <v>703</v>
      </c>
      <c r="B3656" t="s">
        <v>342</v>
      </c>
      <c r="C3656" t="s">
        <v>341</v>
      </c>
      <c r="D3656" t="s">
        <v>13</v>
      </c>
    </row>
    <row r="3657" spans="1:4" x14ac:dyDescent="0.35">
      <c r="A3657">
        <v>703</v>
      </c>
      <c r="B3657" t="s">
        <v>2487</v>
      </c>
      <c r="C3657" t="s">
        <v>25</v>
      </c>
      <c r="D3657" t="s">
        <v>13</v>
      </c>
    </row>
    <row r="3658" spans="1:4" x14ac:dyDescent="0.35">
      <c r="A3658">
        <v>703</v>
      </c>
      <c r="B3658" t="s">
        <v>2744</v>
      </c>
      <c r="C3658" t="s">
        <v>25</v>
      </c>
      <c r="D3658" t="s">
        <v>13</v>
      </c>
    </row>
    <row r="3659" spans="1:4" x14ac:dyDescent="0.35">
      <c r="A3659">
        <v>703</v>
      </c>
      <c r="B3659" t="s">
        <v>2489</v>
      </c>
      <c r="C3659" t="s">
        <v>72</v>
      </c>
      <c r="D3659" t="s">
        <v>13</v>
      </c>
    </row>
    <row r="3660" spans="1:4" x14ac:dyDescent="0.35">
      <c r="A3660">
        <v>703</v>
      </c>
      <c r="B3660" t="s">
        <v>2489</v>
      </c>
      <c r="C3660" t="s">
        <v>93</v>
      </c>
      <c r="D3660" t="s">
        <v>13</v>
      </c>
    </row>
    <row r="3661" spans="1:4" x14ac:dyDescent="0.35">
      <c r="A3661">
        <v>703</v>
      </c>
      <c r="B3661" t="s">
        <v>2490</v>
      </c>
      <c r="C3661" t="s">
        <v>72</v>
      </c>
      <c r="D3661" t="s">
        <v>13</v>
      </c>
    </row>
    <row r="3662" spans="1:4" x14ac:dyDescent="0.35">
      <c r="A3662">
        <v>703</v>
      </c>
      <c r="B3662" t="s">
        <v>2491</v>
      </c>
      <c r="C3662" t="s">
        <v>25</v>
      </c>
      <c r="D3662" t="s">
        <v>13</v>
      </c>
    </row>
    <row r="3663" spans="1:4" x14ac:dyDescent="0.35">
      <c r="A3663">
        <v>703</v>
      </c>
      <c r="B3663" t="s">
        <v>2745</v>
      </c>
      <c r="C3663" t="s">
        <v>72</v>
      </c>
      <c r="D3663" t="s">
        <v>13</v>
      </c>
    </row>
    <row r="3664" spans="1:4" x14ac:dyDescent="0.35">
      <c r="A3664">
        <v>703</v>
      </c>
      <c r="B3664" t="s">
        <v>2698</v>
      </c>
      <c r="C3664" t="s">
        <v>72</v>
      </c>
      <c r="D3664" t="s">
        <v>13</v>
      </c>
    </row>
    <row r="3665" spans="1:4" x14ac:dyDescent="0.35">
      <c r="A3665">
        <v>704</v>
      </c>
      <c r="B3665" t="s">
        <v>2746</v>
      </c>
      <c r="C3665" t="s">
        <v>19</v>
      </c>
      <c r="D3665" t="s">
        <v>13</v>
      </c>
    </row>
    <row r="3666" spans="1:4" x14ac:dyDescent="0.35">
      <c r="A3666">
        <v>704</v>
      </c>
      <c r="B3666" t="s">
        <v>2747</v>
      </c>
      <c r="C3666" t="s">
        <v>19</v>
      </c>
      <c r="D3666" t="s">
        <v>13</v>
      </c>
    </row>
    <row r="3667" spans="1:4" x14ac:dyDescent="0.35">
      <c r="A3667">
        <v>704</v>
      </c>
      <c r="B3667" t="s">
        <v>2748</v>
      </c>
      <c r="C3667" t="s">
        <v>19</v>
      </c>
      <c r="D3667" t="s">
        <v>13</v>
      </c>
    </row>
    <row r="3668" spans="1:4" x14ac:dyDescent="0.35">
      <c r="A3668">
        <v>705</v>
      </c>
      <c r="B3668" t="s">
        <v>2749</v>
      </c>
      <c r="C3668" t="s">
        <v>16</v>
      </c>
      <c r="D3668" t="s">
        <v>13</v>
      </c>
    </row>
    <row r="3669" spans="1:4" x14ac:dyDescent="0.35">
      <c r="A3669">
        <v>705</v>
      </c>
      <c r="B3669" t="s">
        <v>2750</v>
      </c>
      <c r="C3669" t="s">
        <v>16</v>
      </c>
      <c r="D3669" t="s">
        <v>13</v>
      </c>
    </row>
    <row r="3670" spans="1:4" x14ac:dyDescent="0.35">
      <c r="A3670">
        <v>706</v>
      </c>
      <c r="B3670" t="s">
        <v>2751</v>
      </c>
      <c r="C3670" t="s">
        <v>48</v>
      </c>
      <c r="D3670" t="s">
        <v>13</v>
      </c>
    </row>
    <row r="3671" spans="1:4" x14ac:dyDescent="0.35">
      <c r="A3671">
        <v>706</v>
      </c>
      <c r="B3671" t="s">
        <v>2752</v>
      </c>
      <c r="C3671" t="s">
        <v>48</v>
      </c>
      <c r="D3671" t="s">
        <v>13</v>
      </c>
    </row>
    <row r="3672" spans="1:4" x14ac:dyDescent="0.35">
      <c r="A3672">
        <v>706</v>
      </c>
      <c r="B3672" t="s">
        <v>2753</v>
      </c>
      <c r="C3672" t="s">
        <v>1896</v>
      </c>
      <c r="D3672" t="s">
        <v>13</v>
      </c>
    </row>
    <row r="3673" spans="1:4" x14ac:dyDescent="0.35">
      <c r="A3673">
        <v>706</v>
      </c>
      <c r="B3673" t="s">
        <v>2753</v>
      </c>
      <c r="C3673" t="s">
        <v>2754</v>
      </c>
      <c r="D3673" t="s">
        <v>13</v>
      </c>
    </row>
    <row r="3674" spans="1:4" x14ac:dyDescent="0.35">
      <c r="A3674">
        <v>706</v>
      </c>
      <c r="B3674" t="s">
        <v>2755</v>
      </c>
      <c r="C3674" t="s">
        <v>72</v>
      </c>
      <c r="D3674" t="s">
        <v>13</v>
      </c>
    </row>
    <row r="3675" spans="1:4" x14ac:dyDescent="0.35">
      <c r="A3675">
        <v>706</v>
      </c>
      <c r="B3675" t="s">
        <v>2756</v>
      </c>
      <c r="C3675" t="s">
        <v>72</v>
      </c>
      <c r="D3675" t="s">
        <v>13</v>
      </c>
    </row>
    <row r="3676" spans="1:4" x14ac:dyDescent="0.35">
      <c r="A3676">
        <v>706</v>
      </c>
      <c r="B3676" t="s">
        <v>2757</v>
      </c>
      <c r="C3676" t="s">
        <v>48</v>
      </c>
      <c r="D3676" t="s">
        <v>13</v>
      </c>
    </row>
    <row r="3677" spans="1:4" x14ac:dyDescent="0.35">
      <c r="A3677">
        <v>706</v>
      </c>
      <c r="B3677" t="s">
        <v>2758</v>
      </c>
      <c r="C3677" t="s">
        <v>48</v>
      </c>
      <c r="D3677" t="s">
        <v>13</v>
      </c>
    </row>
    <row r="3678" spans="1:4" x14ac:dyDescent="0.35">
      <c r="A3678">
        <v>707</v>
      </c>
      <c r="B3678" t="s">
        <v>2759</v>
      </c>
      <c r="C3678" t="s">
        <v>72</v>
      </c>
      <c r="D3678" t="s">
        <v>13</v>
      </c>
    </row>
    <row r="3679" spans="1:4" x14ac:dyDescent="0.35">
      <c r="A3679">
        <v>707</v>
      </c>
      <c r="B3679" t="s">
        <v>2760</v>
      </c>
      <c r="C3679" t="s">
        <v>72</v>
      </c>
      <c r="D3679" t="s">
        <v>13</v>
      </c>
    </row>
    <row r="3680" spans="1:4" x14ac:dyDescent="0.35">
      <c r="A3680">
        <v>707</v>
      </c>
      <c r="B3680" t="s">
        <v>2338</v>
      </c>
      <c r="C3680" t="s">
        <v>72</v>
      </c>
      <c r="D3680" t="s">
        <v>13</v>
      </c>
    </row>
    <row r="3681" spans="1:4" x14ac:dyDescent="0.35">
      <c r="A3681">
        <v>707</v>
      </c>
      <c r="B3681" t="s">
        <v>2761</v>
      </c>
      <c r="C3681" t="s">
        <v>72</v>
      </c>
      <c r="D3681" t="s">
        <v>13</v>
      </c>
    </row>
    <row r="3682" spans="1:4" x14ac:dyDescent="0.35">
      <c r="A3682">
        <v>707</v>
      </c>
      <c r="B3682" t="s">
        <v>2341</v>
      </c>
      <c r="C3682" t="s">
        <v>72</v>
      </c>
      <c r="D3682" t="s">
        <v>13</v>
      </c>
    </row>
    <row r="3683" spans="1:4" x14ac:dyDescent="0.35">
      <c r="A3683">
        <v>707</v>
      </c>
      <c r="B3683" t="s">
        <v>2342</v>
      </c>
      <c r="C3683" t="s">
        <v>72</v>
      </c>
      <c r="D3683" t="s">
        <v>13</v>
      </c>
    </row>
    <row r="3684" spans="1:4" x14ac:dyDescent="0.35">
      <c r="A3684">
        <v>707</v>
      </c>
      <c r="B3684" t="s">
        <v>2762</v>
      </c>
      <c r="C3684" t="s">
        <v>72</v>
      </c>
      <c r="D3684" t="s">
        <v>13</v>
      </c>
    </row>
    <row r="3685" spans="1:4" x14ac:dyDescent="0.35">
      <c r="A3685">
        <v>707</v>
      </c>
      <c r="B3685" t="s">
        <v>2763</v>
      </c>
      <c r="C3685" t="s">
        <v>72</v>
      </c>
      <c r="D3685" t="s">
        <v>13</v>
      </c>
    </row>
    <row r="3686" spans="1:4" x14ac:dyDescent="0.35">
      <c r="A3686">
        <v>707</v>
      </c>
      <c r="B3686" t="s">
        <v>2764</v>
      </c>
      <c r="C3686" t="s">
        <v>72</v>
      </c>
      <c r="D3686" t="s">
        <v>13</v>
      </c>
    </row>
    <row r="3687" spans="1:4" x14ac:dyDescent="0.35">
      <c r="A3687">
        <v>708</v>
      </c>
      <c r="B3687" t="s">
        <v>1924</v>
      </c>
      <c r="C3687" t="s">
        <v>72</v>
      </c>
      <c r="D3687" t="s">
        <v>13</v>
      </c>
    </row>
    <row r="3688" spans="1:4" x14ac:dyDescent="0.35">
      <c r="A3688">
        <v>708</v>
      </c>
      <c r="B3688" t="s">
        <v>960</v>
      </c>
      <c r="C3688" t="s">
        <v>72</v>
      </c>
      <c r="D3688" t="s">
        <v>13</v>
      </c>
    </row>
    <row r="3689" spans="1:4" x14ac:dyDescent="0.35">
      <c r="A3689">
        <v>708</v>
      </c>
      <c r="B3689" t="s">
        <v>2765</v>
      </c>
      <c r="C3689" t="s">
        <v>72</v>
      </c>
      <c r="D3689" t="s">
        <v>13</v>
      </c>
    </row>
    <row r="3690" spans="1:4" x14ac:dyDescent="0.35">
      <c r="A3690">
        <v>708</v>
      </c>
      <c r="B3690" t="s">
        <v>2766</v>
      </c>
      <c r="C3690" t="s">
        <v>72</v>
      </c>
      <c r="D3690" t="s">
        <v>13</v>
      </c>
    </row>
    <row r="3691" spans="1:4" x14ac:dyDescent="0.35">
      <c r="A3691">
        <v>709</v>
      </c>
      <c r="B3691" t="s">
        <v>2767</v>
      </c>
      <c r="C3691" t="s">
        <v>5</v>
      </c>
      <c r="D3691" t="s">
        <v>6</v>
      </c>
    </row>
    <row r="3692" spans="1:4" x14ac:dyDescent="0.35">
      <c r="A3692">
        <v>709</v>
      </c>
      <c r="B3692" t="s">
        <v>2768</v>
      </c>
      <c r="C3692" t="s">
        <v>5</v>
      </c>
      <c r="D3692" t="s">
        <v>6</v>
      </c>
    </row>
    <row r="3693" spans="1:4" x14ac:dyDescent="0.35">
      <c r="A3693">
        <v>709</v>
      </c>
      <c r="B3693" t="s">
        <v>2769</v>
      </c>
      <c r="C3693" t="s">
        <v>5</v>
      </c>
      <c r="D3693" t="s">
        <v>6</v>
      </c>
    </row>
    <row r="3694" spans="1:4" x14ac:dyDescent="0.35">
      <c r="A3694">
        <v>709</v>
      </c>
      <c r="B3694" t="s">
        <v>214</v>
      </c>
      <c r="C3694" t="s">
        <v>5</v>
      </c>
      <c r="D3694" t="s">
        <v>6</v>
      </c>
    </row>
    <row r="3695" spans="1:4" x14ac:dyDescent="0.35">
      <c r="A3695">
        <v>709</v>
      </c>
      <c r="B3695" t="s">
        <v>2770</v>
      </c>
      <c r="C3695" t="s">
        <v>5</v>
      </c>
      <c r="D3695" t="s">
        <v>6</v>
      </c>
    </row>
    <row r="3696" spans="1:4" x14ac:dyDescent="0.35">
      <c r="A3696">
        <v>709</v>
      </c>
      <c r="B3696" t="s">
        <v>2771</v>
      </c>
      <c r="C3696" t="s">
        <v>5</v>
      </c>
      <c r="D3696" t="s">
        <v>6</v>
      </c>
    </row>
    <row r="3697" spans="1:4" x14ac:dyDescent="0.35">
      <c r="A3697">
        <v>710</v>
      </c>
      <c r="B3697" t="s">
        <v>2772</v>
      </c>
      <c r="C3697" t="s">
        <v>517</v>
      </c>
      <c r="D3697" t="s">
        <v>13</v>
      </c>
    </row>
    <row r="3698" spans="1:4" x14ac:dyDescent="0.35">
      <c r="A3698">
        <v>710</v>
      </c>
      <c r="B3698" t="s">
        <v>2773</v>
      </c>
      <c r="C3698" t="s">
        <v>517</v>
      </c>
      <c r="D3698" t="s">
        <v>13</v>
      </c>
    </row>
    <row r="3699" spans="1:4" x14ac:dyDescent="0.35">
      <c r="A3699">
        <v>710</v>
      </c>
      <c r="B3699" t="s">
        <v>2774</v>
      </c>
      <c r="C3699" t="s">
        <v>517</v>
      </c>
      <c r="D3699" t="s">
        <v>13</v>
      </c>
    </row>
    <row r="3700" spans="1:4" x14ac:dyDescent="0.35">
      <c r="A3700">
        <v>710</v>
      </c>
      <c r="B3700" t="s">
        <v>2775</v>
      </c>
      <c r="C3700" t="s">
        <v>164</v>
      </c>
      <c r="D3700" t="s">
        <v>13</v>
      </c>
    </row>
    <row r="3701" spans="1:4" x14ac:dyDescent="0.35">
      <c r="A3701">
        <v>710</v>
      </c>
      <c r="B3701" t="s">
        <v>2776</v>
      </c>
      <c r="C3701" t="s">
        <v>517</v>
      </c>
      <c r="D3701" t="s">
        <v>13</v>
      </c>
    </row>
    <row r="3702" spans="1:4" x14ac:dyDescent="0.35">
      <c r="A3702">
        <v>710</v>
      </c>
      <c r="B3702" t="s">
        <v>2776</v>
      </c>
      <c r="C3702" t="s">
        <v>35</v>
      </c>
      <c r="D3702" t="s">
        <v>13</v>
      </c>
    </row>
    <row r="3703" spans="1:4" x14ac:dyDescent="0.35">
      <c r="A3703">
        <v>711</v>
      </c>
      <c r="B3703" t="s">
        <v>2777</v>
      </c>
      <c r="C3703" t="s">
        <v>231</v>
      </c>
      <c r="D3703" t="s">
        <v>6</v>
      </c>
    </row>
    <row r="3704" spans="1:4" x14ac:dyDescent="0.35">
      <c r="A3704">
        <v>711</v>
      </c>
      <c r="B3704" t="s">
        <v>2778</v>
      </c>
      <c r="C3704" t="s">
        <v>231</v>
      </c>
      <c r="D3704" t="s">
        <v>6</v>
      </c>
    </row>
    <row r="3705" spans="1:4" x14ac:dyDescent="0.35">
      <c r="A3705">
        <v>711</v>
      </c>
      <c r="B3705" t="s">
        <v>2779</v>
      </c>
      <c r="C3705" t="s">
        <v>231</v>
      </c>
      <c r="D3705" t="s">
        <v>6</v>
      </c>
    </row>
    <row r="3706" spans="1:4" x14ac:dyDescent="0.35">
      <c r="A3706">
        <v>711</v>
      </c>
      <c r="B3706" t="s">
        <v>2780</v>
      </c>
      <c r="C3706" t="s">
        <v>231</v>
      </c>
      <c r="D3706" t="s">
        <v>6</v>
      </c>
    </row>
    <row r="3707" spans="1:4" x14ac:dyDescent="0.35">
      <c r="A3707">
        <v>712</v>
      </c>
      <c r="B3707" t="s">
        <v>2781</v>
      </c>
      <c r="C3707" t="s">
        <v>231</v>
      </c>
      <c r="D3707" t="s">
        <v>6</v>
      </c>
    </row>
    <row r="3708" spans="1:4" x14ac:dyDescent="0.35">
      <c r="A3708">
        <v>712</v>
      </c>
      <c r="B3708" t="s">
        <v>2782</v>
      </c>
      <c r="C3708" t="s">
        <v>48</v>
      </c>
      <c r="D3708" t="s">
        <v>13</v>
      </c>
    </row>
    <row r="3709" spans="1:4" x14ac:dyDescent="0.35">
      <c r="A3709">
        <v>712</v>
      </c>
      <c r="B3709" t="s">
        <v>2782</v>
      </c>
      <c r="C3709" t="s">
        <v>231</v>
      </c>
      <c r="D3709" t="s">
        <v>6</v>
      </c>
    </row>
    <row r="3710" spans="1:4" x14ac:dyDescent="0.35">
      <c r="A3710">
        <v>712</v>
      </c>
      <c r="B3710" t="s">
        <v>2783</v>
      </c>
      <c r="C3710" t="s">
        <v>48</v>
      </c>
      <c r="D3710" t="s">
        <v>13</v>
      </c>
    </row>
    <row r="3711" spans="1:4" x14ac:dyDescent="0.35">
      <c r="A3711">
        <v>713</v>
      </c>
      <c r="B3711" t="s">
        <v>1130</v>
      </c>
      <c r="C3711" t="s">
        <v>231</v>
      </c>
      <c r="D3711" t="s">
        <v>6</v>
      </c>
    </row>
    <row r="3712" spans="1:4" x14ac:dyDescent="0.35">
      <c r="A3712">
        <v>713</v>
      </c>
      <c r="B3712" t="s">
        <v>1130</v>
      </c>
      <c r="C3712" t="s">
        <v>245</v>
      </c>
      <c r="D3712" t="s">
        <v>13</v>
      </c>
    </row>
    <row r="3713" spans="1:4" x14ac:dyDescent="0.35">
      <c r="A3713">
        <v>713</v>
      </c>
      <c r="B3713" t="s">
        <v>2784</v>
      </c>
      <c r="C3713" t="s">
        <v>245</v>
      </c>
      <c r="D3713" t="s">
        <v>13</v>
      </c>
    </row>
    <row r="3714" spans="1:4" x14ac:dyDescent="0.35">
      <c r="A3714">
        <v>713</v>
      </c>
      <c r="B3714" t="s">
        <v>2784</v>
      </c>
      <c r="C3714" t="s">
        <v>231</v>
      </c>
      <c r="D3714" t="s">
        <v>6</v>
      </c>
    </row>
    <row r="3715" spans="1:4" x14ac:dyDescent="0.35">
      <c r="A3715">
        <v>713</v>
      </c>
      <c r="B3715" t="s">
        <v>2785</v>
      </c>
      <c r="C3715" t="s">
        <v>231</v>
      </c>
      <c r="D3715" t="s">
        <v>6</v>
      </c>
    </row>
    <row r="3716" spans="1:4" x14ac:dyDescent="0.35">
      <c r="A3716">
        <v>713</v>
      </c>
      <c r="B3716" t="s">
        <v>2786</v>
      </c>
      <c r="C3716" t="s">
        <v>231</v>
      </c>
      <c r="D3716" t="s">
        <v>6</v>
      </c>
    </row>
    <row r="3717" spans="1:4" x14ac:dyDescent="0.35">
      <c r="A3717">
        <v>713</v>
      </c>
      <c r="B3717" t="s">
        <v>2787</v>
      </c>
      <c r="C3717" t="s">
        <v>25</v>
      </c>
      <c r="D3717" t="s">
        <v>13</v>
      </c>
    </row>
    <row r="3718" spans="1:4" x14ac:dyDescent="0.35">
      <c r="A3718">
        <v>713</v>
      </c>
      <c r="B3718" t="s">
        <v>1134</v>
      </c>
      <c r="C3718" t="s">
        <v>231</v>
      </c>
      <c r="D3718" t="s">
        <v>6</v>
      </c>
    </row>
    <row r="3719" spans="1:4" x14ac:dyDescent="0.35">
      <c r="A3719">
        <v>713</v>
      </c>
      <c r="B3719" t="s">
        <v>2788</v>
      </c>
      <c r="C3719" t="s">
        <v>231</v>
      </c>
      <c r="D3719" t="s">
        <v>6</v>
      </c>
    </row>
    <row r="3720" spans="1:4" x14ac:dyDescent="0.35">
      <c r="A3720">
        <v>713</v>
      </c>
      <c r="B3720" t="s">
        <v>2789</v>
      </c>
      <c r="C3720" t="s">
        <v>231</v>
      </c>
      <c r="D3720" t="s">
        <v>6</v>
      </c>
    </row>
    <row r="3721" spans="1:4" x14ac:dyDescent="0.35">
      <c r="A3721">
        <v>714</v>
      </c>
      <c r="B3721" t="s">
        <v>2790</v>
      </c>
      <c r="C3721" t="s">
        <v>231</v>
      </c>
      <c r="D3721" t="s">
        <v>6</v>
      </c>
    </row>
    <row r="3722" spans="1:4" x14ac:dyDescent="0.35">
      <c r="A3722">
        <v>714</v>
      </c>
      <c r="B3722" t="s">
        <v>2791</v>
      </c>
      <c r="C3722" t="s">
        <v>231</v>
      </c>
      <c r="D3722" t="s">
        <v>6</v>
      </c>
    </row>
    <row r="3723" spans="1:4" x14ac:dyDescent="0.35">
      <c r="A3723">
        <v>714</v>
      </c>
      <c r="B3723" t="s">
        <v>2792</v>
      </c>
      <c r="C3723" t="s">
        <v>93</v>
      </c>
      <c r="D3723" t="s">
        <v>13</v>
      </c>
    </row>
    <row r="3724" spans="1:4" x14ac:dyDescent="0.35">
      <c r="A3724">
        <v>714</v>
      </c>
      <c r="B3724" t="s">
        <v>2792</v>
      </c>
      <c r="C3724" t="s">
        <v>16</v>
      </c>
      <c r="D3724" t="s">
        <v>13</v>
      </c>
    </row>
    <row r="3725" spans="1:4" x14ac:dyDescent="0.35">
      <c r="A3725">
        <v>715</v>
      </c>
      <c r="B3725" t="s">
        <v>1130</v>
      </c>
      <c r="C3725" t="s">
        <v>231</v>
      </c>
      <c r="D3725" t="s">
        <v>6</v>
      </c>
    </row>
    <row r="3726" spans="1:4" x14ac:dyDescent="0.35">
      <c r="A3726">
        <v>715</v>
      </c>
      <c r="B3726" t="s">
        <v>2793</v>
      </c>
      <c r="C3726" t="s">
        <v>497</v>
      </c>
      <c r="D3726" t="s">
        <v>13</v>
      </c>
    </row>
    <row r="3727" spans="1:4" x14ac:dyDescent="0.35">
      <c r="A3727">
        <v>715</v>
      </c>
      <c r="B3727" t="s">
        <v>2794</v>
      </c>
      <c r="C3727" t="s">
        <v>2021</v>
      </c>
      <c r="D3727" t="s">
        <v>13</v>
      </c>
    </row>
    <row r="3728" spans="1:4" x14ac:dyDescent="0.35">
      <c r="A3728">
        <v>715</v>
      </c>
      <c r="B3728" t="s">
        <v>2795</v>
      </c>
      <c r="C3728" t="s">
        <v>231</v>
      </c>
      <c r="D3728" t="s">
        <v>6</v>
      </c>
    </row>
    <row r="3729" spans="1:4" x14ac:dyDescent="0.35">
      <c r="A3729">
        <v>715</v>
      </c>
      <c r="B3729" t="s">
        <v>2796</v>
      </c>
      <c r="C3729" t="s">
        <v>231</v>
      </c>
      <c r="D3729" t="s">
        <v>6</v>
      </c>
    </row>
    <row r="3730" spans="1:4" x14ac:dyDescent="0.35">
      <c r="A3730">
        <v>716</v>
      </c>
      <c r="B3730" t="s">
        <v>2797</v>
      </c>
      <c r="C3730" t="s">
        <v>231</v>
      </c>
      <c r="D3730" t="s">
        <v>6</v>
      </c>
    </row>
    <row r="3731" spans="1:4" x14ac:dyDescent="0.35">
      <c r="A3731">
        <v>716</v>
      </c>
      <c r="B3731" t="s">
        <v>2798</v>
      </c>
      <c r="C3731" t="s">
        <v>231</v>
      </c>
      <c r="D3731" t="s">
        <v>6</v>
      </c>
    </row>
    <row r="3732" spans="1:4" x14ac:dyDescent="0.35">
      <c r="A3732">
        <v>716</v>
      </c>
      <c r="B3732" t="s">
        <v>2799</v>
      </c>
      <c r="C3732" t="s">
        <v>231</v>
      </c>
      <c r="D3732" t="s">
        <v>6</v>
      </c>
    </row>
    <row r="3733" spans="1:4" x14ac:dyDescent="0.35">
      <c r="A3733">
        <v>717</v>
      </c>
      <c r="B3733" t="s">
        <v>2800</v>
      </c>
      <c r="C3733" t="s">
        <v>98</v>
      </c>
      <c r="D3733" t="s">
        <v>13</v>
      </c>
    </row>
    <row r="3734" spans="1:4" x14ac:dyDescent="0.35">
      <c r="A3734">
        <v>717</v>
      </c>
      <c r="B3734" t="s">
        <v>1494</v>
      </c>
      <c r="C3734" t="s">
        <v>517</v>
      </c>
      <c r="D3734" t="s">
        <v>13</v>
      </c>
    </row>
    <row r="3735" spans="1:4" x14ac:dyDescent="0.35">
      <c r="A3735">
        <v>717</v>
      </c>
      <c r="B3735" t="s">
        <v>1494</v>
      </c>
      <c r="C3735" t="s">
        <v>98</v>
      </c>
      <c r="D3735" t="s">
        <v>13</v>
      </c>
    </row>
    <row r="3736" spans="1:4" x14ac:dyDescent="0.35">
      <c r="A3736">
        <v>717</v>
      </c>
      <c r="B3736" t="s">
        <v>2801</v>
      </c>
      <c r="C3736" t="s">
        <v>1896</v>
      </c>
      <c r="D3736" t="s">
        <v>13</v>
      </c>
    </row>
    <row r="3737" spans="1:4" x14ac:dyDescent="0.35">
      <c r="A3737">
        <v>717</v>
      </c>
      <c r="B3737" t="s">
        <v>2802</v>
      </c>
      <c r="C3737" t="s">
        <v>72</v>
      </c>
      <c r="D3737" t="s">
        <v>13</v>
      </c>
    </row>
    <row r="3738" spans="1:4" x14ac:dyDescent="0.35">
      <c r="A3738">
        <v>717</v>
      </c>
      <c r="B3738" t="s">
        <v>2803</v>
      </c>
      <c r="C3738" t="s">
        <v>517</v>
      </c>
      <c r="D3738" t="s">
        <v>13</v>
      </c>
    </row>
    <row r="3739" spans="1:4" x14ac:dyDescent="0.35">
      <c r="A3739">
        <v>717</v>
      </c>
      <c r="B3739" t="s">
        <v>1499</v>
      </c>
      <c r="C3739" t="s">
        <v>98</v>
      </c>
      <c r="D3739" t="s">
        <v>13</v>
      </c>
    </row>
    <row r="3740" spans="1:4" x14ac:dyDescent="0.35">
      <c r="A3740">
        <v>717</v>
      </c>
      <c r="B3740" t="s">
        <v>2804</v>
      </c>
      <c r="C3740" t="s">
        <v>667</v>
      </c>
      <c r="D3740" t="s">
        <v>13</v>
      </c>
    </row>
    <row r="3741" spans="1:4" x14ac:dyDescent="0.35">
      <c r="A3741">
        <v>717</v>
      </c>
      <c r="B3741" t="s">
        <v>2805</v>
      </c>
      <c r="C3741" t="s">
        <v>98</v>
      </c>
      <c r="D3741" t="s">
        <v>13</v>
      </c>
    </row>
    <row r="3742" spans="1:4" x14ac:dyDescent="0.35">
      <c r="A3742">
        <v>717</v>
      </c>
      <c r="B3742" t="s">
        <v>2806</v>
      </c>
      <c r="C3742" t="s">
        <v>35</v>
      </c>
      <c r="D3742" t="s">
        <v>13</v>
      </c>
    </row>
    <row r="3743" spans="1:4" x14ac:dyDescent="0.35">
      <c r="A3743">
        <v>717</v>
      </c>
      <c r="B3743" t="s">
        <v>2807</v>
      </c>
      <c r="C3743" t="s">
        <v>1896</v>
      </c>
      <c r="D3743" t="s">
        <v>13</v>
      </c>
    </row>
    <row r="3744" spans="1:4" x14ac:dyDescent="0.35">
      <c r="A3744">
        <v>717</v>
      </c>
      <c r="B3744" t="s">
        <v>2808</v>
      </c>
      <c r="C3744" t="s">
        <v>19</v>
      </c>
      <c r="D3744" t="s">
        <v>13</v>
      </c>
    </row>
    <row r="3745" spans="1:4" x14ac:dyDescent="0.35">
      <c r="A3745">
        <v>717</v>
      </c>
      <c r="B3745" t="s">
        <v>2809</v>
      </c>
      <c r="C3745" t="s">
        <v>98</v>
      </c>
      <c r="D3745" t="s">
        <v>13</v>
      </c>
    </row>
    <row r="3746" spans="1:4" x14ac:dyDescent="0.35">
      <c r="A3746">
        <v>717</v>
      </c>
      <c r="B3746" t="s">
        <v>1509</v>
      </c>
      <c r="C3746" t="s">
        <v>98</v>
      </c>
      <c r="D3746" t="s">
        <v>13</v>
      </c>
    </row>
    <row r="3747" spans="1:4" x14ac:dyDescent="0.35">
      <c r="A3747">
        <v>718</v>
      </c>
      <c r="B3747" t="s">
        <v>1060</v>
      </c>
      <c r="C3747" t="s">
        <v>19</v>
      </c>
      <c r="D3747" t="s">
        <v>13</v>
      </c>
    </row>
    <row r="3748" spans="1:4" x14ac:dyDescent="0.35">
      <c r="A3748">
        <v>718</v>
      </c>
      <c r="B3748" t="s">
        <v>2810</v>
      </c>
      <c r="C3748" t="s">
        <v>19</v>
      </c>
      <c r="D3748" t="s">
        <v>13</v>
      </c>
    </row>
    <row r="3749" spans="1:4" x14ac:dyDescent="0.35">
      <c r="A3749">
        <v>718</v>
      </c>
      <c r="B3749" t="s">
        <v>2811</v>
      </c>
      <c r="C3749" t="s">
        <v>72</v>
      </c>
      <c r="D3749" t="s">
        <v>13</v>
      </c>
    </row>
    <row r="3750" spans="1:4" x14ac:dyDescent="0.35">
      <c r="A3750">
        <v>718</v>
      </c>
      <c r="B3750" t="s">
        <v>2812</v>
      </c>
      <c r="C3750" t="s">
        <v>72</v>
      </c>
      <c r="D3750" t="s">
        <v>13</v>
      </c>
    </row>
    <row r="3751" spans="1:4" x14ac:dyDescent="0.35">
      <c r="A3751">
        <v>718</v>
      </c>
      <c r="B3751" t="s">
        <v>2813</v>
      </c>
      <c r="C3751" t="s">
        <v>72</v>
      </c>
      <c r="D3751" t="s">
        <v>13</v>
      </c>
    </row>
    <row r="3752" spans="1:4" x14ac:dyDescent="0.35">
      <c r="A3752">
        <v>718</v>
      </c>
      <c r="B3752" t="s">
        <v>2814</v>
      </c>
      <c r="C3752" t="s">
        <v>72</v>
      </c>
      <c r="D3752" t="s">
        <v>13</v>
      </c>
    </row>
    <row r="3753" spans="1:4" x14ac:dyDescent="0.35">
      <c r="A3753">
        <v>718</v>
      </c>
      <c r="B3753" t="s">
        <v>2815</v>
      </c>
      <c r="C3753" t="s">
        <v>72</v>
      </c>
      <c r="D3753" t="s">
        <v>13</v>
      </c>
    </row>
    <row r="3754" spans="1:4" x14ac:dyDescent="0.35">
      <c r="A3754">
        <v>719</v>
      </c>
      <c r="B3754" t="s">
        <v>387</v>
      </c>
      <c r="C3754" t="s">
        <v>19</v>
      </c>
      <c r="D3754" t="s">
        <v>13</v>
      </c>
    </row>
    <row r="3755" spans="1:4" x14ac:dyDescent="0.35">
      <c r="A3755">
        <v>719</v>
      </c>
      <c r="B3755" t="s">
        <v>179</v>
      </c>
      <c r="C3755" t="s">
        <v>19</v>
      </c>
      <c r="D3755" t="s">
        <v>13</v>
      </c>
    </row>
    <row r="3756" spans="1:4" x14ac:dyDescent="0.35">
      <c r="A3756">
        <v>719</v>
      </c>
      <c r="B3756" t="s">
        <v>2816</v>
      </c>
      <c r="C3756" t="s">
        <v>19</v>
      </c>
      <c r="D3756" t="s">
        <v>13</v>
      </c>
    </row>
    <row r="3757" spans="1:4" x14ac:dyDescent="0.35">
      <c r="A3757">
        <v>719</v>
      </c>
      <c r="B3757" t="s">
        <v>2817</v>
      </c>
      <c r="C3757" t="s">
        <v>45</v>
      </c>
      <c r="D3757" t="s">
        <v>6</v>
      </c>
    </row>
    <row r="3758" spans="1:4" x14ac:dyDescent="0.35">
      <c r="A3758">
        <v>719</v>
      </c>
      <c r="B3758" t="s">
        <v>2818</v>
      </c>
      <c r="C3758" t="s">
        <v>19</v>
      </c>
      <c r="D3758" t="s">
        <v>13</v>
      </c>
    </row>
    <row r="3759" spans="1:4" x14ac:dyDescent="0.35">
      <c r="A3759">
        <v>719</v>
      </c>
      <c r="B3759" t="s">
        <v>2819</v>
      </c>
      <c r="C3759" t="s">
        <v>45</v>
      </c>
      <c r="D3759" t="s">
        <v>6</v>
      </c>
    </row>
    <row r="3760" spans="1:4" x14ac:dyDescent="0.35">
      <c r="A3760">
        <v>719</v>
      </c>
      <c r="B3760" t="s">
        <v>180</v>
      </c>
      <c r="C3760" t="s">
        <v>19</v>
      </c>
      <c r="D3760" t="s">
        <v>13</v>
      </c>
    </row>
    <row r="3761" spans="1:4" x14ac:dyDescent="0.35">
      <c r="A3761">
        <v>720</v>
      </c>
      <c r="B3761" t="s">
        <v>2820</v>
      </c>
      <c r="C3761" t="s">
        <v>19</v>
      </c>
      <c r="D3761" t="s">
        <v>13</v>
      </c>
    </row>
    <row r="3762" spans="1:4" x14ac:dyDescent="0.35">
      <c r="A3762">
        <v>720</v>
      </c>
      <c r="B3762" t="s">
        <v>2821</v>
      </c>
      <c r="C3762" t="s">
        <v>19</v>
      </c>
      <c r="D3762" t="s">
        <v>13</v>
      </c>
    </row>
    <row r="3763" spans="1:4" x14ac:dyDescent="0.35">
      <c r="A3763">
        <v>721</v>
      </c>
      <c r="B3763" t="s">
        <v>2822</v>
      </c>
      <c r="C3763" t="s">
        <v>19</v>
      </c>
      <c r="D3763" t="s">
        <v>13</v>
      </c>
    </row>
    <row r="3764" spans="1:4" x14ac:dyDescent="0.35">
      <c r="A3764">
        <v>721</v>
      </c>
      <c r="B3764" t="s">
        <v>2823</v>
      </c>
      <c r="C3764" t="s">
        <v>19</v>
      </c>
      <c r="D3764" t="s">
        <v>13</v>
      </c>
    </row>
    <row r="3765" spans="1:4" x14ac:dyDescent="0.35">
      <c r="A3765">
        <v>722</v>
      </c>
      <c r="B3765" t="s">
        <v>1726</v>
      </c>
      <c r="C3765" t="s">
        <v>231</v>
      </c>
      <c r="D3765" t="s">
        <v>6</v>
      </c>
    </row>
    <row r="3766" spans="1:4" x14ac:dyDescent="0.35">
      <c r="A3766">
        <v>722</v>
      </c>
      <c r="B3766" t="s">
        <v>1726</v>
      </c>
      <c r="C3766" t="s">
        <v>153</v>
      </c>
      <c r="D3766" t="s">
        <v>13</v>
      </c>
    </row>
    <row r="3767" spans="1:4" x14ac:dyDescent="0.35">
      <c r="A3767">
        <v>722</v>
      </c>
      <c r="B3767" t="s">
        <v>1727</v>
      </c>
      <c r="C3767" t="s">
        <v>231</v>
      </c>
      <c r="D3767" t="s">
        <v>6</v>
      </c>
    </row>
    <row r="3768" spans="1:4" x14ac:dyDescent="0.35">
      <c r="A3768">
        <v>722</v>
      </c>
      <c r="B3768" t="s">
        <v>1728</v>
      </c>
      <c r="C3768" t="s">
        <v>231</v>
      </c>
      <c r="D3768" t="s">
        <v>6</v>
      </c>
    </row>
    <row r="3769" spans="1:4" x14ac:dyDescent="0.35">
      <c r="A3769">
        <v>722</v>
      </c>
      <c r="B3769" t="s">
        <v>1728</v>
      </c>
      <c r="C3769" t="s">
        <v>48</v>
      </c>
      <c r="D3769" t="s">
        <v>13</v>
      </c>
    </row>
    <row r="3770" spans="1:4" x14ac:dyDescent="0.35">
      <c r="A3770">
        <v>722</v>
      </c>
      <c r="B3770" t="s">
        <v>1728</v>
      </c>
      <c r="C3770" t="s">
        <v>22</v>
      </c>
      <c r="D3770" t="s">
        <v>13</v>
      </c>
    </row>
    <row r="3771" spans="1:4" x14ac:dyDescent="0.35">
      <c r="A3771">
        <v>722</v>
      </c>
      <c r="B3771" t="s">
        <v>1729</v>
      </c>
      <c r="C3771" t="s">
        <v>231</v>
      </c>
      <c r="D3771" t="s">
        <v>6</v>
      </c>
    </row>
    <row r="3772" spans="1:4" x14ac:dyDescent="0.35">
      <c r="A3772">
        <v>723</v>
      </c>
      <c r="B3772" t="s">
        <v>2824</v>
      </c>
      <c r="C3772" t="s">
        <v>157</v>
      </c>
      <c r="D3772" t="s">
        <v>6</v>
      </c>
    </row>
    <row r="3773" spans="1:4" x14ac:dyDescent="0.35">
      <c r="A3773">
        <v>723</v>
      </c>
      <c r="B3773" t="s">
        <v>2825</v>
      </c>
      <c r="C3773" t="s">
        <v>157</v>
      </c>
      <c r="D3773" t="s">
        <v>6</v>
      </c>
    </row>
    <row r="3774" spans="1:4" x14ac:dyDescent="0.35">
      <c r="A3774">
        <v>723</v>
      </c>
      <c r="B3774" t="s">
        <v>2826</v>
      </c>
      <c r="C3774" t="s">
        <v>48</v>
      </c>
      <c r="D3774" t="s">
        <v>13</v>
      </c>
    </row>
    <row r="3775" spans="1:4" x14ac:dyDescent="0.35">
      <c r="A3775">
        <v>723</v>
      </c>
      <c r="B3775" t="s">
        <v>2826</v>
      </c>
      <c r="C3775" t="s">
        <v>157</v>
      </c>
      <c r="D3775" t="s">
        <v>6</v>
      </c>
    </row>
    <row r="3776" spans="1:4" x14ac:dyDescent="0.35">
      <c r="A3776">
        <v>723</v>
      </c>
      <c r="B3776" t="s">
        <v>1283</v>
      </c>
      <c r="C3776" t="s">
        <v>157</v>
      </c>
      <c r="D3776" t="s">
        <v>6</v>
      </c>
    </row>
    <row r="3777" spans="1:4" x14ac:dyDescent="0.35">
      <c r="A3777">
        <v>724</v>
      </c>
      <c r="B3777" t="s">
        <v>2827</v>
      </c>
      <c r="C3777" t="s">
        <v>48</v>
      </c>
      <c r="D3777" t="s">
        <v>13</v>
      </c>
    </row>
    <row r="3778" spans="1:4" x14ac:dyDescent="0.35">
      <c r="A3778">
        <v>724</v>
      </c>
      <c r="B3778" t="s">
        <v>2828</v>
      </c>
      <c r="C3778" t="s">
        <v>48</v>
      </c>
      <c r="D3778" t="s">
        <v>13</v>
      </c>
    </row>
    <row r="3779" spans="1:4" x14ac:dyDescent="0.35">
      <c r="A3779">
        <v>725</v>
      </c>
      <c r="B3779" t="s">
        <v>2829</v>
      </c>
      <c r="C3779" t="s">
        <v>35</v>
      </c>
      <c r="D3779" t="s">
        <v>13</v>
      </c>
    </row>
    <row r="3780" spans="1:4" x14ac:dyDescent="0.35">
      <c r="A3780">
        <v>725</v>
      </c>
      <c r="B3780" t="s">
        <v>2830</v>
      </c>
      <c r="C3780" t="s">
        <v>189</v>
      </c>
      <c r="D3780" t="s">
        <v>6</v>
      </c>
    </row>
    <row r="3781" spans="1:4" x14ac:dyDescent="0.35">
      <c r="A3781">
        <v>725</v>
      </c>
      <c r="B3781" t="s">
        <v>2165</v>
      </c>
      <c r="C3781" t="s">
        <v>56</v>
      </c>
      <c r="D3781" t="s">
        <v>13</v>
      </c>
    </row>
    <row r="3782" spans="1:4" x14ac:dyDescent="0.35">
      <c r="A3782">
        <v>726</v>
      </c>
      <c r="B3782" t="s">
        <v>2482</v>
      </c>
      <c r="C3782" t="s">
        <v>25</v>
      </c>
      <c r="D3782" t="s">
        <v>13</v>
      </c>
    </row>
    <row r="3783" spans="1:4" x14ac:dyDescent="0.35">
      <c r="A3783">
        <v>726</v>
      </c>
      <c r="B3783" t="s">
        <v>2831</v>
      </c>
      <c r="C3783" t="s">
        <v>25</v>
      </c>
      <c r="D3783" t="s">
        <v>13</v>
      </c>
    </row>
    <row r="3784" spans="1:4" x14ac:dyDescent="0.35">
      <c r="A3784">
        <v>726</v>
      </c>
      <c r="B3784" t="s">
        <v>2832</v>
      </c>
      <c r="C3784" t="s">
        <v>5</v>
      </c>
      <c r="D3784" t="s">
        <v>6</v>
      </c>
    </row>
    <row r="3785" spans="1:4" x14ac:dyDescent="0.35">
      <c r="A3785">
        <v>726</v>
      </c>
      <c r="B3785" t="s">
        <v>2833</v>
      </c>
      <c r="C3785" t="s">
        <v>72</v>
      </c>
      <c r="D3785" t="s">
        <v>13</v>
      </c>
    </row>
    <row r="3786" spans="1:4" x14ac:dyDescent="0.35">
      <c r="A3786">
        <v>726</v>
      </c>
      <c r="B3786" t="s">
        <v>2834</v>
      </c>
      <c r="C3786" t="s">
        <v>72</v>
      </c>
      <c r="D3786" t="s">
        <v>13</v>
      </c>
    </row>
    <row r="3787" spans="1:4" x14ac:dyDescent="0.35">
      <c r="A3787">
        <v>726</v>
      </c>
      <c r="B3787" t="s">
        <v>2486</v>
      </c>
      <c r="C3787" t="s">
        <v>25</v>
      </c>
      <c r="D3787" t="s">
        <v>13</v>
      </c>
    </row>
    <row r="3788" spans="1:4" x14ac:dyDescent="0.35">
      <c r="A3788">
        <v>726</v>
      </c>
      <c r="B3788" t="s">
        <v>2489</v>
      </c>
      <c r="C3788" t="s">
        <v>93</v>
      </c>
      <c r="D3788" t="s">
        <v>13</v>
      </c>
    </row>
    <row r="3789" spans="1:4" x14ac:dyDescent="0.35">
      <c r="A3789">
        <v>726</v>
      </c>
      <c r="B3789" t="s">
        <v>2489</v>
      </c>
      <c r="C3789" t="s">
        <v>72</v>
      </c>
      <c r="D3789" t="s">
        <v>13</v>
      </c>
    </row>
    <row r="3790" spans="1:4" x14ac:dyDescent="0.35">
      <c r="A3790">
        <v>726</v>
      </c>
      <c r="B3790" t="s">
        <v>2490</v>
      </c>
      <c r="C3790" t="s">
        <v>72</v>
      </c>
      <c r="D3790" t="s">
        <v>13</v>
      </c>
    </row>
    <row r="3791" spans="1:4" x14ac:dyDescent="0.35">
      <c r="A3791">
        <v>726</v>
      </c>
      <c r="B3791" t="s">
        <v>2835</v>
      </c>
      <c r="C3791" t="s">
        <v>72</v>
      </c>
      <c r="D3791" t="s">
        <v>13</v>
      </c>
    </row>
    <row r="3792" spans="1:4" x14ac:dyDescent="0.35">
      <c r="A3792">
        <v>726</v>
      </c>
      <c r="B3792" t="s">
        <v>2698</v>
      </c>
      <c r="C3792" t="s">
        <v>72</v>
      </c>
      <c r="D3792" t="s">
        <v>13</v>
      </c>
    </row>
    <row r="3793" spans="1:4" x14ac:dyDescent="0.35">
      <c r="A3793">
        <v>727</v>
      </c>
      <c r="B3793" t="s">
        <v>2836</v>
      </c>
      <c r="C3793" t="s">
        <v>72</v>
      </c>
      <c r="D3793" t="s">
        <v>13</v>
      </c>
    </row>
    <row r="3794" spans="1:4" x14ac:dyDescent="0.35">
      <c r="A3794">
        <v>727</v>
      </c>
      <c r="B3794" t="s">
        <v>2837</v>
      </c>
      <c r="C3794" t="s">
        <v>72</v>
      </c>
      <c r="D3794" t="s">
        <v>13</v>
      </c>
    </row>
    <row r="3795" spans="1:4" x14ac:dyDescent="0.35">
      <c r="A3795">
        <v>727</v>
      </c>
      <c r="B3795" t="s">
        <v>803</v>
      </c>
      <c r="C3795" t="s">
        <v>72</v>
      </c>
      <c r="D3795" t="s">
        <v>13</v>
      </c>
    </row>
    <row r="3796" spans="1:4" x14ac:dyDescent="0.35">
      <c r="A3796">
        <v>727</v>
      </c>
      <c r="B3796" t="s">
        <v>2838</v>
      </c>
      <c r="C3796" t="s">
        <v>72</v>
      </c>
      <c r="D3796" t="s">
        <v>13</v>
      </c>
    </row>
    <row r="3797" spans="1:4" x14ac:dyDescent="0.35">
      <c r="A3797">
        <v>727</v>
      </c>
      <c r="B3797" t="s">
        <v>2839</v>
      </c>
      <c r="C3797" t="s">
        <v>231</v>
      </c>
      <c r="D3797" t="s">
        <v>6</v>
      </c>
    </row>
    <row r="3798" spans="1:4" x14ac:dyDescent="0.35">
      <c r="A3798">
        <v>727</v>
      </c>
      <c r="B3798" t="s">
        <v>805</v>
      </c>
      <c r="C3798" t="s">
        <v>72</v>
      </c>
      <c r="D3798" t="s">
        <v>13</v>
      </c>
    </row>
    <row r="3799" spans="1:4" x14ac:dyDescent="0.35">
      <c r="A3799">
        <v>727</v>
      </c>
      <c r="B3799" t="s">
        <v>2840</v>
      </c>
      <c r="C3799" t="s">
        <v>72</v>
      </c>
      <c r="D3799" t="s">
        <v>13</v>
      </c>
    </row>
    <row r="3800" spans="1:4" x14ac:dyDescent="0.35">
      <c r="A3800">
        <v>727</v>
      </c>
      <c r="B3800" t="s">
        <v>806</v>
      </c>
      <c r="C3800" t="s">
        <v>72</v>
      </c>
      <c r="D3800" t="s">
        <v>13</v>
      </c>
    </row>
    <row r="3801" spans="1:4" x14ac:dyDescent="0.35">
      <c r="A3801">
        <v>727</v>
      </c>
      <c r="B3801" t="s">
        <v>2841</v>
      </c>
      <c r="C3801" t="s">
        <v>72</v>
      </c>
      <c r="D3801" t="s">
        <v>13</v>
      </c>
    </row>
    <row r="3802" spans="1:4" x14ac:dyDescent="0.35">
      <c r="A3802">
        <v>727</v>
      </c>
      <c r="B3802" t="s">
        <v>2842</v>
      </c>
      <c r="C3802" t="s">
        <v>72</v>
      </c>
      <c r="D3802" t="s">
        <v>13</v>
      </c>
    </row>
    <row r="3803" spans="1:4" x14ac:dyDescent="0.35">
      <c r="A3803">
        <v>728</v>
      </c>
      <c r="B3803" t="s">
        <v>2843</v>
      </c>
      <c r="C3803" t="s">
        <v>56</v>
      </c>
      <c r="D3803" t="s">
        <v>13</v>
      </c>
    </row>
    <row r="3804" spans="1:4" x14ac:dyDescent="0.35">
      <c r="A3804">
        <v>728</v>
      </c>
      <c r="B3804" t="s">
        <v>2844</v>
      </c>
      <c r="C3804" t="s">
        <v>5</v>
      </c>
      <c r="D3804" t="s">
        <v>6</v>
      </c>
    </row>
    <row r="3805" spans="1:4" x14ac:dyDescent="0.35">
      <c r="A3805">
        <v>728</v>
      </c>
      <c r="B3805" t="s">
        <v>2845</v>
      </c>
      <c r="C3805" t="s">
        <v>5</v>
      </c>
      <c r="D3805" t="s">
        <v>6</v>
      </c>
    </row>
    <row r="3806" spans="1:4" x14ac:dyDescent="0.35">
      <c r="A3806">
        <v>728</v>
      </c>
      <c r="B3806" t="s">
        <v>2846</v>
      </c>
      <c r="C3806" t="s">
        <v>56</v>
      </c>
      <c r="D3806" t="s">
        <v>13</v>
      </c>
    </row>
    <row r="3807" spans="1:4" x14ac:dyDescent="0.35">
      <c r="A3807">
        <v>728</v>
      </c>
      <c r="B3807" t="s">
        <v>2847</v>
      </c>
      <c r="C3807" t="s">
        <v>5</v>
      </c>
      <c r="D3807" t="s">
        <v>6</v>
      </c>
    </row>
    <row r="3808" spans="1:4" x14ac:dyDescent="0.35">
      <c r="A3808">
        <v>728</v>
      </c>
      <c r="B3808" t="s">
        <v>2848</v>
      </c>
      <c r="C3808" t="s">
        <v>5</v>
      </c>
      <c r="D3808" t="s">
        <v>6</v>
      </c>
    </row>
    <row r="3809" spans="1:4" x14ac:dyDescent="0.35">
      <c r="A3809">
        <v>729</v>
      </c>
      <c r="B3809" t="s">
        <v>2849</v>
      </c>
      <c r="C3809" t="s">
        <v>19</v>
      </c>
      <c r="D3809" t="s">
        <v>13</v>
      </c>
    </row>
    <row r="3810" spans="1:4" x14ac:dyDescent="0.35">
      <c r="A3810">
        <v>729</v>
      </c>
      <c r="B3810" t="s">
        <v>2850</v>
      </c>
      <c r="C3810" t="s">
        <v>19</v>
      </c>
      <c r="D3810" t="s">
        <v>13</v>
      </c>
    </row>
    <row r="3811" spans="1:4" x14ac:dyDescent="0.35">
      <c r="A3811">
        <v>729</v>
      </c>
      <c r="B3811" t="s">
        <v>1686</v>
      </c>
      <c r="C3811" t="s">
        <v>19</v>
      </c>
      <c r="D3811" t="s">
        <v>13</v>
      </c>
    </row>
    <row r="3812" spans="1:4" x14ac:dyDescent="0.35">
      <c r="A3812">
        <v>729</v>
      </c>
      <c r="B3812" t="s">
        <v>2851</v>
      </c>
      <c r="C3812" t="s">
        <v>19</v>
      </c>
      <c r="D3812" t="s">
        <v>13</v>
      </c>
    </row>
    <row r="3813" spans="1:4" x14ac:dyDescent="0.35">
      <c r="A3813">
        <v>729</v>
      </c>
      <c r="B3813" t="s">
        <v>2852</v>
      </c>
      <c r="C3813" t="s">
        <v>19</v>
      </c>
      <c r="D3813" t="s">
        <v>13</v>
      </c>
    </row>
    <row r="3814" spans="1:4" x14ac:dyDescent="0.35">
      <c r="A3814">
        <v>730</v>
      </c>
      <c r="B3814" t="s">
        <v>2672</v>
      </c>
      <c r="C3814" t="s">
        <v>90</v>
      </c>
      <c r="D3814" t="s">
        <v>13</v>
      </c>
    </row>
    <row r="3815" spans="1:4" x14ac:dyDescent="0.35">
      <c r="A3815">
        <v>730</v>
      </c>
      <c r="B3815" t="s">
        <v>2673</v>
      </c>
      <c r="C3815" t="s">
        <v>517</v>
      </c>
      <c r="D3815" t="s">
        <v>13</v>
      </c>
    </row>
    <row r="3816" spans="1:4" x14ac:dyDescent="0.35">
      <c r="A3816">
        <v>730</v>
      </c>
      <c r="B3816" t="s">
        <v>2674</v>
      </c>
      <c r="C3816" t="s">
        <v>90</v>
      </c>
      <c r="D3816" t="s">
        <v>13</v>
      </c>
    </row>
    <row r="3817" spans="1:4" x14ac:dyDescent="0.35">
      <c r="A3817">
        <v>730</v>
      </c>
      <c r="B3817" t="s">
        <v>2853</v>
      </c>
      <c r="C3817" t="s">
        <v>19</v>
      </c>
      <c r="D3817" t="s">
        <v>13</v>
      </c>
    </row>
    <row r="3818" spans="1:4" x14ac:dyDescent="0.35">
      <c r="A3818">
        <v>730</v>
      </c>
      <c r="B3818" t="s">
        <v>2854</v>
      </c>
      <c r="C3818" t="s">
        <v>90</v>
      </c>
      <c r="D3818" t="s">
        <v>13</v>
      </c>
    </row>
    <row r="3819" spans="1:4" x14ac:dyDescent="0.35">
      <c r="A3819">
        <v>730</v>
      </c>
      <c r="B3819" t="s">
        <v>2675</v>
      </c>
      <c r="C3819" t="s">
        <v>517</v>
      </c>
      <c r="D3819" t="s">
        <v>13</v>
      </c>
    </row>
    <row r="3820" spans="1:4" x14ac:dyDescent="0.35">
      <c r="A3820">
        <v>730</v>
      </c>
      <c r="B3820" t="s">
        <v>2676</v>
      </c>
      <c r="C3820" t="s">
        <v>19</v>
      </c>
      <c r="D3820" t="s">
        <v>13</v>
      </c>
    </row>
    <row r="3821" spans="1:4" x14ac:dyDescent="0.35">
      <c r="A3821">
        <v>730</v>
      </c>
      <c r="B3821" t="s">
        <v>2677</v>
      </c>
      <c r="C3821" t="s">
        <v>72</v>
      </c>
      <c r="D3821" t="s">
        <v>13</v>
      </c>
    </row>
    <row r="3822" spans="1:4" x14ac:dyDescent="0.35">
      <c r="A3822">
        <v>731</v>
      </c>
      <c r="B3822" t="s">
        <v>2166</v>
      </c>
      <c r="C3822" t="s">
        <v>497</v>
      </c>
      <c r="D3822" t="s">
        <v>13</v>
      </c>
    </row>
    <row r="3823" spans="1:4" x14ac:dyDescent="0.35">
      <c r="A3823">
        <v>731</v>
      </c>
      <c r="B3823" t="s">
        <v>2166</v>
      </c>
      <c r="C3823" t="s">
        <v>245</v>
      </c>
      <c r="D3823" t="s">
        <v>13</v>
      </c>
    </row>
    <row r="3824" spans="1:4" x14ac:dyDescent="0.35">
      <c r="A3824">
        <v>731</v>
      </c>
      <c r="B3824" t="s">
        <v>2167</v>
      </c>
      <c r="C3824" t="s">
        <v>72</v>
      </c>
      <c r="D3824" t="s">
        <v>13</v>
      </c>
    </row>
    <row r="3825" spans="1:4" x14ac:dyDescent="0.35">
      <c r="A3825">
        <v>731</v>
      </c>
      <c r="B3825" t="s">
        <v>2168</v>
      </c>
      <c r="C3825" t="s">
        <v>72</v>
      </c>
      <c r="D3825" t="s">
        <v>13</v>
      </c>
    </row>
    <row r="3826" spans="1:4" x14ac:dyDescent="0.35">
      <c r="A3826">
        <v>731</v>
      </c>
      <c r="B3826" t="s">
        <v>1645</v>
      </c>
      <c r="C3826" t="s">
        <v>72</v>
      </c>
      <c r="D3826"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D7C74-7DF9-4EF9-89D6-4538BA7CA1BC}">
  <dimension ref="A1:J733"/>
  <sheetViews>
    <sheetView tabSelected="1" topLeftCell="A646" workbookViewId="0">
      <selection activeCell="B673" sqref="B673"/>
    </sheetView>
  </sheetViews>
  <sheetFormatPr defaultRowHeight="14.5" x14ac:dyDescent="0.35"/>
  <cols>
    <col min="2" max="2" width="202.453125" bestFit="1" customWidth="1"/>
    <col min="3" max="3" width="10.54296875" bestFit="1" customWidth="1"/>
    <col min="4" max="4" width="23.26953125" bestFit="1" customWidth="1"/>
    <col min="5" max="5" width="4.81640625" bestFit="1" customWidth="1"/>
    <col min="6" max="6" width="10.26953125" bestFit="1" customWidth="1"/>
    <col min="7" max="7" width="78.7265625" bestFit="1" customWidth="1"/>
    <col min="8" max="8" width="14.81640625" bestFit="1" customWidth="1"/>
    <col min="9" max="9" width="15.1796875" bestFit="1" customWidth="1"/>
    <col min="10" max="10" width="16.1796875" bestFit="1" customWidth="1"/>
  </cols>
  <sheetData>
    <row r="1" spans="1:10" x14ac:dyDescent="0.35">
      <c r="A1" t="s">
        <v>0</v>
      </c>
      <c r="B1" t="s">
        <v>3030</v>
      </c>
      <c r="C1" t="s">
        <v>2855</v>
      </c>
      <c r="D1" t="s">
        <v>2856</v>
      </c>
      <c r="E1" t="s">
        <v>2857</v>
      </c>
      <c r="F1" t="s">
        <v>2858</v>
      </c>
      <c r="G1" t="s">
        <v>2859</v>
      </c>
      <c r="H1" t="s">
        <v>2860</v>
      </c>
      <c r="I1" t="s">
        <v>2861</v>
      </c>
      <c r="J1" t="s">
        <v>3029</v>
      </c>
    </row>
    <row r="2" spans="1:10" x14ac:dyDescent="0.35">
      <c r="A2">
        <v>1</v>
      </c>
      <c r="B2" t="s">
        <v>3031</v>
      </c>
      <c r="C2">
        <v>5</v>
      </c>
      <c r="D2">
        <v>5</v>
      </c>
      <c r="E2">
        <v>2023</v>
      </c>
      <c r="F2">
        <v>24</v>
      </c>
      <c r="G2" t="s">
        <v>2862</v>
      </c>
      <c r="H2" t="s">
        <v>19</v>
      </c>
      <c r="I2" t="s">
        <v>2863</v>
      </c>
      <c r="J2" t="s">
        <v>5</v>
      </c>
    </row>
    <row r="3" spans="1:10" x14ac:dyDescent="0.35">
      <c r="A3">
        <v>2</v>
      </c>
      <c r="B3" t="s">
        <v>3032</v>
      </c>
      <c r="C3">
        <v>0</v>
      </c>
      <c r="D3">
        <v>4</v>
      </c>
      <c r="E3">
        <v>2023</v>
      </c>
      <c r="F3">
        <v>0</v>
      </c>
      <c r="G3" t="s">
        <v>2864</v>
      </c>
      <c r="H3" t="s">
        <v>93</v>
      </c>
      <c r="I3" t="s">
        <v>2865</v>
      </c>
      <c r="J3" t="s">
        <v>12</v>
      </c>
    </row>
    <row r="4" spans="1:10" x14ac:dyDescent="0.35">
      <c r="A4">
        <v>3</v>
      </c>
      <c r="B4" t="s">
        <v>3033</v>
      </c>
      <c r="C4">
        <v>0</v>
      </c>
      <c r="D4">
        <v>2</v>
      </c>
      <c r="E4">
        <v>2014</v>
      </c>
      <c r="F4">
        <v>50</v>
      </c>
      <c r="G4" t="s">
        <v>2866</v>
      </c>
      <c r="H4" t="s">
        <v>19</v>
      </c>
      <c r="I4" t="s">
        <v>2863</v>
      </c>
      <c r="J4" t="s">
        <v>19</v>
      </c>
    </row>
    <row r="5" spans="1:10" x14ac:dyDescent="0.35">
      <c r="A5">
        <v>4</v>
      </c>
      <c r="B5" t="s">
        <v>3034</v>
      </c>
      <c r="C5">
        <v>0</v>
      </c>
      <c r="D5">
        <v>7</v>
      </c>
      <c r="E5">
        <v>2022</v>
      </c>
      <c r="F5">
        <v>24</v>
      </c>
      <c r="G5" t="s">
        <v>2867</v>
      </c>
      <c r="H5" t="s">
        <v>19</v>
      </c>
      <c r="I5" t="s">
        <v>2863</v>
      </c>
      <c r="J5" t="s">
        <v>25</v>
      </c>
    </row>
    <row r="6" spans="1:10" x14ac:dyDescent="0.35">
      <c r="A6">
        <v>5</v>
      </c>
      <c r="B6" t="s">
        <v>3035</v>
      </c>
      <c r="C6">
        <v>0</v>
      </c>
      <c r="D6">
        <v>4</v>
      </c>
      <c r="E6">
        <v>2022</v>
      </c>
      <c r="F6">
        <v>4</v>
      </c>
      <c r="G6" t="s">
        <v>2868</v>
      </c>
      <c r="H6" t="s">
        <v>93</v>
      </c>
      <c r="I6" t="s">
        <v>2865</v>
      </c>
      <c r="J6" t="s">
        <v>19</v>
      </c>
    </row>
    <row r="7" spans="1:10" x14ac:dyDescent="0.35">
      <c r="A7">
        <v>6</v>
      </c>
      <c r="B7" t="s">
        <v>3036</v>
      </c>
      <c r="C7">
        <v>0</v>
      </c>
      <c r="D7">
        <v>4</v>
      </c>
      <c r="E7">
        <v>2014</v>
      </c>
      <c r="F7">
        <v>37</v>
      </c>
      <c r="G7" t="s">
        <v>2869</v>
      </c>
      <c r="H7" t="s">
        <v>93</v>
      </c>
      <c r="I7" t="s">
        <v>2865</v>
      </c>
      <c r="J7" t="s">
        <v>35</v>
      </c>
    </row>
    <row r="8" spans="1:10" x14ac:dyDescent="0.35">
      <c r="A8">
        <v>7</v>
      </c>
      <c r="B8" t="s">
        <v>3037</v>
      </c>
      <c r="C8">
        <v>5</v>
      </c>
      <c r="D8">
        <v>13</v>
      </c>
      <c r="E8">
        <v>2016</v>
      </c>
      <c r="F8">
        <v>23</v>
      </c>
      <c r="G8" t="s">
        <v>2870</v>
      </c>
      <c r="H8" t="s">
        <v>19</v>
      </c>
      <c r="I8" t="s">
        <v>2863</v>
      </c>
      <c r="J8" t="s">
        <v>40</v>
      </c>
    </row>
    <row r="9" spans="1:10" x14ac:dyDescent="0.35">
      <c r="A9">
        <v>8</v>
      </c>
      <c r="B9" t="s">
        <v>3038</v>
      </c>
      <c r="C9">
        <v>0</v>
      </c>
      <c r="D9">
        <v>13</v>
      </c>
      <c r="E9">
        <v>2019</v>
      </c>
      <c r="F9">
        <v>31</v>
      </c>
      <c r="G9" t="s">
        <v>2871</v>
      </c>
      <c r="H9" t="s">
        <v>19</v>
      </c>
      <c r="I9" t="s">
        <v>2863</v>
      </c>
      <c r="J9" t="s">
        <v>16</v>
      </c>
    </row>
    <row r="10" spans="1:10" x14ac:dyDescent="0.35">
      <c r="A10">
        <v>9</v>
      </c>
      <c r="B10" t="s">
        <v>3039</v>
      </c>
      <c r="C10">
        <v>0</v>
      </c>
      <c r="D10">
        <v>5</v>
      </c>
      <c r="E10">
        <v>2020</v>
      </c>
      <c r="F10">
        <v>10</v>
      </c>
      <c r="G10" t="s">
        <v>2864</v>
      </c>
      <c r="H10" t="s">
        <v>93</v>
      </c>
      <c r="I10" t="s">
        <v>2865</v>
      </c>
      <c r="J10" t="s">
        <v>72</v>
      </c>
    </row>
    <row r="11" spans="1:10" x14ac:dyDescent="0.35">
      <c r="A11">
        <v>10</v>
      </c>
      <c r="B11" t="s">
        <v>3040</v>
      </c>
      <c r="C11">
        <v>0</v>
      </c>
      <c r="D11">
        <v>9</v>
      </c>
      <c r="E11">
        <v>2020</v>
      </c>
      <c r="F11">
        <v>92</v>
      </c>
      <c r="G11" t="s">
        <v>2872</v>
      </c>
      <c r="H11" t="s">
        <v>2873</v>
      </c>
      <c r="I11" t="s">
        <v>2874</v>
      </c>
      <c r="J11" t="s">
        <v>72</v>
      </c>
    </row>
    <row r="12" spans="1:10" x14ac:dyDescent="0.35">
      <c r="A12">
        <v>11</v>
      </c>
      <c r="B12" t="s">
        <v>3041</v>
      </c>
      <c r="C12">
        <v>0</v>
      </c>
      <c r="D12">
        <v>4</v>
      </c>
      <c r="E12">
        <v>2014</v>
      </c>
      <c r="F12">
        <v>26</v>
      </c>
      <c r="G12" t="s">
        <v>2875</v>
      </c>
      <c r="H12" t="s">
        <v>19</v>
      </c>
      <c r="I12" t="s">
        <v>2863</v>
      </c>
      <c r="J12" t="s">
        <v>90</v>
      </c>
    </row>
    <row r="13" spans="1:10" x14ac:dyDescent="0.35">
      <c r="A13">
        <v>12</v>
      </c>
      <c r="B13" t="s">
        <v>3042</v>
      </c>
      <c r="C13">
        <v>0</v>
      </c>
      <c r="D13">
        <v>4</v>
      </c>
      <c r="E13">
        <v>2021</v>
      </c>
      <c r="F13">
        <v>18</v>
      </c>
      <c r="G13" t="s">
        <v>2876</v>
      </c>
      <c r="H13" t="s">
        <v>2873</v>
      </c>
      <c r="I13" t="s">
        <v>2874</v>
      </c>
      <c r="J13" t="s">
        <v>93</v>
      </c>
    </row>
    <row r="14" spans="1:10" x14ac:dyDescent="0.35">
      <c r="A14">
        <v>13</v>
      </c>
      <c r="B14" t="s">
        <v>3043</v>
      </c>
      <c r="C14">
        <v>16</v>
      </c>
      <c r="D14">
        <v>21</v>
      </c>
      <c r="E14">
        <v>2019</v>
      </c>
      <c r="F14">
        <v>39</v>
      </c>
      <c r="G14" t="s">
        <v>2869</v>
      </c>
      <c r="H14" t="s">
        <v>93</v>
      </c>
      <c r="I14" t="s">
        <v>2865</v>
      </c>
      <c r="J14" t="s">
        <v>101</v>
      </c>
    </row>
    <row r="15" spans="1:10" x14ac:dyDescent="0.35">
      <c r="A15">
        <v>14</v>
      </c>
      <c r="B15" t="s">
        <v>3044</v>
      </c>
      <c r="C15">
        <v>0</v>
      </c>
      <c r="D15">
        <v>8</v>
      </c>
      <c r="E15">
        <v>2023</v>
      </c>
      <c r="F15">
        <v>9</v>
      </c>
      <c r="G15" t="s">
        <v>2871</v>
      </c>
      <c r="H15" t="s">
        <v>19</v>
      </c>
      <c r="I15" t="s">
        <v>2863</v>
      </c>
      <c r="J15" t="s">
        <v>72</v>
      </c>
    </row>
    <row r="16" spans="1:10" x14ac:dyDescent="0.35">
      <c r="A16">
        <v>15</v>
      </c>
      <c r="B16" t="s">
        <v>3045</v>
      </c>
      <c r="C16">
        <v>0</v>
      </c>
      <c r="D16">
        <v>2</v>
      </c>
      <c r="E16">
        <v>2017</v>
      </c>
      <c r="F16">
        <v>142</v>
      </c>
      <c r="G16" t="s">
        <v>2876</v>
      </c>
      <c r="H16" t="s">
        <v>2873</v>
      </c>
      <c r="I16" t="s">
        <v>2874</v>
      </c>
      <c r="J16" t="s">
        <v>19</v>
      </c>
    </row>
    <row r="17" spans="1:10" x14ac:dyDescent="0.35">
      <c r="A17">
        <v>16</v>
      </c>
      <c r="B17" t="s">
        <v>3046</v>
      </c>
      <c r="C17">
        <v>0</v>
      </c>
      <c r="D17">
        <v>7</v>
      </c>
      <c r="E17">
        <v>2023</v>
      </c>
      <c r="F17">
        <v>8</v>
      </c>
      <c r="G17" t="s">
        <v>2872</v>
      </c>
      <c r="H17" t="s">
        <v>2873</v>
      </c>
      <c r="I17" t="s">
        <v>2874</v>
      </c>
      <c r="J17" t="s">
        <v>72</v>
      </c>
    </row>
    <row r="18" spans="1:10" x14ac:dyDescent="0.35">
      <c r="A18">
        <v>17</v>
      </c>
      <c r="B18" t="s">
        <v>3047</v>
      </c>
      <c r="C18">
        <v>0</v>
      </c>
      <c r="D18">
        <v>7</v>
      </c>
      <c r="E18">
        <v>2017</v>
      </c>
      <c r="F18">
        <v>15</v>
      </c>
      <c r="G18" t="s">
        <v>2869</v>
      </c>
      <c r="H18" t="s">
        <v>93</v>
      </c>
      <c r="I18" t="s">
        <v>2865</v>
      </c>
      <c r="J18" t="s">
        <v>72</v>
      </c>
    </row>
    <row r="19" spans="1:10" x14ac:dyDescent="0.35">
      <c r="A19">
        <v>18</v>
      </c>
      <c r="B19" t="s">
        <v>3048</v>
      </c>
      <c r="C19">
        <v>1</v>
      </c>
      <c r="D19">
        <v>4</v>
      </c>
      <c r="E19">
        <v>2016</v>
      </c>
      <c r="F19">
        <v>16</v>
      </c>
      <c r="G19" t="s">
        <v>2877</v>
      </c>
      <c r="H19" t="s">
        <v>19</v>
      </c>
      <c r="I19" t="s">
        <v>2863</v>
      </c>
      <c r="J19" t="s">
        <v>144</v>
      </c>
    </row>
    <row r="20" spans="1:10" x14ac:dyDescent="0.35">
      <c r="A20">
        <v>19</v>
      </c>
      <c r="B20" t="s">
        <v>3049</v>
      </c>
      <c r="C20">
        <v>0</v>
      </c>
      <c r="D20">
        <v>3</v>
      </c>
      <c r="E20">
        <v>2017</v>
      </c>
      <c r="F20">
        <v>6</v>
      </c>
      <c r="G20" t="s">
        <v>2878</v>
      </c>
      <c r="H20" t="s">
        <v>93</v>
      </c>
      <c r="I20" t="s">
        <v>2865</v>
      </c>
      <c r="J20" t="s">
        <v>19</v>
      </c>
    </row>
    <row r="21" spans="1:10" x14ac:dyDescent="0.35">
      <c r="A21">
        <v>20</v>
      </c>
      <c r="B21" t="s">
        <v>3050</v>
      </c>
      <c r="C21">
        <v>1</v>
      </c>
      <c r="D21">
        <v>2</v>
      </c>
      <c r="E21">
        <v>2017</v>
      </c>
      <c r="F21">
        <v>14</v>
      </c>
      <c r="G21" t="s">
        <v>2879</v>
      </c>
      <c r="H21" t="s">
        <v>2880</v>
      </c>
      <c r="I21" t="s">
        <v>2874</v>
      </c>
      <c r="J21" t="s">
        <v>151</v>
      </c>
    </row>
    <row r="22" spans="1:10" x14ac:dyDescent="0.35">
      <c r="A22">
        <v>21</v>
      </c>
      <c r="B22" t="s">
        <v>3051</v>
      </c>
      <c r="C22">
        <v>0</v>
      </c>
      <c r="D22">
        <v>2</v>
      </c>
      <c r="E22">
        <v>2018</v>
      </c>
      <c r="F22">
        <v>23</v>
      </c>
      <c r="G22" t="s">
        <v>2881</v>
      </c>
      <c r="H22" t="s">
        <v>19</v>
      </c>
      <c r="I22" t="s">
        <v>2863</v>
      </c>
      <c r="J22" t="s">
        <v>19</v>
      </c>
    </row>
    <row r="23" spans="1:10" x14ac:dyDescent="0.35">
      <c r="A23">
        <v>22</v>
      </c>
      <c r="B23" t="s">
        <v>3052</v>
      </c>
      <c r="C23">
        <v>5</v>
      </c>
      <c r="D23">
        <v>9</v>
      </c>
      <c r="E23">
        <v>2021</v>
      </c>
      <c r="F23">
        <v>11</v>
      </c>
      <c r="G23" t="s">
        <v>2882</v>
      </c>
      <c r="H23" t="s">
        <v>19</v>
      </c>
      <c r="I23" t="s">
        <v>2863</v>
      </c>
      <c r="J23" t="s">
        <v>157</v>
      </c>
    </row>
    <row r="24" spans="1:10" x14ac:dyDescent="0.35">
      <c r="A24">
        <v>23</v>
      </c>
      <c r="B24" t="s">
        <v>3053</v>
      </c>
      <c r="C24">
        <v>0</v>
      </c>
      <c r="D24">
        <v>4</v>
      </c>
      <c r="E24">
        <v>2015</v>
      </c>
      <c r="F24">
        <v>36</v>
      </c>
      <c r="G24" t="s">
        <v>2877</v>
      </c>
      <c r="H24" t="s">
        <v>19</v>
      </c>
      <c r="I24" t="s">
        <v>2863</v>
      </c>
      <c r="J24" t="s">
        <v>19</v>
      </c>
    </row>
    <row r="25" spans="1:10" x14ac:dyDescent="0.35">
      <c r="A25">
        <v>24</v>
      </c>
      <c r="B25" t="s">
        <v>3054</v>
      </c>
      <c r="C25">
        <v>1</v>
      </c>
      <c r="D25">
        <v>2</v>
      </c>
      <c r="E25">
        <v>2020</v>
      </c>
      <c r="F25">
        <v>16</v>
      </c>
      <c r="G25" t="s">
        <v>2883</v>
      </c>
      <c r="H25" t="s">
        <v>2884</v>
      </c>
      <c r="I25" t="s">
        <v>2885</v>
      </c>
      <c r="J25" t="s">
        <v>72</v>
      </c>
    </row>
    <row r="26" spans="1:10" x14ac:dyDescent="0.35">
      <c r="A26">
        <v>25</v>
      </c>
      <c r="B26" t="s">
        <v>3055</v>
      </c>
      <c r="C26">
        <v>1</v>
      </c>
      <c r="D26">
        <v>3</v>
      </c>
      <c r="E26">
        <v>2016</v>
      </c>
      <c r="F26">
        <v>26</v>
      </c>
      <c r="G26" t="s">
        <v>2886</v>
      </c>
      <c r="H26" t="s">
        <v>2880</v>
      </c>
      <c r="I26" t="s">
        <v>2874</v>
      </c>
      <c r="J26" t="s">
        <v>72</v>
      </c>
    </row>
    <row r="27" spans="1:10" x14ac:dyDescent="0.35">
      <c r="A27">
        <v>26</v>
      </c>
      <c r="B27" t="s">
        <v>3056</v>
      </c>
      <c r="C27">
        <v>1</v>
      </c>
      <c r="D27">
        <v>3</v>
      </c>
      <c r="E27">
        <v>2017</v>
      </c>
      <c r="F27">
        <v>4</v>
      </c>
      <c r="G27" t="s">
        <v>2866</v>
      </c>
      <c r="H27" t="s">
        <v>19</v>
      </c>
      <c r="I27" t="s">
        <v>2863</v>
      </c>
      <c r="J27" t="s">
        <v>16</v>
      </c>
    </row>
    <row r="28" spans="1:10" x14ac:dyDescent="0.35">
      <c r="A28">
        <v>27</v>
      </c>
      <c r="B28" t="s">
        <v>3057</v>
      </c>
      <c r="C28">
        <v>2</v>
      </c>
      <c r="D28">
        <v>2</v>
      </c>
      <c r="E28">
        <v>2019</v>
      </c>
      <c r="F28">
        <v>5</v>
      </c>
      <c r="G28" t="s">
        <v>2877</v>
      </c>
      <c r="H28" t="s">
        <v>19</v>
      </c>
      <c r="I28" t="s">
        <v>2863</v>
      </c>
      <c r="J28" t="s">
        <v>45</v>
      </c>
    </row>
    <row r="29" spans="1:10" x14ac:dyDescent="0.35">
      <c r="A29">
        <v>28</v>
      </c>
      <c r="B29" t="s">
        <v>3058</v>
      </c>
      <c r="C29">
        <v>0</v>
      </c>
      <c r="D29">
        <v>2</v>
      </c>
      <c r="E29">
        <v>2015</v>
      </c>
      <c r="F29">
        <v>27</v>
      </c>
      <c r="G29" t="s">
        <v>2866</v>
      </c>
      <c r="H29" t="s">
        <v>19</v>
      </c>
      <c r="I29" t="s">
        <v>2863</v>
      </c>
      <c r="J29" t="s">
        <v>19</v>
      </c>
    </row>
    <row r="30" spans="1:10" x14ac:dyDescent="0.35">
      <c r="A30">
        <v>29</v>
      </c>
      <c r="B30" t="s">
        <v>3059</v>
      </c>
      <c r="C30">
        <v>0</v>
      </c>
      <c r="D30">
        <v>6</v>
      </c>
      <c r="E30">
        <v>2020</v>
      </c>
      <c r="F30">
        <v>11</v>
      </c>
      <c r="G30" t="s">
        <v>2871</v>
      </c>
      <c r="H30" t="s">
        <v>19</v>
      </c>
      <c r="I30" t="s">
        <v>2863</v>
      </c>
      <c r="J30" t="s">
        <v>183</v>
      </c>
    </row>
    <row r="31" spans="1:10" x14ac:dyDescent="0.35">
      <c r="A31">
        <v>30</v>
      </c>
      <c r="B31" t="s">
        <v>3060</v>
      </c>
      <c r="C31">
        <v>0</v>
      </c>
      <c r="D31">
        <v>2</v>
      </c>
      <c r="E31">
        <v>2019</v>
      </c>
      <c r="F31">
        <v>28</v>
      </c>
      <c r="G31" t="s">
        <v>2877</v>
      </c>
      <c r="H31" t="s">
        <v>19</v>
      </c>
      <c r="I31" t="s">
        <v>2863</v>
      </c>
      <c r="J31" t="s">
        <v>19</v>
      </c>
    </row>
    <row r="32" spans="1:10" x14ac:dyDescent="0.35">
      <c r="A32">
        <v>31</v>
      </c>
      <c r="B32" t="s">
        <v>3061</v>
      </c>
      <c r="C32">
        <v>7</v>
      </c>
      <c r="D32">
        <v>7</v>
      </c>
      <c r="E32">
        <v>2022</v>
      </c>
      <c r="F32">
        <v>8</v>
      </c>
      <c r="G32" t="s">
        <v>2879</v>
      </c>
      <c r="H32" t="s">
        <v>19</v>
      </c>
      <c r="I32" t="s">
        <v>2863</v>
      </c>
      <c r="J32" t="s">
        <v>189</v>
      </c>
    </row>
    <row r="33" spans="1:10" x14ac:dyDescent="0.35">
      <c r="A33">
        <v>32</v>
      </c>
      <c r="B33" t="s">
        <v>3062</v>
      </c>
      <c r="C33">
        <v>0</v>
      </c>
      <c r="D33">
        <v>3</v>
      </c>
      <c r="E33">
        <v>2020</v>
      </c>
      <c r="F33">
        <v>7</v>
      </c>
      <c r="G33" t="s">
        <v>2887</v>
      </c>
      <c r="H33" t="s">
        <v>19</v>
      </c>
      <c r="I33" t="s">
        <v>2863</v>
      </c>
      <c r="J33" t="s">
        <v>25</v>
      </c>
    </row>
    <row r="34" spans="1:10" x14ac:dyDescent="0.35">
      <c r="A34">
        <v>33</v>
      </c>
      <c r="B34" t="s">
        <v>3063</v>
      </c>
      <c r="C34">
        <v>0</v>
      </c>
      <c r="D34">
        <v>5</v>
      </c>
      <c r="E34">
        <v>2017</v>
      </c>
      <c r="F34">
        <v>29</v>
      </c>
      <c r="G34" t="s">
        <v>2888</v>
      </c>
      <c r="H34" t="s">
        <v>2873</v>
      </c>
      <c r="I34" t="s">
        <v>2874</v>
      </c>
      <c r="J34" t="s">
        <v>25</v>
      </c>
    </row>
    <row r="35" spans="1:10" x14ac:dyDescent="0.35">
      <c r="A35">
        <v>34</v>
      </c>
      <c r="B35" t="s">
        <v>3064</v>
      </c>
      <c r="C35">
        <v>2</v>
      </c>
      <c r="D35">
        <v>9</v>
      </c>
      <c r="E35">
        <v>2016</v>
      </c>
      <c r="F35">
        <v>81</v>
      </c>
      <c r="G35" t="s">
        <v>2889</v>
      </c>
      <c r="H35" t="s">
        <v>2873</v>
      </c>
      <c r="I35" t="s">
        <v>2874</v>
      </c>
      <c r="J35" t="s">
        <v>93</v>
      </c>
    </row>
    <row r="36" spans="1:10" x14ac:dyDescent="0.35">
      <c r="A36">
        <v>35</v>
      </c>
      <c r="B36" t="s">
        <v>3065</v>
      </c>
      <c r="C36">
        <v>5</v>
      </c>
      <c r="D36">
        <v>5</v>
      </c>
      <c r="E36">
        <v>2022</v>
      </c>
      <c r="F36">
        <v>3</v>
      </c>
      <c r="G36" t="s">
        <v>2890</v>
      </c>
      <c r="H36" t="s">
        <v>19</v>
      </c>
      <c r="I36" t="s">
        <v>2863</v>
      </c>
      <c r="J36" t="s">
        <v>5</v>
      </c>
    </row>
    <row r="37" spans="1:10" x14ac:dyDescent="0.35">
      <c r="A37">
        <v>36</v>
      </c>
      <c r="B37" t="s">
        <v>3066</v>
      </c>
      <c r="C37">
        <v>0</v>
      </c>
      <c r="D37">
        <v>5</v>
      </c>
      <c r="E37">
        <v>2019</v>
      </c>
      <c r="F37">
        <v>4</v>
      </c>
      <c r="G37" t="s">
        <v>2891</v>
      </c>
      <c r="H37" t="s">
        <v>2892</v>
      </c>
      <c r="I37" t="s">
        <v>2893</v>
      </c>
      <c r="J37" t="s">
        <v>25</v>
      </c>
    </row>
    <row r="38" spans="1:10" x14ac:dyDescent="0.35">
      <c r="A38">
        <v>37</v>
      </c>
      <c r="B38" t="s">
        <v>3067</v>
      </c>
      <c r="C38">
        <v>5</v>
      </c>
      <c r="D38">
        <v>5</v>
      </c>
      <c r="E38">
        <v>2018</v>
      </c>
      <c r="F38">
        <v>29</v>
      </c>
      <c r="G38" t="s">
        <v>2894</v>
      </c>
      <c r="H38" t="s">
        <v>2895</v>
      </c>
      <c r="I38" t="s">
        <v>2874</v>
      </c>
      <c r="J38" t="s">
        <v>151</v>
      </c>
    </row>
    <row r="39" spans="1:10" x14ac:dyDescent="0.35">
      <c r="A39">
        <v>38</v>
      </c>
      <c r="B39" t="s">
        <v>3068</v>
      </c>
      <c r="C39">
        <v>3</v>
      </c>
      <c r="D39">
        <v>5</v>
      </c>
      <c r="E39">
        <v>2019</v>
      </c>
      <c r="F39">
        <v>33</v>
      </c>
      <c r="G39" t="s">
        <v>2894</v>
      </c>
      <c r="H39" t="s">
        <v>2895</v>
      </c>
      <c r="I39" t="s">
        <v>2874</v>
      </c>
      <c r="J39" t="s">
        <v>231</v>
      </c>
    </row>
    <row r="40" spans="1:10" x14ac:dyDescent="0.35">
      <c r="A40">
        <v>39</v>
      </c>
      <c r="B40" t="s">
        <v>3069</v>
      </c>
      <c r="C40">
        <v>0</v>
      </c>
      <c r="D40">
        <v>3</v>
      </c>
      <c r="E40">
        <v>2020</v>
      </c>
      <c r="F40">
        <v>12</v>
      </c>
      <c r="G40" t="s">
        <v>2896</v>
      </c>
      <c r="H40" t="s">
        <v>2897</v>
      </c>
      <c r="I40" t="s">
        <v>2874</v>
      </c>
      <c r="J40" t="s">
        <v>90</v>
      </c>
    </row>
    <row r="41" spans="1:10" x14ac:dyDescent="0.35">
      <c r="A41">
        <v>40</v>
      </c>
      <c r="B41" t="s">
        <v>3070</v>
      </c>
      <c r="C41">
        <v>0</v>
      </c>
      <c r="D41">
        <v>7</v>
      </c>
      <c r="E41">
        <v>2019</v>
      </c>
      <c r="F41">
        <v>10</v>
      </c>
      <c r="G41" t="s">
        <v>2898</v>
      </c>
      <c r="H41" t="s">
        <v>19</v>
      </c>
      <c r="I41" t="s">
        <v>2863</v>
      </c>
      <c r="J41" t="s">
        <v>72</v>
      </c>
    </row>
    <row r="42" spans="1:10" x14ac:dyDescent="0.35">
      <c r="A42">
        <v>41</v>
      </c>
      <c r="B42" t="s">
        <v>3071</v>
      </c>
      <c r="C42">
        <v>4</v>
      </c>
      <c r="D42">
        <v>5</v>
      </c>
      <c r="E42">
        <v>2017</v>
      </c>
      <c r="F42">
        <v>44</v>
      </c>
      <c r="G42" t="s">
        <v>2866</v>
      </c>
      <c r="H42" t="s">
        <v>19</v>
      </c>
      <c r="I42" t="s">
        <v>2863</v>
      </c>
      <c r="J42" t="s">
        <v>157</v>
      </c>
    </row>
    <row r="43" spans="1:10" x14ac:dyDescent="0.35">
      <c r="A43">
        <v>42</v>
      </c>
      <c r="B43" t="s">
        <v>3072</v>
      </c>
      <c r="C43">
        <v>0</v>
      </c>
      <c r="D43">
        <v>11</v>
      </c>
      <c r="E43">
        <v>2022</v>
      </c>
      <c r="F43">
        <v>34</v>
      </c>
      <c r="G43" t="s">
        <v>2866</v>
      </c>
      <c r="H43" t="s">
        <v>19</v>
      </c>
      <c r="I43" t="s">
        <v>2863</v>
      </c>
      <c r="J43" t="s">
        <v>72</v>
      </c>
    </row>
    <row r="44" spans="1:10" x14ac:dyDescent="0.35">
      <c r="A44">
        <v>43</v>
      </c>
      <c r="B44" t="s">
        <v>3073</v>
      </c>
      <c r="C44">
        <v>0</v>
      </c>
      <c r="D44">
        <v>7</v>
      </c>
      <c r="E44">
        <v>2022</v>
      </c>
      <c r="F44">
        <v>25</v>
      </c>
      <c r="G44" t="s">
        <v>2899</v>
      </c>
      <c r="H44" t="s">
        <v>2895</v>
      </c>
      <c r="I44" t="s">
        <v>2874</v>
      </c>
      <c r="J44" t="s">
        <v>72</v>
      </c>
    </row>
    <row r="45" spans="1:10" x14ac:dyDescent="0.35">
      <c r="A45">
        <v>44</v>
      </c>
      <c r="B45" t="s">
        <v>3074</v>
      </c>
      <c r="C45">
        <v>0</v>
      </c>
      <c r="D45">
        <v>4</v>
      </c>
      <c r="E45">
        <v>2015</v>
      </c>
      <c r="F45">
        <v>2</v>
      </c>
      <c r="G45" t="s">
        <v>2894</v>
      </c>
      <c r="H45" t="s">
        <v>2895</v>
      </c>
      <c r="I45" t="s">
        <v>2874</v>
      </c>
      <c r="J45" t="s">
        <v>22</v>
      </c>
    </row>
    <row r="46" spans="1:10" x14ac:dyDescent="0.35">
      <c r="A46">
        <v>45</v>
      </c>
      <c r="B46" t="s">
        <v>3075</v>
      </c>
      <c r="C46">
        <v>1</v>
      </c>
      <c r="D46">
        <v>3</v>
      </c>
      <c r="E46">
        <v>2023</v>
      </c>
      <c r="F46">
        <v>2</v>
      </c>
      <c r="G46" t="s">
        <v>2900</v>
      </c>
      <c r="H46" t="s">
        <v>2880</v>
      </c>
      <c r="I46" t="s">
        <v>2874</v>
      </c>
      <c r="J46" t="s">
        <v>261</v>
      </c>
    </row>
    <row r="47" spans="1:10" x14ac:dyDescent="0.35">
      <c r="A47">
        <v>46</v>
      </c>
      <c r="B47" t="s">
        <v>3076</v>
      </c>
      <c r="C47">
        <v>6</v>
      </c>
      <c r="D47">
        <v>6</v>
      </c>
      <c r="E47">
        <v>2022</v>
      </c>
      <c r="F47">
        <v>6</v>
      </c>
      <c r="G47" t="s">
        <v>2894</v>
      </c>
      <c r="H47" t="s">
        <v>2895</v>
      </c>
      <c r="I47" t="s">
        <v>2874</v>
      </c>
      <c r="J47" t="s">
        <v>5</v>
      </c>
    </row>
    <row r="48" spans="1:10" x14ac:dyDescent="0.35">
      <c r="A48">
        <v>47</v>
      </c>
      <c r="B48" t="s">
        <v>3077</v>
      </c>
      <c r="C48">
        <v>1</v>
      </c>
      <c r="D48">
        <v>1</v>
      </c>
      <c r="E48">
        <v>2020</v>
      </c>
      <c r="F48">
        <v>17</v>
      </c>
      <c r="G48" t="s">
        <v>2866</v>
      </c>
      <c r="H48" t="s">
        <v>19</v>
      </c>
      <c r="I48" t="s">
        <v>2863</v>
      </c>
      <c r="J48" t="s">
        <v>157</v>
      </c>
    </row>
    <row r="49" spans="1:10" x14ac:dyDescent="0.35">
      <c r="A49">
        <v>48</v>
      </c>
      <c r="B49" t="s">
        <v>3078</v>
      </c>
      <c r="C49">
        <v>5</v>
      </c>
      <c r="D49">
        <v>5</v>
      </c>
      <c r="E49">
        <v>2019</v>
      </c>
      <c r="F49">
        <v>40</v>
      </c>
      <c r="G49" t="s">
        <v>2896</v>
      </c>
      <c r="H49" t="s">
        <v>2897</v>
      </c>
      <c r="I49" t="s">
        <v>2874</v>
      </c>
      <c r="J49" t="s">
        <v>5</v>
      </c>
    </row>
    <row r="50" spans="1:10" x14ac:dyDescent="0.35">
      <c r="A50">
        <v>49</v>
      </c>
      <c r="B50" t="s">
        <v>3079</v>
      </c>
      <c r="C50">
        <v>5</v>
      </c>
      <c r="D50">
        <v>8</v>
      </c>
      <c r="E50">
        <v>2016</v>
      </c>
      <c r="F50">
        <v>10</v>
      </c>
      <c r="G50" t="s">
        <v>2901</v>
      </c>
      <c r="H50" t="s">
        <v>2902</v>
      </c>
      <c r="I50" t="s">
        <v>2885</v>
      </c>
      <c r="J50" t="s">
        <v>45</v>
      </c>
    </row>
    <row r="51" spans="1:10" x14ac:dyDescent="0.35">
      <c r="A51">
        <v>50</v>
      </c>
      <c r="B51" t="s">
        <v>3080</v>
      </c>
      <c r="C51">
        <v>3</v>
      </c>
      <c r="D51">
        <v>7</v>
      </c>
      <c r="E51">
        <v>2015</v>
      </c>
      <c r="F51">
        <v>11</v>
      </c>
      <c r="G51" t="s">
        <v>2899</v>
      </c>
      <c r="H51" t="s">
        <v>2895</v>
      </c>
      <c r="I51" t="s">
        <v>2874</v>
      </c>
      <c r="J51" t="s">
        <v>72</v>
      </c>
    </row>
    <row r="52" spans="1:10" x14ac:dyDescent="0.35">
      <c r="A52">
        <v>51</v>
      </c>
      <c r="B52" t="s">
        <v>3081</v>
      </c>
      <c r="C52">
        <v>1</v>
      </c>
      <c r="D52">
        <v>2</v>
      </c>
      <c r="E52">
        <v>2023</v>
      </c>
      <c r="F52">
        <v>5</v>
      </c>
      <c r="G52" t="s">
        <v>2864</v>
      </c>
      <c r="H52" t="s">
        <v>93</v>
      </c>
      <c r="I52" t="s">
        <v>2865</v>
      </c>
      <c r="J52" t="s">
        <v>72</v>
      </c>
    </row>
    <row r="53" spans="1:10" x14ac:dyDescent="0.35">
      <c r="A53">
        <v>52</v>
      </c>
      <c r="B53" t="s">
        <v>3082</v>
      </c>
      <c r="C53">
        <v>0</v>
      </c>
      <c r="D53">
        <v>2</v>
      </c>
      <c r="E53">
        <v>2017</v>
      </c>
      <c r="F53">
        <v>23</v>
      </c>
      <c r="G53" t="s">
        <v>2903</v>
      </c>
      <c r="H53" t="s">
        <v>93</v>
      </c>
      <c r="I53" t="s">
        <v>2865</v>
      </c>
      <c r="J53" t="s">
        <v>16</v>
      </c>
    </row>
    <row r="54" spans="1:10" x14ac:dyDescent="0.35">
      <c r="A54">
        <v>53</v>
      </c>
      <c r="B54" t="s">
        <v>3083</v>
      </c>
      <c r="C54">
        <v>0</v>
      </c>
      <c r="D54">
        <v>6</v>
      </c>
      <c r="E54">
        <v>2021</v>
      </c>
      <c r="F54">
        <v>31</v>
      </c>
      <c r="G54" t="s">
        <v>2896</v>
      </c>
      <c r="H54" t="s">
        <v>2897</v>
      </c>
      <c r="I54" t="s">
        <v>2874</v>
      </c>
      <c r="J54" t="s">
        <v>72</v>
      </c>
    </row>
    <row r="55" spans="1:10" x14ac:dyDescent="0.35">
      <c r="A55">
        <v>54</v>
      </c>
      <c r="B55" t="s">
        <v>3084</v>
      </c>
      <c r="C55">
        <v>4</v>
      </c>
      <c r="D55">
        <v>4</v>
      </c>
      <c r="E55">
        <v>2019</v>
      </c>
      <c r="F55">
        <v>40</v>
      </c>
      <c r="G55" t="s">
        <v>2866</v>
      </c>
      <c r="H55" t="s">
        <v>19</v>
      </c>
      <c r="I55" t="s">
        <v>2863</v>
      </c>
      <c r="J55" t="s">
        <v>45</v>
      </c>
    </row>
    <row r="56" spans="1:10" x14ac:dyDescent="0.35">
      <c r="A56">
        <v>55</v>
      </c>
      <c r="B56" t="s">
        <v>3085</v>
      </c>
      <c r="C56">
        <v>3</v>
      </c>
      <c r="D56">
        <v>3</v>
      </c>
      <c r="E56">
        <v>2020</v>
      </c>
      <c r="F56">
        <v>17</v>
      </c>
      <c r="G56" t="s">
        <v>2881</v>
      </c>
      <c r="H56" t="s">
        <v>19</v>
      </c>
      <c r="I56" t="s">
        <v>2863</v>
      </c>
      <c r="J56" t="s">
        <v>101</v>
      </c>
    </row>
    <row r="57" spans="1:10" x14ac:dyDescent="0.35">
      <c r="A57">
        <v>56</v>
      </c>
      <c r="B57" t="s">
        <v>3086</v>
      </c>
      <c r="C57">
        <v>2</v>
      </c>
      <c r="D57">
        <v>2</v>
      </c>
      <c r="E57">
        <v>2014</v>
      </c>
      <c r="F57">
        <v>11</v>
      </c>
      <c r="G57" t="s">
        <v>2904</v>
      </c>
      <c r="H57" t="s">
        <v>2880</v>
      </c>
      <c r="I57" t="s">
        <v>2874</v>
      </c>
      <c r="J57" t="s">
        <v>231</v>
      </c>
    </row>
    <row r="58" spans="1:10" x14ac:dyDescent="0.35">
      <c r="A58">
        <v>57</v>
      </c>
      <c r="B58" t="s">
        <v>3087</v>
      </c>
      <c r="C58">
        <v>1</v>
      </c>
      <c r="D58">
        <v>1</v>
      </c>
      <c r="E58">
        <v>2021</v>
      </c>
      <c r="F58">
        <v>3</v>
      </c>
      <c r="G58" t="s">
        <v>2905</v>
      </c>
      <c r="H58" t="s">
        <v>2880</v>
      </c>
      <c r="I58" t="s">
        <v>2874</v>
      </c>
      <c r="J58" t="s">
        <v>157</v>
      </c>
    </row>
    <row r="59" spans="1:10" x14ac:dyDescent="0.35">
      <c r="A59">
        <v>58</v>
      </c>
      <c r="B59" t="s">
        <v>3088</v>
      </c>
      <c r="C59">
        <v>9</v>
      </c>
      <c r="D59">
        <v>10</v>
      </c>
      <c r="E59">
        <v>2016</v>
      </c>
      <c r="F59">
        <v>54</v>
      </c>
      <c r="G59" t="s">
        <v>2866</v>
      </c>
      <c r="H59" t="s">
        <v>19</v>
      </c>
      <c r="I59" t="s">
        <v>2863</v>
      </c>
      <c r="J59" t="s">
        <v>101</v>
      </c>
    </row>
    <row r="60" spans="1:10" x14ac:dyDescent="0.35">
      <c r="A60">
        <v>59</v>
      </c>
      <c r="B60" t="s">
        <v>3089</v>
      </c>
      <c r="C60">
        <v>1</v>
      </c>
      <c r="D60">
        <v>1</v>
      </c>
      <c r="E60">
        <v>2021</v>
      </c>
      <c r="F60">
        <v>13</v>
      </c>
      <c r="G60" t="s">
        <v>2906</v>
      </c>
      <c r="H60" t="s">
        <v>2907</v>
      </c>
      <c r="I60" t="s">
        <v>2908</v>
      </c>
      <c r="J60" t="s">
        <v>101</v>
      </c>
    </row>
    <row r="61" spans="1:10" x14ac:dyDescent="0.35">
      <c r="A61">
        <v>60</v>
      </c>
      <c r="B61" t="s">
        <v>3090</v>
      </c>
      <c r="C61">
        <v>4</v>
      </c>
      <c r="D61">
        <v>6</v>
      </c>
      <c r="E61">
        <v>2020</v>
      </c>
      <c r="F61">
        <v>13</v>
      </c>
      <c r="G61" t="s">
        <v>2867</v>
      </c>
      <c r="H61" t="s">
        <v>19</v>
      </c>
      <c r="I61" t="s">
        <v>2863</v>
      </c>
      <c r="J61" t="s">
        <v>5</v>
      </c>
    </row>
    <row r="62" spans="1:10" x14ac:dyDescent="0.35">
      <c r="A62">
        <v>61</v>
      </c>
      <c r="B62" t="s">
        <v>3091</v>
      </c>
      <c r="C62">
        <v>3</v>
      </c>
      <c r="D62">
        <v>3</v>
      </c>
      <c r="E62">
        <v>2018</v>
      </c>
      <c r="F62">
        <v>10</v>
      </c>
      <c r="G62" t="s">
        <v>2866</v>
      </c>
      <c r="H62" t="s">
        <v>19</v>
      </c>
      <c r="I62" t="s">
        <v>2863</v>
      </c>
      <c r="J62" t="s">
        <v>45</v>
      </c>
    </row>
    <row r="63" spans="1:10" x14ac:dyDescent="0.35">
      <c r="A63">
        <v>62</v>
      </c>
      <c r="B63" t="s">
        <v>3092</v>
      </c>
      <c r="C63">
        <v>5</v>
      </c>
      <c r="D63">
        <v>5</v>
      </c>
      <c r="E63">
        <v>2023</v>
      </c>
      <c r="F63">
        <v>2</v>
      </c>
      <c r="G63" t="s">
        <v>2896</v>
      </c>
      <c r="H63" t="s">
        <v>2897</v>
      </c>
      <c r="I63" t="s">
        <v>2874</v>
      </c>
      <c r="J63" t="s">
        <v>157</v>
      </c>
    </row>
    <row r="64" spans="1:10" x14ac:dyDescent="0.35">
      <c r="A64">
        <v>63</v>
      </c>
      <c r="B64" t="s">
        <v>3093</v>
      </c>
      <c r="C64">
        <v>3</v>
      </c>
      <c r="D64">
        <v>3</v>
      </c>
      <c r="E64">
        <v>2016</v>
      </c>
      <c r="F64">
        <v>26</v>
      </c>
      <c r="G64" t="s">
        <v>2864</v>
      </c>
      <c r="H64" t="s">
        <v>93</v>
      </c>
      <c r="I64" t="s">
        <v>2865</v>
      </c>
      <c r="J64" t="s">
        <v>157</v>
      </c>
    </row>
    <row r="65" spans="1:10" x14ac:dyDescent="0.35">
      <c r="A65">
        <v>64</v>
      </c>
      <c r="B65" t="s">
        <v>3094</v>
      </c>
      <c r="C65">
        <v>1</v>
      </c>
      <c r="D65">
        <v>5</v>
      </c>
      <c r="E65">
        <v>2023</v>
      </c>
      <c r="F65">
        <v>5</v>
      </c>
      <c r="G65" t="s">
        <v>2909</v>
      </c>
      <c r="H65" t="s">
        <v>93</v>
      </c>
      <c r="I65" t="s">
        <v>2865</v>
      </c>
      <c r="J65" t="s">
        <v>72</v>
      </c>
    </row>
    <row r="66" spans="1:10" x14ac:dyDescent="0.35">
      <c r="A66">
        <v>65</v>
      </c>
      <c r="B66" t="s">
        <v>3095</v>
      </c>
      <c r="C66">
        <v>1</v>
      </c>
      <c r="D66">
        <v>1</v>
      </c>
      <c r="E66">
        <v>2017</v>
      </c>
      <c r="F66">
        <v>75</v>
      </c>
      <c r="G66" t="s">
        <v>2877</v>
      </c>
      <c r="H66" t="s">
        <v>19</v>
      </c>
      <c r="I66" t="s">
        <v>2863</v>
      </c>
      <c r="J66" t="s">
        <v>101</v>
      </c>
    </row>
    <row r="67" spans="1:10" x14ac:dyDescent="0.35">
      <c r="A67">
        <v>66</v>
      </c>
      <c r="B67" t="s">
        <v>3096</v>
      </c>
      <c r="C67">
        <v>3</v>
      </c>
      <c r="D67">
        <v>4</v>
      </c>
      <c r="E67">
        <v>2017</v>
      </c>
      <c r="F67">
        <v>22</v>
      </c>
      <c r="G67" t="s">
        <v>2888</v>
      </c>
      <c r="H67" t="s">
        <v>2873</v>
      </c>
      <c r="I67" t="s">
        <v>2874</v>
      </c>
      <c r="J67" t="s">
        <v>157</v>
      </c>
    </row>
    <row r="68" spans="1:10" x14ac:dyDescent="0.35">
      <c r="A68">
        <v>67</v>
      </c>
      <c r="B68" t="s">
        <v>3097</v>
      </c>
      <c r="C68">
        <v>0</v>
      </c>
      <c r="D68">
        <v>4</v>
      </c>
      <c r="E68">
        <v>2017</v>
      </c>
      <c r="F68">
        <v>10</v>
      </c>
      <c r="G68" t="s">
        <v>2871</v>
      </c>
      <c r="H68" t="s">
        <v>19</v>
      </c>
      <c r="I68" t="s">
        <v>2863</v>
      </c>
      <c r="J68" t="s">
        <v>72</v>
      </c>
    </row>
    <row r="69" spans="1:10" x14ac:dyDescent="0.35">
      <c r="A69">
        <v>68</v>
      </c>
      <c r="B69" t="s">
        <v>3098</v>
      </c>
      <c r="C69">
        <v>1</v>
      </c>
      <c r="D69">
        <v>3</v>
      </c>
      <c r="E69">
        <v>2020</v>
      </c>
      <c r="F69">
        <v>13</v>
      </c>
      <c r="G69" t="s">
        <v>2866</v>
      </c>
      <c r="H69" t="s">
        <v>19</v>
      </c>
      <c r="I69" t="s">
        <v>2863</v>
      </c>
      <c r="J69" t="s">
        <v>16</v>
      </c>
    </row>
    <row r="70" spans="1:10" x14ac:dyDescent="0.35">
      <c r="A70">
        <v>69</v>
      </c>
      <c r="B70" t="s">
        <v>3099</v>
      </c>
      <c r="C70">
        <v>0</v>
      </c>
      <c r="D70">
        <v>8</v>
      </c>
      <c r="E70">
        <v>2021</v>
      </c>
      <c r="F70">
        <v>0</v>
      </c>
      <c r="G70" t="s">
        <v>2910</v>
      </c>
      <c r="H70" t="s">
        <v>2897</v>
      </c>
      <c r="I70" t="s">
        <v>2874</v>
      </c>
      <c r="J70" t="s">
        <v>72</v>
      </c>
    </row>
    <row r="71" spans="1:10" x14ac:dyDescent="0.35">
      <c r="A71">
        <v>70</v>
      </c>
      <c r="B71" t="s">
        <v>3100</v>
      </c>
      <c r="C71">
        <v>2</v>
      </c>
      <c r="D71">
        <v>6</v>
      </c>
      <c r="E71">
        <v>2019</v>
      </c>
      <c r="F71">
        <v>39</v>
      </c>
      <c r="G71" t="s">
        <v>2903</v>
      </c>
      <c r="H71" t="s">
        <v>93</v>
      </c>
      <c r="I71" t="s">
        <v>2865</v>
      </c>
      <c r="J71" t="s">
        <v>16</v>
      </c>
    </row>
    <row r="72" spans="1:10" x14ac:dyDescent="0.35">
      <c r="A72">
        <v>71</v>
      </c>
      <c r="B72" t="s">
        <v>3101</v>
      </c>
      <c r="C72">
        <v>0</v>
      </c>
      <c r="D72">
        <v>3</v>
      </c>
      <c r="E72">
        <v>2019</v>
      </c>
      <c r="F72">
        <v>15</v>
      </c>
      <c r="G72" t="s">
        <v>2869</v>
      </c>
      <c r="H72" t="s">
        <v>93</v>
      </c>
      <c r="I72" t="s">
        <v>2865</v>
      </c>
      <c r="J72" t="s">
        <v>352</v>
      </c>
    </row>
    <row r="73" spans="1:10" x14ac:dyDescent="0.35">
      <c r="A73">
        <v>72</v>
      </c>
      <c r="B73" t="s">
        <v>3102</v>
      </c>
      <c r="C73">
        <v>7</v>
      </c>
      <c r="D73">
        <v>7</v>
      </c>
      <c r="E73">
        <v>2020</v>
      </c>
      <c r="F73">
        <v>25</v>
      </c>
      <c r="G73" t="s">
        <v>2862</v>
      </c>
      <c r="H73" t="s">
        <v>19</v>
      </c>
      <c r="I73" t="s">
        <v>2863</v>
      </c>
      <c r="J73" t="s">
        <v>231</v>
      </c>
    </row>
    <row r="74" spans="1:10" x14ac:dyDescent="0.35">
      <c r="A74">
        <v>73</v>
      </c>
      <c r="B74" t="s">
        <v>3103</v>
      </c>
      <c r="C74">
        <v>3</v>
      </c>
      <c r="D74">
        <v>4</v>
      </c>
      <c r="E74">
        <v>2016</v>
      </c>
      <c r="F74">
        <v>7</v>
      </c>
      <c r="G74" t="s">
        <v>2911</v>
      </c>
      <c r="H74" t="s">
        <v>93</v>
      </c>
      <c r="I74" t="s">
        <v>2865</v>
      </c>
      <c r="J74" t="s">
        <v>231</v>
      </c>
    </row>
    <row r="75" spans="1:10" x14ac:dyDescent="0.35">
      <c r="A75">
        <v>74</v>
      </c>
      <c r="B75" t="s">
        <v>3104</v>
      </c>
      <c r="C75">
        <v>5</v>
      </c>
      <c r="D75">
        <v>7</v>
      </c>
      <c r="E75">
        <v>2023</v>
      </c>
      <c r="F75">
        <v>2</v>
      </c>
      <c r="G75" t="s">
        <v>2888</v>
      </c>
      <c r="H75" t="s">
        <v>2873</v>
      </c>
      <c r="I75" t="s">
        <v>2874</v>
      </c>
      <c r="J75" t="s">
        <v>5</v>
      </c>
    </row>
    <row r="76" spans="1:10" x14ac:dyDescent="0.35">
      <c r="A76">
        <v>75</v>
      </c>
      <c r="B76" t="s">
        <v>3105</v>
      </c>
      <c r="C76">
        <v>0</v>
      </c>
      <c r="D76">
        <v>2</v>
      </c>
      <c r="E76">
        <v>2015</v>
      </c>
      <c r="F76">
        <v>10</v>
      </c>
      <c r="G76" t="s">
        <v>2867</v>
      </c>
      <c r="H76" t="s">
        <v>19</v>
      </c>
      <c r="I76" t="s">
        <v>2863</v>
      </c>
      <c r="J76" t="s">
        <v>19</v>
      </c>
    </row>
    <row r="77" spans="1:10" x14ac:dyDescent="0.35">
      <c r="A77">
        <v>76</v>
      </c>
      <c r="B77" t="s">
        <v>3106</v>
      </c>
      <c r="C77">
        <v>0</v>
      </c>
      <c r="D77">
        <v>6</v>
      </c>
      <c r="E77">
        <v>2021</v>
      </c>
      <c r="F77">
        <v>7</v>
      </c>
      <c r="G77" t="s">
        <v>2901</v>
      </c>
      <c r="H77" t="s">
        <v>2902</v>
      </c>
      <c r="I77" t="s">
        <v>2885</v>
      </c>
      <c r="J77" t="s">
        <v>72</v>
      </c>
    </row>
    <row r="78" spans="1:10" x14ac:dyDescent="0.35">
      <c r="A78">
        <v>77</v>
      </c>
      <c r="B78" t="s">
        <v>3107</v>
      </c>
      <c r="C78">
        <v>0</v>
      </c>
      <c r="D78">
        <v>4</v>
      </c>
      <c r="E78">
        <v>2023</v>
      </c>
      <c r="F78">
        <v>3</v>
      </c>
      <c r="G78" t="s">
        <v>2910</v>
      </c>
      <c r="H78" t="s">
        <v>2897</v>
      </c>
      <c r="I78" t="s">
        <v>2874</v>
      </c>
      <c r="J78" t="s">
        <v>72</v>
      </c>
    </row>
    <row r="79" spans="1:10" x14ac:dyDescent="0.35">
      <c r="A79">
        <v>78</v>
      </c>
      <c r="B79" t="s">
        <v>3108</v>
      </c>
      <c r="C79">
        <v>2</v>
      </c>
      <c r="D79">
        <v>2</v>
      </c>
      <c r="E79">
        <v>2016</v>
      </c>
      <c r="F79">
        <v>157</v>
      </c>
      <c r="G79" t="s">
        <v>2862</v>
      </c>
      <c r="H79" t="s">
        <v>19</v>
      </c>
      <c r="I79" t="s">
        <v>2863</v>
      </c>
      <c r="J79" t="s">
        <v>5</v>
      </c>
    </row>
    <row r="80" spans="1:10" x14ac:dyDescent="0.35">
      <c r="A80">
        <v>79</v>
      </c>
      <c r="B80" t="s">
        <v>3109</v>
      </c>
      <c r="C80">
        <v>3</v>
      </c>
      <c r="D80">
        <v>6</v>
      </c>
      <c r="E80">
        <v>2021</v>
      </c>
      <c r="F80">
        <v>9</v>
      </c>
      <c r="G80" t="s">
        <v>2866</v>
      </c>
      <c r="H80" t="s">
        <v>19</v>
      </c>
      <c r="I80" t="s">
        <v>2863</v>
      </c>
      <c r="J80" t="s">
        <v>16</v>
      </c>
    </row>
    <row r="81" spans="1:10" x14ac:dyDescent="0.35">
      <c r="A81">
        <v>80</v>
      </c>
      <c r="B81" t="s">
        <v>3110</v>
      </c>
      <c r="C81">
        <v>0</v>
      </c>
      <c r="D81">
        <v>6</v>
      </c>
      <c r="E81">
        <v>2019</v>
      </c>
      <c r="F81">
        <v>8</v>
      </c>
      <c r="G81" t="s">
        <v>2867</v>
      </c>
      <c r="H81" t="s">
        <v>19</v>
      </c>
      <c r="I81" t="s">
        <v>2863</v>
      </c>
      <c r="J81" t="s">
        <v>19</v>
      </c>
    </row>
    <row r="82" spans="1:10" x14ac:dyDescent="0.35">
      <c r="A82">
        <v>81</v>
      </c>
      <c r="B82" t="s">
        <v>3111</v>
      </c>
      <c r="C82">
        <v>0</v>
      </c>
      <c r="D82">
        <v>4</v>
      </c>
      <c r="E82">
        <v>2021</v>
      </c>
      <c r="F82">
        <v>19</v>
      </c>
      <c r="G82" t="s">
        <v>2911</v>
      </c>
      <c r="H82" t="s">
        <v>93</v>
      </c>
      <c r="I82" t="s">
        <v>2865</v>
      </c>
      <c r="J82" t="s">
        <v>48</v>
      </c>
    </row>
    <row r="83" spans="1:10" x14ac:dyDescent="0.35">
      <c r="A83">
        <v>82</v>
      </c>
      <c r="B83" t="s">
        <v>3112</v>
      </c>
      <c r="C83">
        <v>2</v>
      </c>
      <c r="D83">
        <v>2</v>
      </c>
      <c r="E83">
        <v>2019</v>
      </c>
      <c r="F83">
        <v>18</v>
      </c>
      <c r="G83" t="s">
        <v>2912</v>
      </c>
      <c r="H83" t="s">
        <v>19</v>
      </c>
      <c r="I83" t="s">
        <v>2863</v>
      </c>
      <c r="J83" t="s">
        <v>157</v>
      </c>
    </row>
    <row r="84" spans="1:10" x14ac:dyDescent="0.35">
      <c r="A84">
        <v>83</v>
      </c>
      <c r="B84" t="s">
        <v>3113</v>
      </c>
      <c r="C84">
        <v>0</v>
      </c>
      <c r="D84">
        <v>3</v>
      </c>
      <c r="E84">
        <v>2017</v>
      </c>
      <c r="F84">
        <v>21</v>
      </c>
      <c r="G84" t="s">
        <v>2894</v>
      </c>
      <c r="H84" t="s">
        <v>2895</v>
      </c>
      <c r="I84" t="s">
        <v>2874</v>
      </c>
      <c r="J84" t="s">
        <v>25</v>
      </c>
    </row>
    <row r="85" spans="1:10" x14ac:dyDescent="0.35">
      <c r="A85">
        <v>84</v>
      </c>
      <c r="B85" t="s">
        <v>3114</v>
      </c>
      <c r="C85">
        <v>1</v>
      </c>
      <c r="D85">
        <v>4</v>
      </c>
      <c r="E85">
        <v>2022</v>
      </c>
      <c r="F85">
        <v>11</v>
      </c>
      <c r="G85" t="s">
        <v>2876</v>
      </c>
      <c r="H85" t="s">
        <v>2873</v>
      </c>
      <c r="I85" t="s">
        <v>2874</v>
      </c>
      <c r="J85" t="s">
        <v>22</v>
      </c>
    </row>
    <row r="86" spans="1:10" x14ac:dyDescent="0.35">
      <c r="A86">
        <v>85</v>
      </c>
      <c r="B86" t="s">
        <v>3115</v>
      </c>
      <c r="C86">
        <v>7</v>
      </c>
      <c r="D86">
        <v>11</v>
      </c>
      <c r="E86">
        <v>2020</v>
      </c>
      <c r="F86">
        <v>8</v>
      </c>
      <c r="G86" t="s">
        <v>2913</v>
      </c>
      <c r="H86" t="s">
        <v>2902</v>
      </c>
      <c r="I86" t="s">
        <v>2885</v>
      </c>
      <c r="J86" t="s">
        <v>231</v>
      </c>
    </row>
    <row r="87" spans="1:10" x14ac:dyDescent="0.35">
      <c r="A87">
        <v>86</v>
      </c>
      <c r="B87" t="s">
        <v>3116</v>
      </c>
      <c r="C87">
        <v>0</v>
      </c>
      <c r="D87">
        <v>4</v>
      </c>
      <c r="E87">
        <v>2014</v>
      </c>
      <c r="F87">
        <v>32</v>
      </c>
      <c r="G87" t="s">
        <v>2914</v>
      </c>
      <c r="H87" t="s">
        <v>2873</v>
      </c>
      <c r="I87" t="s">
        <v>2874</v>
      </c>
      <c r="J87" t="s">
        <v>35</v>
      </c>
    </row>
    <row r="88" spans="1:10" x14ac:dyDescent="0.35">
      <c r="A88">
        <v>87</v>
      </c>
      <c r="B88" t="s">
        <v>3117</v>
      </c>
      <c r="C88">
        <v>0</v>
      </c>
      <c r="D88">
        <v>1</v>
      </c>
      <c r="E88">
        <v>2018</v>
      </c>
      <c r="F88">
        <v>28</v>
      </c>
      <c r="G88" t="s">
        <v>2910</v>
      </c>
      <c r="H88" t="s">
        <v>2897</v>
      </c>
      <c r="I88" t="s">
        <v>2874</v>
      </c>
      <c r="J88" t="s">
        <v>19</v>
      </c>
    </row>
    <row r="89" spans="1:10" x14ac:dyDescent="0.35">
      <c r="A89">
        <v>88</v>
      </c>
      <c r="B89" t="s">
        <v>3118</v>
      </c>
      <c r="C89">
        <v>13</v>
      </c>
      <c r="D89">
        <v>13</v>
      </c>
      <c r="E89">
        <v>2022</v>
      </c>
      <c r="F89">
        <v>1</v>
      </c>
      <c r="G89" t="s">
        <v>2866</v>
      </c>
      <c r="H89" t="s">
        <v>19</v>
      </c>
      <c r="I89" t="s">
        <v>2863</v>
      </c>
      <c r="J89" t="s">
        <v>101</v>
      </c>
    </row>
    <row r="90" spans="1:10" x14ac:dyDescent="0.35">
      <c r="A90">
        <v>89</v>
      </c>
      <c r="B90" t="s">
        <v>3119</v>
      </c>
      <c r="C90">
        <v>1</v>
      </c>
      <c r="D90">
        <v>1</v>
      </c>
      <c r="E90">
        <v>2023</v>
      </c>
      <c r="F90">
        <v>6</v>
      </c>
      <c r="G90" t="s">
        <v>2915</v>
      </c>
      <c r="H90" t="s">
        <v>2916</v>
      </c>
      <c r="I90" t="s">
        <v>2908</v>
      </c>
      <c r="J90" t="s">
        <v>45</v>
      </c>
    </row>
    <row r="91" spans="1:10" x14ac:dyDescent="0.35">
      <c r="A91">
        <v>90</v>
      </c>
      <c r="B91" t="s">
        <v>3120</v>
      </c>
      <c r="C91">
        <v>10</v>
      </c>
      <c r="D91">
        <v>11</v>
      </c>
      <c r="E91">
        <v>2021</v>
      </c>
      <c r="F91">
        <v>9</v>
      </c>
      <c r="G91" t="s">
        <v>2866</v>
      </c>
      <c r="H91" t="s">
        <v>19</v>
      </c>
      <c r="I91" t="s">
        <v>2863</v>
      </c>
      <c r="J91" t="s">
        <v>45</v>
      </c>
    </row>
    <row r="92" spans="1:10" x14ac:dyDescent="0.35">
      <c r="A92">
        <v>91</v>
      </c>
      <c r="B92" t="s">
        <v>3121</v>
      </c>
      <c r="C92">
        <v>1</v>
      </c>
      <c r="D92">
        <v>4</v>
      </c>
      <c r="E92">
        <v>2015</v>
      </c>
      <c r="F92">
        <v>39</v>
      </c>
      <c r="G92" t="s">
        <v>2866</v>
      </c>
      <c r="H92" t="s">
        <v>19</v>
      </c>
      <c r="I92" t="s">
        <v>2863</v>
      </c>
      <c r="J92" t="s">
        <v>16</v>
      </c>
    </row>
    <row r="93" spans="1:10" x14ac:dyDescent="0.35">
      <c r="A93">
        <v>92</v>
      </c>
      <c r="B93" t="s">
        <v>3122</v>
      </c>
      <c r="C93">
        <v>3</v>
      </c>
      <c r="D93">
        <v>3</v>
      </c>
      <c r="E93">
        <v>2023</v>
      </c>
      <c r="F93">
        <v>9</v>
      </c>
      <c r="G93" t="s">
        <v>2917</v>
      </c>
      <c r="H93" t="s">
        <v>2880</v>
      </c>
      <c r="I93" t="s">
        <v>2874</v>
      </c>
      <c r="J93" t="s">
        <v>231</v>
      </c>
    </row>
    <row r="94" spans="1:10" x14ac:dyDescent="0.35">
      <c r="A94">
        <v>93</v>
      </c>
      <c r="B94" t="s">
        <v>3123</v>
      </c>
      <c r="C94">
        <v>0</v>
      </c>
      <c r="D94">
        <v>5</v>
      </c>
      <c r="E94">
        <v>2021</v>
      </c>
      <c r="F94">
        <v>7</v>
      </c>
      <c r="G94" t="s">
        <v>2875</v>
      </c>
      <c r="H94" t="s">
        <v>19</v>
      </c>
      <c r="I94" t="s">
        <v>2863</v>
      </c>
      <c r="J94" t="s">
        <v>19</v>
      </c>
    </row>
    <row r="95" spans="1:10" x14ac:dyDescent="0.35">
      <c r="A95">
        <v>94</v>
      </c>
      <c r="B95" t="s">
        <v>3124</v>
      </c>
      <c r="C95">
        <v>10</v>
      </c>
      <c r="D95">
        <v>12</v>
      </c>
      <c r="E95">
        <v>2019</v>
      </c>
      <c r="F95">
        <v>42</v>
      </c>
      <c r="G95" t="s">
        <v>2913</v>
      </c>
      <c r="H95" t="s">
        <v>2902</v>
      </c>
      <c r="I95" t="s">
        <v>2885</v>
      </c>
      <c r="J95" t="s">
        <v>16</v>
      </c>
    </row>
    <row r="96" spans="1:10" x14ac:dyDescent="0.35">
      <c r="A96">
        <v>95</v>
      </c>
      <c r="B96" t="s">
        <v>3125</v>
      </c>
      <c r="C96">
        <v>0</v>
      </c>
      <c r="D96">
        <v>4</v>
      </c>
      <c r="E96">
        <v>2020</v>
      </c>
      <c r="F96">
        <v>5</v>
      </c>
      <c r="G96" t="s">
        <v>2918</v>
      </c>
      <c r="H96" t="s">
        <v>2897</v>
      </c>
      <c r="I96" t="s">
        <v>2874</v>
      </c>
      <c r="J96" t="s">
        <v>78</v>
      </c>
    </row>
    <row r="97" spans="1:10" x14ac:dyDescent="0.35">
      <c r="A97">
        <v>96</v>
      </c>
      <c r="B97" t="s">
        <v>3126</v>
      </c>
      <c r="C97">
        <v>3</v>
      </c>
      <c r="D97">
        <v>4</v>
      </c>
      <c r="E97">
        <v>2019</v>
      </c>
      <c r="F97">
        <v>4</v>
      </c>
      <c r="G97" t="s">
        <v>2864</v>
      </c>
      <c r="H97" t="s">
        <v>93</v>
      </c>
      <c r="I97" t="s">
        <v>2865</v>
      </c>
      <c r="J97" t="s">
        <v>5</v>
      </c>
    </row>
    <row r="98" spans="1:10" x14ac:dyDescent="0.35">
      <c r="A98">
        <v>97</v>
      </c>
      <c r="B98" t="s">
        <v>3127</v>
      </c>
      <c r="C98">
        <v>6</v>
      </c>
      <c r="D98">
        <v>8</v>
      </c>
      <c r="E98">
        <v>2021</v>
      </c>
      <c r="F98">
        <v>35</v>
      </c>
      <c r="G98" t="s">
        <v>2882</v>
      </c>
      <c r="H98" t="s">
        <v>19</v>
      </c>
      <c r="I98" t="s">
        <v>2863</v>
      </c>
      <c r="J98" t="s">
        <v>157</v>
      </c>
    </row>
    <row r="99" spans="1:10" x14ac:dyDescent="0.35">
      <c r="A99">
        <v>98</v>
      </c>
      <c r="B99" t="s">
        <v>3128</v>
      </c>
      <c r="C99">
        <v>0</v>
      </c>
      <c r="D99">
        <v>3</v>
      </c>
      <c r="E99">
        <v>2014</v>
      </c>
      <c r="F99">
        <v>23</v>
      </c>
      <c r="G99" t="s">
        <v>2867</v>
      </c>
      <c r="H99" t="s">
        <v>19</v>
      </c>
      <c r="I99" t="s">
        <v>2863</v>
      </c>
      <c r="J99" t="s">
        <v>48</v>
      </c>
    </row>
    <row r="100" spans="1:10" x14ac:dyDescent="0.35">
      <c r="A100">
        <v>99</v>
      </c>
      <c r="B100" t="s">
        <v>3129</v>
      </c>
      <c r="C100">
        <v>5</v>
      </c>
      <c r="D100">
        <v>6</v>
      </c>
      <c r="E100">
        <v>2018</v>
      </c>
      <c r="F100">
        <v>14</v>
      </c>
      <c r="G100" t="s">
        <v>2919</v>
      </c>
      <c r="H100" t="s">
        <v>19</v>
      </c>
      <c r="I100" t="s">
        <v>2863</v>
      </c>
      <c r="J100" t="s">
        <v>45</v>
      </c>
    </row>
    <row r="101" spans="1:10" x14ac:dyDescent="0.35">
      <c r="A101">
        <v>100</v>
      </c>
      <c r="B101" t="s">
        <v>3130</v>
      </c>
      <c r="C101">
        <v>1</v>
      </c>
      <c r="D101">
        <v>6</v>
      </c>
      <c r="E101">
        <v>2014</v>
      </c>
      <c r="F101">
        <v>37</v>
      </c>
      <c r="G101" t="s">
        <v>2920</v>
      </c>
      <c r="H101" t="s">
        <v>93</v>
      </c>
      <c r="I101" t="s">
        <v>2865</v>
      </c>
      <c r="J101" t="s">
        <v>72</v>
      </c>
    </row>
    <row r="102" spans="1:10" x14ac:dyDescent="0.35">
      <c r="A102">
        <v>101</v>
      </c>
      <c r="B102" t="s">
        <v>3131</v>
      </c>
      <c r="C102">
        <v>0</v>
      </c>
      <c r="D102">
        <v>3</v>
      </c>
      <c r="E102">
        <v>2014</v>
      </c>
      <c r="F102">
        <v>109</v>
      </c>
      <c r="G102" t="s">
        <v>2866</v>
      </c>
      <c r="H102" t="s">
        <v>19</v>
      </c>
      <c r="I102" t="s">
        <v>2863</v>
      </c>
      <c r="J102" t="s">
        <v>144</v>
      </c>
    </row>
    <row r="103" spans="1:10" x14ac:dyDescent="0.35">
      <c r="A103">
        <v>102</v>
      </c>
      <c r="B103" t="s">
        <v>3132</v>
      </c>
      <c r="C103">
        <v>2</v>
      </c>
      <c r="D103">
        <v>9</v>
      </c>
      <c r="E103">
        <v>2019</v>
      </c>
      <c r="F103">
        <v>13</v>
      </c>
      <c r="G103" t="s">
        <v>2866</v>
      </c>
      <c r="H103" t="s">
        <v>19</v>
      </c>
      <c r="I103" t="s">
        <v>2863</v>
      </c>
      <c r="J103" t="s">
        <v>93</v>
      </c>
    </row>
    <row r="104" spans="1:10" x14ac:dyDescent="0.35">
      <c r="A104">
        <v>103</v>
      </c>
      <c r="B104" t="s">
        <v>3133</v>
      </c>
      <c r="C104">
        <v>3</v>
      </c>
      <c r="D104">
        <v>3</v>
      </c>
      <c r="E104">
        <v>2019</v>
      </c>
      <c r="F104">
        <v>17</v>
      </c>
      <c r="G104" t="s">
        <v>2915</v>
      </c>
      <c r="H104" t="s">
        <v>2916</v>
      </c>
      <c r="I104" t="s">
        <v>2908</v>
      </c>
      <c r="J104" t="s">
        <v>45</v>
      </c>
    </row>
    <row r="105" spans="1:10" x14ac:dyDescent="0.35">
      <c r="A105">
        <v>104</v>
      </c>
      <c r="B105" t="s">
        <v>3134</v>
      </c>
      <c r="C105">
        <v>4</v>
      </c>
      <c r="D105">
        <v>4</v>
      </c>
      <c r="E105">
        <v>2014</v>
      </c>
      <c r="F105">
        <v>73</v>
      </c>
      <c r="G105" t="s">
        <v>2862</v>
      </c>
      <c r="H105" t="s">
        <v>19</v>
      </c>
      <c r="I105" t="s">
        <v>2863</v>
      </c>
      <c r="J105" t="s">
        <v>101</v>
      </c>
    </row>
    <row r="106" spans="1:10" x14ac:dyDescent="0.35">
      <c r="A106">
        <v>105</v>
      </c>
      <c r="B106" t="s">
        <v>3135</v>
      </c>
      <c r="C106">
        <v>5</v>
      </c>
      <c r="D106">
        <v>5</v>
      </c>
      <c r="E106">
        <v>2021</v>
      </c>
      <c r="F106">
        <v>44</v>
      </c>
      <c r="G106" t="s">
        <v>2866</v>
      </c>
      <c r="H106" t="s">
        <v>19</v>
      </c>
      <c r="I106" t="s">
        <v>2863</v>
      </c>
      <c r="J106" t="s">
        <v>231</v>
      </c>
    </row>
    <row r="107" spans="1:10" x14ac:dyDescent="0.35">
      <c r="A107">
        <v>106</v>
      </c>
      <c r="B107" t="s">
        <v>3136</v>
      </c>
      <c r="C107">
        <v>0</v>
      </c>
      <c r="D107">
        <v>4</v>
      </c>
      <c r="E107">
        <v>2017</v>
      </c>
      <c r="F107">
        <v>7</v>
      </c>
      <c r="G107" t="s">
        <v>2921</v>
      </c>
      <c r="H107" t="s">
        <v>93</v>
      </c>
      <c r="I107" t="s">
        <v>2865</v>
      </c>
      <c r="J107" t="s">
        <v>16</v>
      </c>
    </row>
    <row r="108" spans="1:10" x14ac:dyDescent="0.35">
      <c r="A108">
        <v>107</v>
      </c>
      <c r="B108" t="s">
        <v>3137</v>
      </c>
      <c r="C108">
        <v>0</v>
      </c>
      <c r="D108">
        <v>3</v>
      </c>
      <c r="E108">
        <v>2022</v>
      </c>
      <c r="F108">
        <v>6</v>
      </c>
      <c r="G108" t="s">
        <v>2866</v>
      </c>
      <c r="H108" t="s">
        <v>19</v>
      </c>
      <c r="I108" t="s">
        <v>2863</v>
      </c>
      <c r="J108" t="s">
        <v>22</v>
      </c>
    </row>
    <row r="109" spans="1:10" x14ac:dyDescent="0.35">
      <c r="A109">
        <v>108</v>
      </c>
      <c r="B109" t="s">
        <v>3138</v>
      </c>
      <c r="C109">
        <v>0</v>
      </c>
      <c r="D109">
        <v>5</v>
      </c>
      <c r="E109">
        <v>2021</v>
      </c>
      <c r="F109">
        <v>63</v>
      </c>
      <c r="G109" t="s">
        <v>2922</v>
      </c>
      <c r="H109" t="s">
        <v>2873</v>
      </c>
      <c r="I109" t="s">
        <v>2874</v>
      </c>
      <c r="J109" t="s">
        <v>72</v>
      </c>
    </row>
    <row r="110" spans="1:10" x14ac:dyDescent="0.35">
      <c r="A110">
        <v>109</v>
      </c>
      <c r="B110" t="s">
        <v>3139</v>
      </c>
      <c r="C110">
        <v>0</v>
      </c>
      <c r="D110">
        <v>6</v>
      </c>
      <c r="E110">
        <v>2015</v>
      </c>
      <c r="F110">
        <v>11</v>
      </c>
      <c r="G110" t="s">
        <v>2923</v>
      </c>
      <c r="H110" t="s">
        <v>2884</v>
      </c>
      <c r="I110" t="s">
        <v>2885</v>
      </c>
      <c r="J110" t="s">
        <v>16</v>
      </c>
    </row>
    <row r="111" spans="1:10" x14ac:dyDescent="0.35">
      <c r="A111">
        <v>110</v>
      </c>
      <c r="B111" t="s">
        <v>3140</v>
      </c>
      <c r="C111">
        <v>1</v>
      </c>
      <c r="D111">
        <v>3</v>
      </c>
      <c r="E111">
        <v>2018</v>
      </c>
      <c r="F111">
        <v>8</v>
      </c>
      <c r="G111" t="s">
        <v>2901</v>
      </c>
      <c r="H111" t="s">
        <v>2902</v>
      </c>
      <c r="I111" t="s">
        <v>2885</v>
      </c>
      <c r="J111" t="s">
        <v>16</v>
      </c>
    </row>
    <row r="112" spans="1:10" x14ac:dyDescent="0.35">
      <c r="A112">
        <v>111</v>
      </c>
      <c r="B112" t="s">
        <v>3141</v>
      </c>
      <c r="C112">
        <v>3</v>
      </c>
      <c r="D112">
        <v>5</v>
      </c>
      <c r="E112">
        <v>2019</v>
      </c>
      <c r="F112">
        <v>43</v>
      </c>
      <c r="G112" t="s">
        <v>2879</v>
      </c>
      <c r="H112" t="s">
        <v>19</v>
      </c>
      <c r="I112" t="s">
        <v>2863</v>
      </c>
      <c r="J112" t="s">
        <v>90</v>
      </c>
    </row>
    <row r="113" spans="1:10" x14ac:dyDescent="0.35">
      <c r="A113">
        <v>112</v>
      </c>
      <c r="B113" t="s">
        <v>3142</v>
      </c>
      <c r="C113">
        <v>0</v>
      </c>
      <c r="D113">
        <v>7</v>
      </c>
      <c r="E113">
        <v>2023</v>
      </c>
      <c r="F113">
        <v>2</v>
      </c>
      <c r="G113" t="s">
        <v>2866</v>
      </c>
      <c r="H113" t="s">
        <v>19</v>
      </c>
      <c r="I113" t="s">
        <v>2863</v>
      </c>
      <c r="J113" t="s">
        <v>72</v>
      </c>
    </row>
    <row r="114" spans="1:10" x14ac:dyDescent="0.35">
      <c r="A114">
        <v>113</v>
      </c>
      <c r="B114" t="s">
        <v>3143</v>
      </c>
      <c r="C114">
        <v>2</v>
      </c>
      <c r="D114">
        <v>2</v>
      </c>
      <c r="E114">
        <v>2023</v>
      </c>
      <c r="F114">
        <v>4</v>
      </c>
      <c r="G114" t="s">
        <v>2866</v>
      </c>
      <c r="H114" t="s">
        <v>19</v>
      </c>
      <c r="I114" t="s">
        <v>2863</v>
      </c>
      <c r="J114" t="s">
        <v>101</v>
      </c>
    </row>
    <row r="115" spans="1:10" x14ac:dyDescent="0.35">
      <c r="A115">
        <v>114</v>
      </c>
      <c r="B115" t="s">
        <v>3144</v>
      </c>
      <c r="C115">
        <v>3</v>
      </c>
      <c r="D115">
        <v>8</v>
      </c>
      <c r="E115">
        <v>2017</v>
      </c>
      <c r="F115">
        <v>20</v>
      </c>
      <c r="G115" t="s">
        <v>2924</v>
      </c>
      <c r="H115" t="s">
        <v>19</v>
      </c>
      <c r="I115" t="s">
        <v>2863</v>
      </c>
      <c r="J115" t="s">
        <v>93</v>
      </c>
    </row>
    <row r="116" spans="1:10" x14ac:dyDescent="0.35">
      <c r="A116">
        <v>115</v>
      </c>
      <c r="B116" t="s">
        <v>3145</v>
      </c>
      <c r="C116">
        <v>10</v>
      </c>
      <c r="D116">
        <v>13</v>
      </c>
      <c r="E116">
        <v>2020</v>
      </c>
      <c r="F116">
        <v>15</v>
      </c>
      <c r="G116" t="s">
        <v>2896</v>
      </c>
      <c r="H116" t="s">
        <v>2897</v>
      </c>
      <c r="I116" t="s">
        <v>2874</v>
      </c>
      <c r="J116" t="s">
        <v>101</v>
      </c>
    </row>
    <row r="117" spans="1:10" x14ac:dyDescent="0.35">
      <c r="A117">
        <v>116</v>
      </c>
      <c r="B117" t="s">
        <v>3146</v>
      </c>
      <c r="C117">
        <v>2</v>
      </c>
      <c r="D117">
        <v>6</v>
      </c>
      <c r="E117">
        <v>2022</v>
      </c>
      <c r="F117">
        <v>8</v>
      </c>
      <c r="G117" t="s">
        <v>2866</v>
      </c>
      <c r="H117" t="s">
        <v>19</v>
      </c>
      <c r="I117" t="s">
        <v>2863</v>
      </c>
      <c r="J117" t="s">
        <v>93</v>
      </c>
    </row>
    <row r="118" spans="1:10" x14ac:dyDescent="0.35">
      <c r="A118">
        <v>117</v>
      </c>
      <c r="B118" t="s">
        <v>3147</v>
      </c>
      <c r="C118">
        <v>2</v>
      </c>
      <c r="D118">
        <v>12</v>
      </c>
      <c r="E118">
        <v>2022</v>
      </c>
      <c r="F118">
        <v>5</v>
      </c>
      <c r="G118" t="s">
        <v>2925</v>
      </c>
      <c r="H118" t="s">
        <v>19</v>
      </c>
      <c r="I118" t="s">
        <v>2863</v>
      </c>
      <c r="J118" t="s">
        <v>517</v>
      </c>
    </row>
    <row r="119" spans="1:10" x14ac:dyDescent="0.35">
      <c r="A119">
        <v>118</v>
      </c>
      <c r="B119" t="s">
        <v>3148</v>
      </c>
      <c r="C119">
        <v>0</v>
      </c>
      <c r="D119">
        <v>5</v>
      </c>
      <c r="E119">
        <v>2022</v>
      </c>
      <c r="F119">
        <v>9</v>
      </c>
      <c r="G119" t="s">
        <v>2899</v>
      </c>
      <c r="H119" t="s">
        <v>2895</v>
      </c>
      <c r="I119" t="s">
        <v>2874</v>
      </c>
      <c r="J119" t="s">
        <v>72</v>
      </c>
    </row>
    <row r="120" spans="1:10" x14ac:dyDescent="0.35">
      <c r="A120">
        <v>119</v>
      </c>
      <c r="B120" t="s">
        <v>3149</v>
      </c>
      <c r="C120">
        <v>0</v>
      </c>
      <c r="D120">
        <v>5</v>
      </c>
      <c r="E120">
        <v>2022</v>
      </c>
      <c r="F120">
        <v>10</v>
      </c>
      <c r="G120" t="s">
        <v>2900</v>
      </c>
      <c r="H120" t="s">
        <v>2880</v>
      </c>
      <c r="I120" t="s">
        <v>2874</v>
      </c>
      <c r="J120" t="s">
        <v>93</v>
      </c>
    </row>
    <row r="121" spans="1:10" x14ac:dyDescent="0.35">
      <c r="A121">
        <v>120</v>
      </c>
      <c r="B121" t="s">
        <v>3150</v>
      </c>
      <c r="C121">
        <v>9</v>
      </c>
      <c r="D121">
        <v>10</v>
      </c>
      <c r="E121">
        <v>2021</v>
      </c>
      <c r="F121">
        <v>8</v>
      </c>
      <c r="G121" t="s">
        <v>2866</v>
      </c>
      <c r="H121" t="s">
        <v>19</v>
      </c>
      <c r="I121" t="s">
        <v>2863</v>
      </c>
      <c r="J121" t="s">
        <v>45</v>
      </c>
    </row>
    <row r="122" spans="1:10" x14ac:dyDescent="0.35">
      <c r="A122">
        <v>121</v>
      </c>
      <c r="B122" t="s">
        <v>3151</v>
      </c>
      <c r="C122">
        <v>0</v>
      </c>
      <c r="D122">
        <v>2</v>
      </c>
      <c r="E122">
        <v>2020</v>
      </c>
      <c r="F122">
        <v>44</v>
      </c>
      <c r="G122" t="s">
        <v>2926</v>
      </c>
      <c r="H122" t="s">
        <v>2873</v>
      </c>
      <c r="I122" t="s">
        <v>2874</v>
      </c>
      <c r="J122" t="s">
        <v>16</v>
      </c>
    </row>
    <row r="123" spans="1:10" x14ac:dyDescent="0.35">
      <c r="A123">
        <v>122</v>
      </c>
      <c r="B123" t="s">
        <v>3152</v>
      </c>
      <c r="C123">
        <v>1</v>
      </c>
      <c r="D123">
        <v>1</v>
      </c>
      <c r="E123">
        <v>2021</v>
      </c>
      <c r="F123">
        <v>10</v>
      </c>
      <c r="G123" t="s">
        <v>2894</v>
      </c>
      <c r="H123" t="s">
        <v>2895</v>
      </c>
      <c r="I123" t="s">
        <v>2874</v>
      </c>
      <c r="J123" t="s">
        <v>45</v>
      </c>
    </row>
    <row r="124" spans="1:10" x14ac:dyDescent="0.35">
      <c r="A124">
        <v>123</v>
      </c>
      <c r="B124" t="s">
        <v>3153</v>
      </c>
      <c r="C124">
        <v>3</v>
      </c>
      <c r="D124">
        <v>4</v>
      </c>
      <c r="E124">
        <v>2020</v>
      </c>
      <c r="F124">
        <v>9</v>
      </c>
      <c r="G124" t="s">
        <v>2866</v>
      </c>
      <c r="H124" t="s">
        <v>19</v>
      </c>
      <c r="I124" t="s">
        <v>2863</v>
      </c>
      <c r="J124" t="s">
        <v>45</v>
      </c>
    </row>
    <row r="125" spans="1:10" x14ac:dyDescent="0.35">
      <c r="A125">
        <v>124</v>
      </c>
      <c r="B125" t="s">
        <v>3154</v>
      </c>
      <c r="C125">
        <v>2</v>
      </c>
      <c r="D125">
        <v>5</v>
      </c>
      <c r="E125">
        <v>2017</v>
      </c>
      <c r="F125">
        <v>29</v>
      </c>
      <c r="G125" t="s">
        <v>2903</v>
      </c>
      <c r="H125" t="s">
        <v>19</v>
      </c>
      <c r="I125" t="s">
        <v>2863</v>
      </c>
      <c r="J125" t="s">
        <v>16</v>
      </c>
    </row>
    <row r="126" spans="1:10" x14ac:dyDescent="0.35">
      <c r="A126">
        <v>125</v>
      </c>
      <c r="B126" t="s">
        <v>3155</v>
      </c>
      <c r="C126">
        <v>0</v>
      </c>
      <c r="D126">
        <v>2</v>
      </c>
      <c r="E126">
        <v>2020</v>
      </c>
      <c r="F126">
        <v>16</v>
      </c>
      <c r="G126" t="s">
        <v>2877</v>
      </c>
      <c r="H126" t="s">
        <v>19</v>
      </c>
      <c r="I126" t="s">
        <v>2863</v>
      </c>
      <c r="J126" t="s">
        <v>16</v>
      </c>
    </row>
    <row r="127" spans="1:10" x14ac:dyDescent="0.35">
      <c r="A127">
        <v>126</v>
      </c>
      <c r="B127" t="s">
        <v>3156</v>
      </c>
      <c r="C127">
        <v>8</v>
      </c>
      <c r="D127">
        <v>8</v>
      </c>
      <c r="E127">
        <v>2017</v>
      </c>
      <c r="F127">
        <v>70</v>
      </c>
      <c r="G127" t="s">
        <v>2866</v>
      </c>
      <c r="H127" t="s">
        <v>19</v>
      </c>
      <c r="I127" t="s">
        <v>2863</v>
      </c>
      <c r="J127" t="s">
        <v>231</v>
      </c>
    </row>
    <row r="128" spans="1:10" x14ac:dyDescent="0.35">
      <c r="A128">
        <v>127</v>
      </c>
      <c r="B128" t="s">
        <v>3157</v>
      </c>
      <c r="C128">
        <v>1</v>
      </c>
      <c r="D128">
        <v>1</v>
      </c>
      <c r="E128">
        <v>2020</v>
      </c>
      <c r="F128">
        <v>25</v>
      </c>
      <c r="G128" t="s">
        <v>2866</v>
      </c>
      <c r="H128" t="s">
        <v>19</v>
      </c>
      <c r="I128" t="s">
        <v>2863</v>
      </c>
      <c r="J128" t="s">
        <v>101</v>
      </c>
    </row>
    <row r="129" spans="1:10" x14ac:dyDescent="0.35">
      <c r="A129">
        <v>128</v>
      </c>
      <c r="B129" t="s">
        <v>3158</v>
      </c>
      <c r="C129">
        <v>0</v>
      </c>
      <c r="D129">
        <v>4</v>
      </c>
      <c r="E129">
        <v>2014</v>
      </c>
      <c r="F129">
        <v>6</v>
      </c>
      <c r="G129" t="s">
        <v>2869</v>
      </c>
      <c r="H129" t="s">
        <v>93</v>
      </c>
      <c r="I129" t="s">
        <v>2865</v>
      </c>
      <c r="J129" t="s">
        <v>72</v>
      </c>
    </row>
    <row r="130" spans="1:10" x14ac:dyDescent="0.35">
      <c r="A130">
        <v>129</v>
      </c>
      <c r="B130" t="s">
        <v>3159</v>
      </c>
      <c r="C130">
        <v>2</v>
      </c>
      <c r="D130">
        <v>7</v>
      </c>
      <c r="E130">
        <v>2014</v>
      </c>
      <c r="F130">
        <v>76</v>
      </c>
      <c r="G130" t="s">
        <v>2862</v>
      </c>
      <c r="H130" t="s">
        <v>19</v>
      </c>
      <c r="I130" t="s">
        <v>2863</v>
      </c>
      <c r="J130" t="s">
        <v>16</v>
      </c>
    </row>
    <row r="131" spans="1:10" x14ac:dyDescent="0.35">
      <c r="A131">
        <v>130</v>
      </c>
      <c r="B131" t="s">
        <v>3160</v>
      </c>
      <c r="C131">
        <v>0</v>
      </c>
      <c r="D131">
        <v>7</v>
      </c>
      <c r="E131">
        <v>2014</v>
      </c>
      <c r="F131">
        <v>53</v>
      </c>
      <c r="G131" t="s">
        <v>2869</v>
      </c>
      <c r="H131" t="s">
        <v>93</v>
      </c>
      <c r="I131" t="s">
        <v>2865</v>
      </c>
      <c r="J131" t="s">
        <v>72</v>
      </c>
    </row>
    <row r="132" spans="1:10" x14ac:dyDescent="0.35">
      <c r="A132">
        <v>131</v>
      </c>
      <c r="B132" t="s">
        <v>3161</v>
      </c>
      <c r="C132">
        <v>2</v>
      </c>
      <c r="D132">
        <v>3</v>
      </c>
      <c r="E132">
        <v>2021</v>
      </c>
      <c r="F132">
        <v>5</v>
      </c>
      <c r="G132" t="s">
        <v>2927</v>
      </c>
      <c r="H132" t="s">
        <v>2880</v>
      </c>
      <c r="I132" t="s">
        <v>2874</v>
      </c>
      <c r="J132" t="s">
        <v>19</v>
      </c>
    </row>
    <row r="133" spans="1:10" x14ac:dyDescent="0.35">
      <c r="A133">
        <v>132</v>
      </c>
      <c r="B133" t="s">
        <v>3162</v>
      </c>
      <c r="C133">
        <v>5</v>
      </c>
      <c r="D133">
        <v>7</v>
      </c>
      <c r="E133">
        <v>2020</v>
      </c>
      <c r="F133">
        <v>0</v>
      </c>
      <c r="G133" t="s">
        <v>2896</v>
      </c>
      <c r="H133" t="s">
        <v>2897</v>
      </c>
      <c r="I133" t="s">
        <v>2874</v>
      </c>
      <c r="J133" t="s">
        <v>45</v>
      </c>
    </row>
    <row r="134" spans="1:10" x14ac:dyDescent="0.35">
      <c r="A134">
        <v>133</v>
      </c>
      <c r="B134" t="s">
        <v>3163</v>
      </c>
      <c r="C134">
        <v>2</v>
      </c>
      <c r="D134">
        <v>4</v>
      </c>
      <c r="E134">
        <v>2016</v>
      </c>
      <c r="F134">
        <v>91</v>
      </c>
      <c r="G134" t="s">
        <v>2928</v>
      </c>
      <c r="H134" t="s">
        <v>19</v>
      </c>
      <c r="I134" t="s">
        <v>2863</v>
      </c>
      <c r="J134" t="s">
        <v>157</v>
      </c>
    </row>
    <row r="135" spans="1:10" x14ac:dyDescent="0.35">
      <c r="A135">
        <v>134</v>
      </c>
      <c r="B135" t="s">
        <v>3164</v>
      </c>
      <c r="C135">
        <v>0</v>
      </c>
      <c r="D135">
        <v>4</v>
      </c>
      <c r="E135">
        <v>2017</v>
      </c>
      <c r="F135">
        <v>7</v>
      </c>
      <c r="G135" t="s">
        <v>2929</v>
      </c>
      <c r="H135" t="s">
        <v>2930</v>
      </c>
      <c r="I135" t="s">
        <v>2885</v>
      </c>
      <c r="J135" t="s">
        <v>22</v>
      </c>
    </row>
    <row r="136" spans="1:10" x14ac:dyDescent="0.35">
      <c r="A136">
        <v>135</v>
      </c>
      <c r="B136" t="s">
        <v>3165</v>
      </c>
      <c r="C136">
        <v>0</v>
      </c>
      <c r="D136">
        <v>2</v>
      </c>
      <c r="E136">
        <v>2023</v>
      </c>
      <c r="F136">
        <v>0</v>
      </c>
      <c r="G136" t="s">
        <v>2903</v>
      </c>
      <c r="H136" t="s">
        <v>19</v>
      </c>
      <c r="I136" t="s">
        <v>2863</v>
      </c>
      <c r="J136" t="s">
        <v>16</v>
      </c>
    </row>
    <row r="137" spans="1:10" x14ac:dyDescent="0.35">
      <c r="A137">
        <v>136</v>
      </c>
      <c r="B137" t="s">
        <v>3166</v>
      </c>
      <c r="C137">
        <v>4</v>
      </c>
      <c r="D137">
        <v>4</v>
      </c>
      <c r="E137">
        <v>2020</v>
      </c>
      <c r="F137">
        <v>76</v>
      </c>
      <c r="G137" t="s">
        <v>2862</v>
      </c>
      <c r="H137" t="s">
        <v>19</v>
      </c>
      <c r="I137" t="s">
        <v>2863</v>
      </c>
      <c r="J137" t="s">
        <v>231</v>
      </c>
    </row>
    <row r="138" spans="1:10" x14ac:dyDescent="0.35">
      <c r="A138">
        <v>137</v>
      </c>
      <c r="B138" t="s">
        <v>3167</v>
      </c>
      <c r="C138">
        <v>3</v>
      </c>
      <c r="D138">
        <v>3</v>
      </c>
      <c r="E138">
        <v>2018</v>
      </c>
      <c r="F138">
        <v>97</v>
      </c>
      <c r="G138" t="s">
        <v>2866</v>
      </c>
      <c r="H138" t="s">
        <v>19</v>
      </c>
      <c r="I138" t="s">
        <v>2863</v>
      </c>
      <c r="J138" t="s">
        <v>157</v>
      </c>
    </row>
    <row r="139" spans="1:10" x14ac:dyDescent="0.35">
      <c r="A139">
        <v>138</v>
      </c>
      <c r="B139" t="s">
        <v>3168</v>
      </c>
      <c r="C139">
        <v>6</v>
      </c>
      <c r="D139">
        <v>7</v>
      </c>
      <c r="E139">
        <v>2022</v>
      </c>
      <c r="F139">
        <v>6</v>
      </c>
      <c r="G139" t="s">
        <v>2871</v>
      </c>
      <c r="H139" t="s">
        <v>19</v>
      </c>
      <c r="I139" t="s">
        <v>2863</v>
      </c>
      <c r="J139" t="s">
        <v>231</v>
      </c>
    </row>
    <row r="140" spans="1:10" x14ac:dyDescent="0.35">
      <c r="A140">
        <v>139</v>
      </c>
      <c r="B140" t="s">
        <v>3169</v>
      </c>
      <c r="C140">
        <v>1</v>
      </c>
      <c r="D140">
        <v>5</v>
      </c>
      <c r="E140">
        <v>2023</v>
      </c>
      <c r="F140">
        <v>6</v>
      </c>
      <c r="G140" t="s">
        <v>2862</v>
      </c>
      <c r="H140" t="s">
        <v>19</v>
      </c>
      <c r="I140" t="s">
        <v>2863</v>
      </c>
      <c r="J140" t="s">
        <v>22</v>
      </c>
    </row>
    <row r="141" spans="1:10" x14ac:dyDescent="0.35">
      <c r="A141">
        <v>140</v>
      </c>
      <c r="B141" t="s">
        <v>3170</v>
      </c>
      <c r="C141">
        <v>1</v>
      </c>
      <c r="D141">
        <v>5</v>
      </c>
      <c r="E141">
        <v>2021</v>
      </c>
      <c r="F141">
        <v>58</v>
      </c>
      <c r="G141" t="s">
        <v>2866</v>
      </c>
      <c r="H141" t="s">
        <v>19</v>
      </c>
      <c r="I141" t="s">
        <v>2863</v>
      </c>
      <c r="J141" t="s">
        <v>144</v>
      </c>
    </row>
    <row r="142" spans="1:10" x14ac:dyDescent="0.35">
      <c r="A142">
        <v>141</v>
      </c>
      <c r="B142" t="s">
        <v>3171</v>
      </c>
      <c r="C142">
        <v>5</v>
      </c>
      <c r="D142">
        <v>6</v>
      </c>
      <c r="E142">
        <v>2022</v>
      </c>
      <c r="F142">
        <v>9</v>
      </c>
      <c r="G142" t="s">
        <v>2915</v>
      </c>
      <c r="H142" t="s">
        <v>2916</v>
      </c>
      <c r="I142" t="s">
        <v>2908</v>
      </c>
      <c r="J142" t="s">
        <v>45</v>
      </c>
    </row>
    <row r="143" spans="1:10" x14ac:dyDescent="0.35">
      <c r="A143">
        <v>142</v>
      </c>
      <c r="B143" t="s">
        <v>3172</v>
      </c>
      <c r="C143">
        <v>1</v>
      </c>
      <c r="D143">
        <v>5</v>
      </c>
      <c r="E143">
        <v>2018</v>
      </c>
      <c r="F143">
        <v>13</v>
      </c>
      <c r="G143" t="s">
        <v>2931</v>
      </c>
      <c r="H143" t="s">
        <v>2897</v>
      </c>
      <c r="I143" t="s">
        <v>2874</v>
      </c>
      <c r="J143" t="s">
        <v>16</v>
      </c>
    </row>
    <row r="144" spans="1:10" x14ac:dyDescent="0.35">
      <c r="A144">
        <v>143</v>
      </c>
      <c r="B144" t="s">
        <v>3173</v>
      </c>
      <c r="C144">
        <v>7</v>
      </c>
      <c r="D144">
        <v>9</v>
      </c>
      <c r="E144">
        <v>2022</v>
      </c>
      <c r="F144">
        <v>13</v>
      </c>
      <c r="G144" t="s">
        <v>2931</v>
      </c>
      <c r="H144" t="s">
        <v>2897</v>
      </c>
      <c r="I144" t="s">
        <v>2874</v>
      </c>
      <c r="J144" t="s">
        <v>231</v>
      </c>
    </row>
    <row r="145" spans="1:10" x14ac:dyDescent="0.35">
      <c r="A145">
        <v>144</v>
      </c>
      <c r="B145" t="s">
        <v>3174</v>
      </c>
      <c r="C145">
        <v>1</v>
      </c>
      <c r="D145">
        <v>7</v>
      </c>
      <c r="E145">
        <v>2022</v>
      </c>
      <c r="F145">
        <v>24</v>
      </c>
      <c r="G145" t="s">
        <v>2867</v>
      </c>
      <c r="H145" t="s">
        <v>19</v>
      </c>
      <c r="I145" t="s">
        <v>2863</v>
      </c>
      <c r="J145" t="s">
        <v>93</v>
      </c>
    </row>
    <row r="146" spans="1:10" x14ac:dyDescent="0.35">
      <c r="A146">
        <v>145</v>
      </c>
      <c r="B146" t="s">
        <v>3175</v>
      </c>
      <c r="C146">
        <v>0</v>
      </c>
      <c r="D146">
        <v>2</v>
      </c>
      <c r="E146">
        <v>2022</v>
      </c>
      <c r="F146">
        <v>22</v>
      </c>
      <c r="G146" t="s">
        <v>2932</v>
      </c>
      <c r="H146" t="s">
        <v>2884</v>
      </c>
      <c r="I146" t="s">
        <v>2885</v>
      </c>
      <c r="J146" t="s">
        <v>72</v>
      </c>
    </row>
    <row r="147" spans="1:10" x14ac:dyDescent="0.35">
      <c r="A147">
        <v>146</v>
      </c>
      <c r="B147" t="s">
        <v>3176</v>
      </c>
      <c r="C147">
        <v>1</v>
      </c>
      <c r="D147">
        <v>4</v>
      </c>
      <c r="E147">
        <v>2023</v>
      </c>
      <c r="F147">
        <v>3</v>
      </c>
      <c r="G147" t="s">
        <v>2933</v>
      </c>
      <c r="H147" t="s">
        <v>19</v>
      </c>
      <c r="I147" t="s">
        <v>2863</v>
      </c>
      <c r="J147" t="s">
        <v>22</v>
      </c>
    </row>
    <row r="148" spans="1:10" x14ac:dyDescent="0.35">
      <c r="A148">
        <v>147</v>
      </c>
      <c r="B148" t="s">
        <v>3177</v>
      </c>
      <c r="C148">
        <v>5</v>
      </c>
      <c r="D148">
        <v>8</v>
      </c>
      <c r="E148">
        <v>2023</v>
      </c>
      <c r="F148">
        <v>2</v>
      </c>
      <c r="G148" t="s">
        <v>2929</v>
      </c>
      <c r="H148" t="s">
        <v>2930</v>
      </c>
      <c r="I148" t="s">
        <v>2885</v>
      </c>
      <c r="J148" t="s">
        <v>22</v>
      </c>
    </row>
    <row r="149" spans="1:10" x14ac:dyDescent="0.35">
      <c r="A149">
        <v>148</v>
      </c>
      <c r="B149" t="s">
        <v>3178</v>
      </c>
      <c r="C149">
        <v>1</v>
      </c>
      <c r="D149">
        <v>5</v>
      </c>
      <c r="E149">
        <v>2022</v>
      </c>
      <c r="F149">
        <v>10</v>
      </c>
      <c r="G149" t="s">
        <v>2934</v>
      </c>
      <c r="H149" t="s">
        <v>2880</v>
      </c>
      <c r="I149" t="s">
        <v>2874</v>
      </c>
      <c r="J149" t="s">
        <v>72</v>
      </c>
    </row>
    <row r="150" spans="1:10" x14ac:dyDescent="0.35">
      <c r="A150">
        <v>149</v>
      </c>
      <c r="B150" t="s">
        <v>3179</v>
      </c>
      <c r="C150">
        <v>4</v>
      </c>
      <c r="D150">
        <v>6</v>
      </c>
      <c r="E150">
        <v>2016</v>
      </c>
      <c r="F150">
        <v>9</v>
      </c>
      <c r="G150" t="s">
        <v>2935</v>
      </c>
      <c r="H150" t="s">
        <v>93</v>
      </c>
      <c r="I150" t="s">
        <v>2865</v>
      </c>
      <c r="J150" t="s">
        <v>231</v>
      </c>
    </row>
    <row r="151" spans="1:10" x14ac:dyDescent="0.35">
      <c r="A151">
        <v>150</v>
      </c>
      <c r="B151" t="s">
        <v>3180</v>
      </c>
      <c r="C151">
        <v>9</v>
      </c>
      <c r="D151">
        <v>9</v>
      </c>
      <c r="E151">
        <v>2014</v>
      </c>
      <c r="F151">
        <v>47</v>
      </c>
      <c r="G151" t="s">
        <v>2866</v>
      </c>
      <c r="H151" t="s">
        <v>19</v>
      </c>
      <c r="I151" t="s">
        <v>2863</v>
      </c>
      <c r="J151" t="s">
        <v>189</v>
      </c>
    </row>
    <row r="152" spans="1:10" x14ac:dyDescent="0.35">
      <c r="A152">
        <v>151</v>
      </c>
      <c r="B152" t="s">
        <v>3181</v>
      </c>
      <c r="C152">
        <v>5</v>
      </c>
      <c r="D152">
        <v>7</v>
      </c>
      <c r="E152">
        <v>2018</v>
      </c>
      <c r="F152">
        <v>15</v>
      </c>
      <c r="G152" t="s">
        <v>2899</v>
      </c>
      <c r="H152" t="s">
        <v>2895</v>
      </c>
      <c r="I152" t="s">
        <v>2874</v>
      </c>
      <c r="J152" t="s">
        <v>231</v>
      </c>
    </row>
    <row r="153" spans="1:10" x14ac:dyDescent="0.35">
      <c r="A153">
        <v>152</v>
      </c>
      <c r="B153" t="s">
        <v>3182</v>
      </c>
      <c r="C153">
        <v>13</v>
      </c>
      <c r="D153">
        <v>17</v>
      </c>
      <c r="E153">
        <v>2021</v>
      </c>
      <c r="F153">
        <v>48</v>
      </c>
      <c r="G153" t="s">
        <v>2936</v>
      </c>
      <c r="H153" t="s">
        <v>2880</v>
      </c>
      <c r="I153" t="s">
        <v>2874</v>
      </c>
      <c r="J153" t="s">
        <v>189</v>
      </c>
    </row>
    <row r="154" spans="1:10" x14ac:dyDescent="0.35">
      <c r="A154">
        <v>153</v>
      </c>
      <c r="B154" t="s">
        <v>3183</v>
      </c>
      <c r="C154">
        <v>4</v>
      </c>
      <c r="D154">
        <v>9</v>
      </c>
      <c r="E154">
        <v>2023</v>
      </c>
      <c r="F154">
        <v>1</v>
      </c>
      <c r="G154" t="s">
        <v>2937</v>
      </c>
      <c r="H154" t="s">
        <v>93</v>
      </c>
      <c r="I154" t="s">
        <v>2865</v>
      </c>
      <c r="J154" t="s">
        <v>667</v>
      </c>
    </row>
    <row r="155" spans="1:10" x14ac:dyDescent="0.35">
      <c r="A155">
        <v>154</v>
      </c>
      <c r="B155" t="s">
        <v>3184</v>
      </c>
      <c r="C155">
        <v>0</v>
      </c>
      <c r="D155">
        <v>4</v>
      </c>
      <c r="E155">
        <v>2023</v>
      </c>
      <c r="F155">
        <v>0</v>
      </c>
      <c r="G155" t="s">
        <v>2938</v>
      </c>
      <c r="H155" t="s">
        <v>2939</v>
      </c>
      <c r="I155" t="s">
        <v>2940</v>
      </c>
      <c r="J155" t="s">
        <v>72</v>
      </c>
    </row>
    <row r="156" spans="1:10" x14ac:dyDescent="0.35">
      <c r="A156">
        <v>155</v>
      </c>
      <c r="B156" t="s">
        <v>3185</v>
      </c>
      <c r="C156">
        <v>2</v>
      </c>
      <c r="D156">
        <v>3</v>
      </c>
      <c r="E156">
        <v>2016</v>
      </c>
      <c r="F156">
        <v>20</v>
      </c>
      <c r="G156" t="s">
        <v>2901</v>
      </c>
      <c r="H156" t="s">
        <v>2902</v>
      </c>
      <c r="I156" t="s">
        <v>2885</v>
      </c>
      <c r="J156" t="s">
        <v>101</v>
      </c>
    </row>
    <row r="157" spans="1:10" x14ac:dyDescent="0.35">
      <c r="A157">
        <v>156</v>
      </c>
      <c r="B157" t="s">
        <v>3186</v>
      </c>
      <c r="C157">
        <v>3</v>
      </c>
      <c r="D157">
        <v>6</v>
      </c>
      <c r="E157">
        <v>2020</v>
      </c>
      <c r="F157">
        <v>18</v>
      </c>
      <c r="G157" t="s">
        <v>2866</v>
      </c>
      <c r="H157" t="s">
        <v>19</v>
      </c>
      <c r="I157" t="s">
        <v>2863</v>
      </c>
      <c r="J157" t="s">
        <v>101</v>
      </c>
    </row>
    <row r="158" spans="1:10" x14ac:dyDescent="0.35">
      <c r="A158">
        <v>157</v>
      </c>
      <c r="B158" t="s">
        <v>3187</v>
      </c>
      <c r="C158">
        <v>1</v>
      </c>
      <c r="D158">
        <v>6</v>
      </c>
      <c r="E158">
        <v>2022</v>
      </c>
      <c r="F158">
        <v>6</v>
      </c>
      <c r="G158" t="s">
        <v>2894</v>
      </c>
      <c r="H158" t="s">
        <v>2895</v>
      </c>
      <c r="I158" t="s">
        <v>2874</v>
      </c>
      <c r="J158" t="s">
        <v>677</v>
      </c>
    </row>
    <row r="159" spans="1:10" x14ac:dyDescent="0.35">
      <c r="A159">
        <v>158</v>
      </c>
      <c r="B159" t="s">
        <v>3188</v>
      </c>
      <c r="C159">
        <v>5</v>
      </c>
      <c r="D159">
        <v>6</v>
      </c>
      <c r="E159">
        <v>2022</v>
      </c>
      <c r="F159">
        <v>8</v>
      </c>
      <c r="G159" t="s">
        <v>2866</v>
      </c>
      <c r="H159" t="s">
        <v>19</v>
      </c>
      <c r="I159" t="s">
        <v>2863</v>
      </c>
      <c r="J159" t="s">
        <v>231</v>
      </c>
    </row>
    <row r="160" spans="1:10" x14ac:dyDescent="0.35">
      <c r="A160">
        <v>159</v>
      </c>
      <c r="B160" t="s">
        <v>3189</v>
      </c>
      <c r="C160">
        <v>1</v>
      </c>
      <c r="D160">
        <v>1</v>
      </c>
      <c r="E160">
        <v>2020</v>
      </c>
      <c r="F160">
        <v>2</v>
      </c>
      <c r="G160" t="s">
        <v>2915</v>
      </c>
      <c r="H160" t="s">
        <v>2916</v>
      </c>
      <c r="I160" t="s">
        <v>2908</v>
      </c>
      <c r="J160" t="s">
        <v>45</v>
      </c>
    </row>
    <row r="161" spans="1:10" x14ac:dyDescent="0.35">
      <c r="A161">
        <v>160</v>
      </c>
      <c r="B161" t="s">
        <v>3190</v>
      </c>
      <c r="C161">
        <v>22</v>
      </c>
      <c r="D161">
        <v>24</v>
      </c>
      <c r="E161">
        <v>2019</v>
      </c>
      <c r="F161">
        <v>39</v>
      </c>
      <c r="G161" t="s">
        <v>2866</v>
      </c>
      <c r="H161" t="s">
        <v>19</v>
      </c>
      <c r="I161" t="s">
        <v>2863</v>
      </c>
      <c r="J161" t="s">
        <v>231</v>
      </c>
    </row>
    <row r="162" spans="1:10" x14ac:dyDescent="0.35">
      <c r="A162">
        <v>161</v>
      </c>
      <c r="B162" t="s">
        <v>3191</v>
      </c>
      <c r="C162">
        <v>2</v>
      </c>
      <c r="D162">
        <v>4</v>
      </c>
      <c r="E162">
        <v>2014</v>
      </c>
      <c r="F162">
        <v>15</v>
      </c>
      <c r="G162" t="s">
        <v>2866</v>
      </c>
      <c r="H162" t="s">
        <v>19</v>
      </c>
      <c r="I162" t="s">
        <v>2863</v>
      </c>
      <c r="J162" t="s">
        <v>45</v>
      </c>
    </row>
    <row r="163" spans="1:10" x14ac:dyDescent="0.35">
      <c r="A163">
        <v>162</v>
      </c>
      <c r="B163" t="s">
        <v>3192</v>
      </c>
      <c r="C163">
        <v>1</v>
      </c>
      <c r="D163">
        <v>4</v>
      </c>
      <c r="E163">
        <v>2020</v>
      </c>
      <c r="F163">
        <v>94</v>
      </c>
      <c r="G163" t="s">
        <v>2872</v>
      </c>
      <c r="H163" t="s">
        <v>2873</v>
      </c>
      <c r="I163" t="s">
        <v>2874</v>
      </c>
      <c r="J163" t="s">
        <v>19</v>
      </c>
    </row>
    <row r="164" spans="1:10" x14ac:dyDescent="0.35">
      <c r="A164">
        <v>163</v>
      </c>
      <c r="B164" t="s">
        <v>3193</v>
      </c>
      <c r="C164">
        <v>1</v>
      </c>
      <c r="D164">
        <v>7</v>
      </c>
      <c r="E164">
        <v>2021</v>
      </c>
      <c r="F164">
        <v>2</v>
      </c>
      <c r="G164" t="s">
        <v>2896</v>
      </c>
      <c r="H164" t="s">
        <v>2897</v>
      </c>
      <c r="I164" t="s">
        <v>2874</v>
      </c>
      <c r="J164" t="s">
        <v>72</v>
      </c>
    </row>
    <row r="165" spans="1:10" x14ac:dyDescent="0.35">
      <c r="A165">
        <v>164</v>
      </c>
      <c r="B165" t="s">
        <v>3194</v>
      </c>
      <c r="C165">
        <v>0</v>
      </c>
      <c r="D165">
        <v>3</v>
      </c>
      <c r="E165">
        <v>2016</v>
      </c>
      <c r="F165">
        <v>211</v>
      </c>
      <c r="G165" t="s">
        <v>2877</v>
      </c>
      <c r="H165" t="s">
        <v>19</v>
      </c>
      <c r="I165" t="s">
        <v>2863</v>
      </c>
      <c r="J165" t="s">
        <v>19</v>
      </c>
    </row>
    <row r="166" spans="1:10" x14ac:dyDescent="0.35">
      <c r="A166">
        <v>165</v>
      </c>
      <c r="B166" t="s">
        <v>3195</v>
      </c>
      <c r="C166">
        <v>0</v>
      </c>
      <c r="D166">
        <v>3</v>
      </c>
      <c r="E166">
        <v>2023</v>
      </c>
      <c r="F166">
        <v>4</v>
      </c>
      <c r="G166" t="s">
        <v>2862</v>
      </c>
      <c r="H166" t="s">
        <v>19</v>
      </c>
      <c r="I166" t="s">
        <v>2863</v>
      </c>
      <c r="J166" t="s">
        <v>72</v>
      </c>
    </row>
    <row r="167" spans="1:10" x14ac:dyDescent="0.35">
      <c r="A167">
        <v>166</v>
      </c>
      <c r="B167" t="s">
        <v>3196</v>
      </c>
      <c r="C167">
        <v>13</v>
      </c>
      <c r="D167">
        <v>19</v>
      </c>
      <c r="E167">
        <v>2016</v>
      </c>
      <c r="F167">
        <v>34</v>
      </c>
      <c r="G167" t="s">
        <v>2929</v>
      </c>
      <c r="H167" t="s">
        <v>2930</v>
      </c>
      <c r="I167" t="s">
        <v>2885</v>
      </c>
      <c r="J167" t="s">
        <v>48</v>
      </c>
    </row>
    <row r="168" spans="1:10" x14ac:dyDescent="0.35">
      <c r="A168">
        <v>167</v>
      </c>
      <c r="B168" t="s">
        <v>3197</v>
      </c>
      <c r="C168">
        <v>0</v>
      </c>
      <c r="D168">
        <v>2</v>
      </c>
      <c r="E168">
        <v>2014</v>
      </c>
      <c r="F168">
        <v>31</v>
      </c>
      <c r="G168" t="s">
        <v>2912</v>
      </c>
      <c r="H168" t="s">
        <v>19</v>
      </c>
      <c r="I168" t="s">
        <v>2863</v>
      </c>
      <c r="J168" t="s">
        <v>19</v>
      </c>
    </row>
    <row r="169" spans="1:10" x14ac:dyDescent="0.35">
      <c r="A169">
        <v>168</v>
      </c>
      <c r="B169" t="s">
        <v>3198</v>
      </c>
      <c r="C169">
        <v>5</v>
      </c>
      <c r="D169">
        <v>5</v>
      </c>
      <c r="E169">
        <v>2018</v>
      </c>
      <c r="F169">
        <v>31</v>
      </c>
      <c r="G169" t="s">
        <v>2869</v>
      </c>
      <c r="H169" t="s">
        <v>93</v>
      </c>
      <c r="I169" t="s">
        <v>2865</v>
      </c>
      <c r="J169" t="s">
        <v>231</v>
      </c>
    </row>
    <row r="170" spans="1:10" x14ac:dyDescent="0.35">
      <c r="A170">
        <v>169</v>
      </c>
      <c r="B170" t="s">
        <v>3199</v>
      </c>
      <c r="C170">
        <v>5</v>
      </c>
      <c r="D170">
        <v>5</v>
      </c>
      <c r="E170">
        <v>2017</v>
      </c>
      <c r="F170">
        <v>84</v>
      </c>
      <c r="G170" t="s">
        <v>2866</v>
      </c>
      <c r="H170" t="s">
        <v>19</v>
      </c>
      <c r="I170" t="s">
        <v>2863</v>
      </c>
      <c r="J170" t="s">
        <v>231</v>
      </c>
    </row>
    <row r="171" spans="1:10" x14ac:dyDescent="0.35">
      <c r="A171">
        <v>170</v>
      </c>
      <c r="B171" t="s">
        <v>3200</v>
      </c>
      <c r="C171">
        <v>0</v>
      </c>
      <c r="D171">
        <v>4</v>
      </c>
      <c r="E171">
        <v>2019</v>
      </c>
      <c r="F171">
        <v>105</v>
      </c>
      <c r="G171" t="s">
        <v>2867</v>
      </c>
      <c r="H171" t="s">
        <v>19</v>
      </c>
      <c r="I171" t="s">
        <v>2863</v>
      </c>
      <c r="J171" t="s">
        <v>22</v>
      </c>
    </row>
    <row r="172" spans="1:10" x14ac:dyDescent="0.35">
      <c r="A172">
        <v>171</v>
      </c>
      <c r="B172" t="s">
        <v>3201</v>
      </c>
      <c r="C172">
        <v>0</v>
      </c>
      <c r="D172">
        <v>3</v>
      </c>
      <c r="E172">
        <v>2015</v>
      </c>
      <c r="F172">
        <v>17</v>
      </c>
      <c r="G172" t="s">
        <v>2871</v>
      </c>
      <c r="H172" t="s">
        <v>19</v>
      </c>
      <c r="I172" t="s">
        <v>2863</v>
      </c>
      <c r="J172" t="s">
        <v>64</v>
      </c>
    </row>
    <row r="173" spans="1:10" x14ac:dyDescent="0.35">
      <c r="A173">
        <v>172</v>
      </c>
      <c r="B173" t="s">
        <v>3202</v>
      </c>
      <c r="C173">
        <v>1</v>
      </c>
      <c r="D173">
        <v>4</v>
      </c>
      <c r="E173">
        <v>2022</v>
      </c>
      <c r="F173">
        <v>1</v>
      </c>
      <c r="G173" t="s">
        <v>2926</v>
      </c>
      <c r="H173" t="s">
        <v>2873</v>
      </c>
      <c r="I173" t="s">
        <v>2874</v>
      </c>
      <c r="J173" t="s">
        <v>48</v>
      </c>
    </row>
    <row r="174" spans="1:10" x14ac:dyDescent="0.35">
      <c r="A174">
        <v>173</v>
      </c>
      <c r="B174" t="s">
        <v>3203</v>
      </c>
      <c r="C174">
        <v>4</v>
      </c>
      <c r="D174">
        <v>7</v>
      </c>
      <c r="E174">
        <v>2019</v>
      </c>
      <c r="F174">
        <v>31</v>
      </c>
      <c r="G174" t="s">
        <v>2894</v>
      </c>
      <c r="H174" t="s">
        <v>2895</v>
      </c>
      <c r="I174" t="s">
        <v>2874</v>
      </c>
      <c r="J174" t="s">
        <v>231</v>
      </c>
    </row>
    <row r="175" spans="1:10" x14ac:dyDescent="0.35">
      <c r="A175">
        <v>174</v>
      </c>
      <c r="B175" t="s">
        <v>3204</v>
      </c>
      <c r="C175">
        <v>5</v>
      </c>
      <c r="D175">
        <v>5</v>
      </c>
      <c r="E175">
        <v>2022</v>
      </c>
      <c r="F175">
        <v>17</v>
      </c>
      <c r="G175" t="s">
        <v>2862</v>
      </c>
      <c r="H175" t="s">
        <v>19</v>
      </c>
      <c r="I175" t="s">
        <v>2863</v>
      </c>
      <c r="J175" t="s">
        <v>5</v>
      </c>
    </row>
    <row r="176" spans="1:10" x14ac:dyDescent="0.35">
      <c r="A176">
        <v>175</v>
      </c>
      <c r="B176" t="s">
        <v>3205</v>
      </c>
      <c r="C176">
        <v>0</v>
      </c>
      <c r="D176">
        <v>4</v>
      </c>
      <c r="E176">
        <v>2016</v>
      </c>
      <c r="F176">
        <v>14</v>
      </c>
      <c r="G176" t="s">
        <v>2871</v>
      </c>
      <c r="H176" t="s">
        <v>19</v>
      </c>
      <c r="I176" t="s">
        <v>2863</v>
      </c>
      <c r="J176" t="s">
        <v>352</v>
      </c>
    </row>
    <row r="177" spans="1:10" x14ac:dyDescent="0.35">
      <c r="A177">
        <v>176</v>
      </c>
      <c r="B177" t="s">
        <v>3206</v>
      </c>
      <c r="C177">
        <v>3</v>
      </c>
      <c r="D177">
        <v>5</v>
      </c>
      <c r="E177">
        <v>2020</v>
      </c>
      <c r="F177">
        <v>7</v>
      </c>
      <c r="G177" t="s">
        <v>2912</v>
      </c>
      <c r="H177" t="s">
        <v>19</v>
      </c>
      <c r="I177" t="s">
        <v>2863</v>
      </c>
      <c r="J177" t="s">
        <v>45</v>
      </c>
    </row>
    <row r="178" spans="1:10" x14ac:dyDescent="0.35">
      <c r="A178">
        <v>177</v>
      </c>
      <c r="B178" t="s">
        <v>3207</v>
      </c>
      <c r="C178">
        <v>0</v>
      </c>
      <c r="D178">
        <v>2</v>
      </c>
      <c r="E178">
        <v>2016</v>
      </c>
      <c r="F178">
        <v>31</v>
      </c>
      <c r="G178" t="s">
        <v>2912</v>
      </c>
      <c r="H178" t="s">
        <v>19</v>
      </c>
      <c r="I178" t="s">
        <v>2863</v>
      </c>
      <c r="J178" t="s">
        <v>19</v>
      </c>
    </row>
    <row r="179" spans="1:10" x14ac:dyDescent="0.35">
      <c r="A179">
        <v>178</v>
      </c>
      <c r="B179" t="s">
        <v>3208</v>
      </c>
      <c r="C179">
        <v>0</v>
      </c>
      <c r="D179">
        <v>3</v>
      </c>
      <c r="E179">
        <v>2018</v>
      </c>
      <c r="F179">
        <v>9</v>
      </c>
      <c r="G179" t="s">
        <v>2871</v>
      </c>
      <c r="H179" t="s">
        <v>19</v>
      </c>
      <c r="I179" t="s">
        <v>2863</v>
      </c>
      <c r="J179" t="s">
        <v>40</v>
      </c>
    </row>
    <row r="180" spans="1:10" x14ac:dyDescent="0.35">
      <c r="A180">
        <v>179</v>
      </c>
      <c r="B180" t="s">
        <v>3209</v>
      </c>
      <c r="C180">
        <v>2</v>
      </c>
      <c r="D180">
        <v>2</v>
      </c>
      <c r="E180">
        <v>2021</v>
      </c>
      <c r="F180">
        <v>1</v>
      </c>
      <c r="G180" t="s">
        <v>2941</v>
      </c>
      <c r="H180" t="s">
        <v>2930</v>
      </c>
      <c r="I180" t="s">
        <v>2885</v>
      </c>
      <c r="J180" t="s">
        <v>45</v>
      </c>
    </row>
    <row r="181" spans="1:10" x14ac:dyDescent="0.35">
      <c r="A181">
        <v>180</v>
      </c>
      <c r="B181" t="s">
        <v>3210</v>
      </c>
      <c r="C181">
        <v>2</v>
      </c>
      <c r="D181">
        <v>5</v>
      </c>
      <c r="E181">
        <v>2023</v>
      </c>
      <c r="F181">
        <v>1</v>
      </c>
      <c r="G181" t="s">
        <v>2942</v>
      </c>
      <c r="H181" t="s">
        <v>2902</v>
      </c>
      <c r="I181" t="s">
        <v>2885</v>
      </c>
      <c r="J181" t="s">
        <v>16</v>
      </c>
    </row>
    <row r="182" spans="1:10" x14ac:dyDescent="0.35">
      <c r="A182">
        <v>181</v>
      </c>
      <c r="B182" t="s">
        <v>3211</v>
      </c>
      <c r="C182">
        <v>9</v>
      </c>
      <c r="D182">
        <v>9</v>
      </c>
      <c r="E182">
        <v>2017</v>
      </c>
      <c r="F182">
        <v>14</v>
      </c>
      <c r="G182" t="s">
        <v>2913</v>
      </c>
      <c r="H182" t="s">
        <v>2902</v>
      </c>
      <c r="I182" t="s">
        <v>2885</v>
      </c>
      <c r="J182" t="s">
        <v>101</v>
      </c>
    </row>
    <row r="183" spans="1:10" x14ac:dyDescent="0.35">
      <c r="A183">
        <v>182</v>
      </c>
      <c r="B183" t="s">
        <v>3212</v>
      </c>
      <c r="C183">
        <v>1</v>
      </c>
      <c r="D183">
        <v>9</v>
      </c>
      <c r="E183">
        <v>2023</v>
      </c>
      <c r="F183">
        <v>9</v>
      </c>
      <c r="G183" t="s">
        <v>2927</v>
      </c>
      <c r="H183" t="s">
        <v>2880</v>
      </c>
      <c r="I183" t="s">
        <v>2874</v>
      </c>
      <c r="J183" t="s">
        <v>35</v>
      </c>
    </row>
    <row r="184" spans="1:10" x14ac:dyDescent="0.35">
      <c r="A184">
        <v>183</v>
      </c>
      <c r="B184" t="s">
        <v>3213</v>
      </c>
      <c r="C184">
        <v>3</v>
      </c>
      <c r="D184">
        <v>12</v>
      </c>
      <c r="E184">
        <v>2021</v>
      </c>
      <c r="F184">
        <v>26</v>
      </c>
      <c r="G184" t="s">
        <v>2872</v>
      </c>
      <c r="H184" t="s">
        <v>2873</v>
      </c>
      <c r="I184" t="s">
        <v>2874</v>
      </c>
      <c r="J184" t="s">
        <v>19</v>
      </c>
    </row>
    <row r="185" spans="1:10" x14ac:dyDescent="0.35">
      <c r="A185">
        <v>184</v>
      </c>
      <c r="B185" t="s">
        <v>3214</v>
      </c>
      <c r="C185">
        <v>0</v>
      </c>
      <c r="D185">
        <v>4</v>
      </c>
      <c r="E185">
        <v>2017</v>
      </c>
      <c r="F185">
        <v>10</v>
      </c>
      <c r="G185" t="s">
        <v>2924</v>
      </c>
      <c r="H185" t="s">
        <v>19</v>
      </c>
      <c r="I185" t="s">
        <v>2863</v>
      </c>
      <c r="J185" t="s">
        <v>16</v>
      </c>
    </row>
    <row r="186" spans="1:10" x14ac:dyDescent="0.35">
      <c r="A186">
        <v>185</v>
      </c>
      <c r="B186" t="s">
        <v>3215</v>
      </c>
      <c r="C186">
        <v>5</v>
      </c>
      <c r="D186">
        <v>6</v>
      </c>
      <c r="E186">
        <v>2021</v>
      </c>
      <c r="F186">
        <v>13</v>
      </c>
      <c r="G186" t="s">
        <v>2867</v>
      </c>
      <c r="H186" t="s">
        <v>19</v>
      </c>
      <c r="I186" t="s">
        <v>2863</v>
      </c>
      <c r="J186" t="s">
        <v>101</v>
      </c>
    </row>
    <row r="187" spans="1:10" x14ac:dyDescent="0.35">
      <c r="A187">
        <v>186</v>
      </c>
      <c r="B187" t="s">
        <v>3216</v>
      </c>
      <c r="C187">
        <v>0</v>
      </c>
      <c r="D187">
        <v>1</v>
      </c>
      <c r="E187">
        <v>2019</v>
      </c>
      <c r="F187">
        <v>28</v>
      </c>
      <c r="G187" t="s">
        <v>2896</v>
      </c>
      <c r="H187" t="s">
        <v>2897</v>
      </c>
      <c r="I187" t="s">
        <v>2874</v>
      </c>
      <c r="J187" t="s">
        <v>48</v>
      </c>
    </row>
    <row r="188" spans="1:10" x14ac:dyDescent="0.35">
      <c r="A188">
        <v>187</v>
      </c>
      <c r="B188" t="s">
        <v>3217</v>
      </c>
      <c r="C188">
        <v>1</v>
      </c>
      <c r="D188">
        <v>3</v>
      </c>
      <c r="E188">
        <v>2021</v>
      </c>
      <c r="F188">
        <v>2</v>
      </c>
      <c r="G188" t="s">
        <v>2900</v>
      </c>
      <c r="H188" t="s">
        <v>2880</v>
      </c>
      <c r="I188" t="s">
        <v>2874</v>
      </c>
      <c r="J188" t="s">
        <v>797</v>
      </c>
    </row>
    <row r="189" spans="1:10" x14ac:dyDescent="0.35">
      <c r="A189">
        <v>188</v>
      </c>
      <c r="B189" t="s">
        <v>3218</v>
      </c>
      <c r="C189">
        <v>2</v>
      </c>
      <c r="D189">
        <v>11</v>
      </c>
      <c r="E189">
        <v>2020</v>
      </c>
      <c r="F189">
        <v>11</v>
      </c>
      <c r="G189" t="s">
        <v>2914</v>
      </c>
      <c r="H189" t="s">
        <v>2873</v>
      </c>
      <c r="I189" t="s">
        <v>2874</v>
      </c>
      <c r="J189" t="s">
        <v>72</v>
      </c>
    </row>
    <row r="190" spans="1:10" x14ac:dyDescent="0.35">
      <c r="A190">
        <v>189</v>
      </c>
      <c r="B190" t="s">
        <v>3219</v>
      </c>
      <c r="C190">
        <v>2</v>
      </c>
      <c r="D190">
        <v>3</v>
      </c>
      <c r="E190">
        <v>2022</v>
      </c>
      <c r="F190">
        <v>9</v>
      </c>
      <c r="G190" t="s">
        <v>2894</v>
      </c>
      <c r="H190" t="s">
        <v>2895</v>
      </c>
      <c r="I190" t="s">
        <v>2874</v>
      </c>
      <c r="J190" t="s">
        <v>231</v>
      </c>
    </row>
    <row r="191" spans="1:10" x14ac:dyDescent="0.35">
      <c r="A191">
        <v>190</v>
      </c>
      <c r="B191" t="s">
        <v>3220</v>
      </c>
      <c r="C191">
        <v>0</v>
      </c>
      <c r="D191">
        <v>3</v>
      </c>
      <c r="E191">
        <v>2021</v>
      </c>
      <c r="F191">
        <v>6</v>
      </c>
      <c r="G191" t="s">
        <v>2867</v>
      </c>
      <c r="H191" t="s">
        <v>19</v>
      </c>
      <c r="I191" t="s">
        <v>2863</v>
      </c>
      <c r="J191" t="s">
        <v>72</v>
      </c>
    </row>
    <row r="192" spans="1:10" x14ac:dyDescent="0.35">
      <c r="A192">
        <v>191</v>
      </c>
      <c r="B192" t="s">
        <v>3221</v>
      </c>
      <c r="C192">
        <v>3</v>
      </c>
      <c r="D192">
        <v>3</v>
      </c>
      <c r="E192">
        <v>2016</v>
      </c>
      <c r="F192">
        <v>57</v>
      </c>
      <c r="G192" t="s">
        <v>2866</v>
      </c>
      <c r="H192" t="s">
        <v>19</v>
      </c>
      <c r="I192" t="s">
        <v>2863</v>
      </c>
      <c r="J192" t="s">
        <v>157</v>
      </c>
    </row>
    <row r="193" spans="1:10" x14ac:dyDescent="0.35">
      <c r="A193">
        <v>192</v>
      </c>
      <c r="B193" t="s">
        <v>3222</v>
      </c>
      <c r="C193">
        <v>3</v>
      </c>
      <c r="D193">
        <v>6</v>
      </c>
      <c r="E193">
        <v>2018</v>
      </c>
      <c r="F193">
        <v>53</v>
      </c>
      <c r="G193" t="s">
        <v>2866</v>
      </c>
      <c r="H193" t="s">
        <v>19</v>
      </c>
      <c r="I193" t="s">
        <v>2863</v>
      </c>
      <c r="J193" t="s">
        <v>157</v>
      </c>
    </row>
    <row r="194" spans="1:10" x14ac:dyDescent="0.35">
      <c r="A194">
        <v>193</v>
      </c>
      <c r="B194" t="s">
        <v>3223</v>
      </c>
      <c r="C194">
        <v>2</v>
      </c>
      <c r="D194">
        <v>4</v>
      </c>
      <c r="E194">
        <v>2023</v>
      </c>
      <c r="F194">
        <v>0</v>
      </c>
      <c r="G194" t="s">
        <v>2919</v>
      </c>
      <c r="H194" t="s">
        <v>19</v>
      </c>
      <c r="I194" t="s">
        <v>2863</v>
      </c>
      <c r="J194" t="s">
        <v>101</v>
      </c>
    </row>
    <row r="195" spans="1:10" x14ac:dyDescent="0.35">
      <c r="A195">
        <v>194</v>
      </c>
      <c r="B195" t="s">
        <v>3224</v>
      </c>
      <c r="C195">
        <v>0</v>
      </c>
      <c r="D195">
        <v>4</v>
      </c>
      <c r="E195">
        <v>2021</v>
      </c>
      <c r="F195">
        <v>17</v>
      </c>
      <c r="G195" t="s">
        <v>2924</v>
      </c>
      <c r="H195" t="s">
        <v>19</v>
      </c>
      <c r="I195" t="s">
        <v>2863</v>
      </c>
      <c r="J195" t="s">
        <v>72</v>
      </c>
    </row>
    <row r="196" spans="1:10" x14ac:dyDescent="0.35">
      <c r="A196">
        <v>195</v>
      </c>
      <c r="B196" t="s">
        <v>3225</v>
      </c>
      <c r="C196">
        <v>5</v>
      </c>
      <c r="D196">
        <v>7</v>
      </c>
      <c r="E196">
        <v>2016</v>
      </c>
      <c r="F196">
        <v>19</v>
      </c>
      <c r="G196" t="s">
        <v>2901</v>
      </c>
      <c r="H196" t="s">
        <v>2902</v>
      </c>
      <c r="I196" t="s">
        <v>2885</v>
      </c>
      <c r="J196" t="s">
        <v>101</v>
      </c>
    </row>
    <row r="197" spans="1:10" x14ac:dyDescent="0.35">
      <c r="A197">
        <v>196</v>
      </c>
      <c r="B197" t="s">
        <v>3226</v>
      </c>
      <c r="C197">
        <v>3</v>
      </c>
      <c r="D197">
        <v>3</v>
      </c>
      <c r="E197">
        <v>2015</v>
      </c>
      <c r="F197">
        <v>74</v>
      </c>
      <c r="G197" t="s">
        <v>2894</v>
      </c>
      <c r="H197" t="s">
        <v>2895</v>
      </c>
      <c r="I197" t="s">
        <v>2874</v>
      </c>
      <c r="J197" t="s">
        <v>231</v>
      </c>
    </row>
    <row r="198" spans="1:10" x14ac:dyDescent="0.35">
      <c r="A198">
        <v>197</v>
      </c>
      <c r="B198" t="s">
        <v>3227</v>
      </c>
      <c r="C198">
        <v>6</v>
      </c>
      <c r="D198">
        <v>7</v>
      </c>
      <c r="E198">
        <v>2014</v>
      </c>
      <c r="F198">
        <v>11</v>
      </c>
      <c r="G198" t="s">
        <v>2864</v>
      </c>
      <c r="H198" t="s">
        <v>93</v>
      </c>
      <c r="I198" t="s">
        <v>2865</v>
      </c>
      <c r="J198" t="s">
        <v>45</v>
      </c>
    </row>
    <row r="199" spans="1:10" x14ac:dyDescent="0.35">
      <c r="A199">
        <v>198</v>
      </c>
      <c r="B199" t="s">
        <v>3228</v>
      </c>
      <c r="C199">
        <v>3</v>
      </c>
      <c r="D199">
        <v>4</v>
      </c>
      <c r="E199">
        <v>2023</v>
      </c>
      <c r="F199">
        <v>7</v>
      </c>
      <c r="G199" t="s">
        <v>2896</v>
      </c>
      <c r="H199" t="s">
        <v>2897</v>
      </c>
      <c r="I199" t="s">
        <v>2874</v>
      </c>
      <c r="J199" t="s">
        <v>45</v>
      </c>
    </row>
    <row r="200" spans="1:10" x14ac:dyDescent="0.35">
      <c r="A200">
        <v>199</v>
      </c>
      <c r="B200" t="s">
        <v>3229</v>
      </c>
      <c r="C200">
        <v>4</v>
      </c>
      <c r="D200">
        <v>5</v>
      </c>
      <c r="E200">
        <v>2022</v>
      </c>
      <c r="F200">
        <v>12</v>
      </c>
      <c r="G200" t="s">
        <v>2896</v>
      </c>
      <c r="H200" t="s">
        <v>2897</v>
      </c>
      <c r="I200" t="s">
        <v>2874</v>
      </c>
      <c r="J200" t="s">
        <v>231</v>
      </c>
    </row>
    <row r="201" spans="1:10" x14ac:dyDescent="0.35">
      <c r="A201">
        <v>200</v>
      </c>
      <c r="B201" t="s">
        <v>3230</v>
      </c>
      <c r="C201">
        <v>4</v>
      </c>
      <c r="D201">
        <v>4</v>
      </c>
      <c r="E201">
        <v>2022</v>
      </c>
      <c r="F201">
        <v>9</v>
      </c>
      <c r="G201" t="s">
        <v>2864</v>
      </c>
      <c r="H201" t="s">
        <v>93</v>
      </c>
      <c r="I201" t="s">
        <v>2865</v>
      </c>
      <c r="J201" t="s">
        <v>189</v>
      </c>
    </row>
    <row r="202" spans="1:10" x14ac:dyDescent="0.35">
      <c r="A202">
        <v>201</v>
      </c>
      <c r="B202" t="s">
        <v>3231</v>
      </c>
      <c r="C202">
        <v>2</v>
      </c>
      <c r="D202">
        <v>2</v>
      </c>
      <c r="E202">
        <v>2017</v>
      </c>
      <c r="F202">
        <v>5</v>
      </c>
      <c r="G202" t="s">
        <v>2862</v>
      </c>
      <c r="H202" t="s">
        <v>19</v>
      </c>
      <c r="I202" t="s">
        <v>2863</v>
      </c>
      <c r="J202" t="s">
        <v>5</v>
      </c>
    </row>
    <row r="203" spans="1:10" x14ac:dyDescent="0.35">
      <c r="A203">
        <v>202</v>
      </c>
      <c r="B203" t="s">
        <v>3232</v>
      </c>
      <c r="C203">
        <v>0</v>
      </c>
      <c r="D203">
        <v>6</v>
      </c>
      <c r="E203">
        <v>2017</v>
      </c>
      <c r="F203">
        <v>54</v>
      </c>
      <c r="G203" t="s">
        <v>2900</v>
      </c>
      <c r="H203" t="s">
        <v>2880</v>
      </c>
      <c r="I203" t="s">
        <v>2874</v>
      </c>
      <c r="J203" t="s">
        <v>48</v>
      </c>
    </row>
    <row r="204" spans="1:10" x14ac:dyDescent="0.35">
      <c r="A204">
        <v>203</v>
      </c>
      <c r="B204" t="s">
        <v>3233</v>
      </c>
      <c r="C204">
        <v>1</v>
      </c>
      <c r="D204">
        <v>7</v>
      </c>
      <c r="E204">
        <v>2023</v>
      </c>
      <c r="F204">
        <v>6</v>
      </c>
      <c r="G204" t="s">
        <v>2867</v>
      </c>
      <c r="H204" t="s">
        <v>19</v>
      </c>
      <c r="I204" t="s">
        <v>2863</v>
      </c>
      <c r="J204" t="s">
        <v>93</v>
      </c>
    </row>
    <row r="205" spans="1:10" x14ac:dyDescent="0.35">
      <c r="A205">
        <v>204</v>
      </c>
      <c r="B205" t="s">
        <v>3234</v>
      </c>
      <c r="C205">
        <v>3</v>
      </c>
      <c r="D205">
        <v>3</v>
      </c>
      <c r="E205">
        <v>2017</v>
      </c>
      <c r="F205">
        <v>100</v>
      </c>
      <c r="G205" t="s">
        <v>2943</v>
      </c>
      <c r="H205" t="s">
        <v>19</v>
      </c>
      <c r="I205" t="s">
        <v>2863</v>
      </c>
      <c r="J205" t="s">
        <v>157</v>
      </c>
    </row>
    <row r="206" spans="1:10" x14ac:dyDescent="0.35">
      <c r="A206">
        <v>205</v>
      </c>
      <c r="B206" t="s">
        <v>3235</v>
      </c>
      <c r="C206">
        <v>2</v>
      </c>
      <c r="D206">
        <v>2</v>
      </c>
      <c r="E206">
        <v>2018</v>
      </c>
      <c r="F206">
        <v>52</v>
      </c>
      <c r="G206" t="s">
        <v>2899</v>
      </c>
      <c r="H206" t="s">
        <v>2895</v>
      </c>
      <c r="I206" t="s">
        <v>2874</v>
      </c>
      <c r="J206" t="s">
        <v>231</v>
      </c>
    </row>
    <row r="207" spans="1:10" x14ac:dyDescent="0.35">
      <c r="A207">
        <v>206</v>
      </c>
      <c r="B207" t="s">
        <v>3236</v>
      </c>
      <c r="C207">
        <v>1</v>
      </c>
      <c r="D207">
        <v>5</v>
      </c>
      <c r="E207">
        <v>2020</v>
      </c>
      <c r="F207">
        <v>1</v>
      </c>
      <c r="G207" t="s">
        <v>2944</v>
      </c>
      <c r="H207" t="s">
        <v>93</v>
      </c>
      <c r="I207" t="s">
        <v>2865</v>
      </c>
      <c r="J207" t="s">
        <v>22</v>
      </c>
    </row>
    <row r="208" spans="1:10" x14ac:dyDescent="0.35">
      <c r="A208">
        <v>207</v>
      </c>
      <c r="B208" t="s">
        <v>3237</v>
      </c>
      <c r="C208">
        <v>3</v>
      </c>
      <c r="D208">
        <v>5</v>
      </c>
      <c r="E208">
        <v>2022</v>
      </c>
      <c r="F208">
        <v>5</v>
      </c>
      <c r="G208" t="s">
        <v>2871</v>
      </c>
      <c r="H208" t="s">
        <v>19</v>
      </c>
      <c r="I208" t="s">
        <v>2863</v>
      </c>
      <c r="J208" t="s">
        <v>16</v>
      </c>
    </row>
    <row r="209" spans="1:10" x14ac:dyDescent="0.35">
      <c r="A209">
        <v>208</v>
      </c>
      <c r="B209" t="s">
        <v>3238</v>
      </c>
      <c r="C209">
        <v>0</v>
      </c>
      <c r="D209">
        <v>8</v>
      </c>
      <c r="E209">
        <v>2021</v>
      </c>
      <c r="F209">
        <v>6</v>
      </c>
      <c r="G209" t="s">
        <v>2866</v>
      </c>
      <c r="H209" t="s">
        <v>19</v>
      </c>
      <c r="I209" t="s">
        <v>2863</v>
      </c>
      <c r="J209" t="s">
        <v>865</v>
      </c>
    </row>
    <row r="210" spans="1:10" x14ac:dyDescent="0.35">
      <c r="A210">
        <v>209</v>
      </c>
      <c r="B210" t="s">
        <v>3239</v>
      </c>
      <c r="C210">
        <v>0</v>
      </c>
      <c r="D210">
        <v>5</v>
      </c>
      <c r="E210">
        <v>2014</v>
      </c>
      <c r="F210">
        <v>9</v>
      </c>
      <c r="G210" t="s">
        <v>2878</v>
      </c>
      <c r="H210" t="s">
        <v>93</v>
      </c>
      <c r="I210" t="s">
        <v>2865</v>
      </c>
      <c r="J210" t="s">
        <v>72</v>
      </c>
    </row>
    <row r="211" spans="1:10" x14ac:dyDescent="0.35">
      <c r="A211">
        <v>210</v>
      </c>
      <c r="B211" t="s">
        <v>3240</v>
      </c>
      <c r="C211">
        <v>6</v>
      </c>
      <c r="D211">
        <v>8</v>
      </c>
      <c r="E211">
        <v>2023</v>
      </c>
      <c r="F211">
        <v>4</v>
      </c>
      <c r="G211" t="s">
        <v>2871</v>
      </c>
      <c r="H211" t="s">
        <v>19</v>
      </c>
      <c r="I211" t="s">
        <v>2863</v>
      </c>
      <c r="J211" t="s">
        <v>45</v>
      </c>
    </row>
    <row r="212" spans="1:10" x14ac:dyDescent="0.35">
      <c r="A212">
        <v>211</v>
      </c>
      <c r="B212" t="s">
        <v>3241</v>
      </c>
      <c r="C212">
        <v>2</v>
      </c>
      <c r="D212">
        <v>2</v>
      </c>
      <c r="E212">
        <v>2016</v>
      </c>
      <c r="F212">
        <v>12</v>
      </c>
      <c r="G212" t="s">
        <v>2926</v>
      </c>
      <c r="H212" t="s">
        <v>2873</v>
      </c>
      <c r="I212" t="s">
        <v>2874</v>
      </c>
      <c r="J212" t="s">
        <v>5</v>
      </c>
    </row>
    <row r="213" spans="1:10" x14ac:dyDescent="0.35">
      <c r="A213">
        <v>212</v>
      </c>
      <c r="B213" t="s">
        <v>3242</v>
      </c>
      <c r="C213">
        <v>1</v>
      </c>
      <c r="D213">
        <v>6</v>
      </c>
      <c r="E213">
        <v>2023</v>
      </c>
      <c r="F213">
        <v>27</v>
      </c>
      <c r="G213" t="s">
        <v>2862</v>
      </c>
      <c r="H213" t="s">
        <v>19</v>
      </c>
      <c r="I213" t="s">
        <v>2863</v>
      </c>
      <c r="J213" t="s">
        <v>19</v>
      </c>
    </row>
    <row r="214" spans="1:10" x14ac:dyDescent="0.35">
      <c r="A214">
        <v>213</v>
      </c>
      <c r="B214" t="s">
        <v>3243</v>
      </c>
      <c r="C214">
        <v>3</v>
      </c>
      <c r="D214">
        <v>15</v>
      </c>
      <c r="E214">
        <v>2023</v>
      </c>
      <c r="F214">
        <v>8</v>
      </c>
      <c r="G214" t="s">
        <v>2945</v>
      </c>
      <c r="H214" t="s">
        <v>2884</v>
      </c>
      <c r="I214" t="s">
        <v>2885</v>
      </c>
      <c r="J214" t="s">
        <v>56</v>
      </c>
    </row>
    <row r="215" spans="1:10" x14ac:dyDescent="0.35">
      <c r="A215">
        <v>214</v>
      </c>
      <c r="B215" t="s">
        <v>3244</v>
      </c>
      <c r="C215">
        <v>0</v>
      </c>
      <c r="D215">
        <v>4</v>
      </c>
      <c r="E215">
        <v>2021</v>
      </c>
      <c r="F215">
        <v>8</v>
      </c>
      <c r="G215" t="s">
        <v>2882</v>
      </c>
      <c r="H215" t="s">
        <v>19</v>
      </c>
      <c r="I215" t="s">
        <v>2863</v>
      </c>
      <c r="J215" t="s">
        <v>19</v>
      </c>
    </row>
    <row r="216" spans="1:10" x14ac:dyDescent="0.35">
      <c r="A216">
        <v>215</v>
      </c>
      <c r="B216" t="s">
        <v>3245</v>
      </c>
      <c r="C216">
        <v>4</v>
      </c>
      <c r="D216">
        <v>8</v>
      </c>
      <c r="E216">
        <v>2022</v>
      </c>
      <c r="F216">
        <v>19</v>
      </c>
      <c r="G216" t="s">
        <v>2866</v>
      </c>
      <c r="H216" t="s">
        <v>19</v>
      </c>
      <c r="I216" t="s">
        <v>2863</v>
      </c>
      <c r="J216" t="s">
        <v>16</v>
      </c>
    </row>
    <row r="217" spans="1:10" x14ac:dyDescent="0.35">
      <c r="A217">
        <v>216</v>
      </c>
      <c r="B217" t="s">
        <v>3246</v>
      </c>
      <c r="C217">
        <v>0</v>
      </c>
      <c r="D217">
        <v>4</v>
      </c>
      <c r="E217">
        <v>2018</v>
      </c>
      <c r="F217">
        <v>59</v>
      </c>
      <c r="G217" t="s">
        <v>2872</v>
      </c>
      <c r="H217" t="s">
        <v>2873</v>
      </c>
      <c r="I217" t="s">
        <v>2874</v>
      </c>
      <c r="J217" t="s">
        <v>19</v>
      </c>
    </row>
    <row r="218" spans="1:10" x14ac:dyDescent="0.35">
      <c r="A218">
        <v>217</v>
      </c>
      <c r="B218" t="s">
        <v>3247</v>
      </c>
      <c r="C218">
        <v>1</v>
      </c>
      <c r="D218">
        <v>4</v>
      </c>
      <c r="E218">
        <v>2021</v>
      </c>
      <c r="F218">
        <v>14</v>
      </c>
      <c r="G218" t="s">
        <v>2903</v>
      </c>
      <c r="H218" t="s">
        <v>19</v>
      </c>
      <c r="I218" t="s">
        <v>2863</v>
      </c>
      <c r="J218" t="s">
        <v>16</v>
      </c>
    </row>
    <row r="219" spans="1:10" x14ac:dyDescent="0.35">
      <c r="A219">
        <v>218</v>
      </c>
      <c r="B219" t="s">
        <v>3248</v>
      </c>
      <c r="C219">
        <v>2</v>
      </c>
      <c r="D219">
        <v>7</v>
      </c>
      <c r="E219">
        <v>2022</v>
      </c>
      <c r="F219">
        <v>4</v>
      </c>
      <c r="G219" t="s">
        <v>2942</v>
      </c>
      <c r="H219" t="s">
        <v>2902</v>
      </c>
      <c r="I219" t="s">
        <v>2885</v>
      </c>
      <c r="J219" t="s">
        <v>16</v>
      </c>
    </row>
    <row r="220" spans="1:10" x14ac:dyDescent="0.35">
      <c r="A220">
        <v>219</v>
      </c>
      <c r="B220" t="s">
        <v>3249</v>
      </c>
      <c r="C220">
        <v>0</v>
      </c>
      <c r="D220">
        <v>7</v>
      </c>
      <c r="E220">
        <v>2021</v>
      </c>
      <c r="F220">
        <v>11</v>
      </c>
      <c r="G220" t="s">
        <v>2946</v>
      </c>
      <c r="H220" t="s">
        <v>2873</v>
      </c>
      <c r="I220" t="s">
        <v>2874</v>
      </c>
      <c r="J220" t="s">
        <v>72</v>
      </c>
    </row>
    <row r="221" spans="1:10" x14ac:dyDescent="0.35">
      <c r="A221">
        <v>220</v>
      </c>
      <c r="B221" t="s">
        <v>3250</v>
      </c>
      <c r="C221">
        <v>5</v>
      </c>
      <c r="D221">
        <v>5</v>
      </c>
      <c r="E221">
        <v>2023</v>
      </c>
      <c r="F221">
        <v>9</v>
      </c>
      <c r="G221" t="s">
        <v>2926</v>
      </c>
      <c r="H221" t="s">
        <v>2873</v>
      </c>
      <c r="I221" t="s">
        <v>2874</v>
      </c>
      <c r="J221" t="s">
        <v>189</v>
      </c>
    </row>
    <row r="222" spans="1:10" x14ac:dyDescent="0.35">
      <c r="A222">
        <v>221</v>
      </c>
      <c r="B222" t="s">
        <v>3251</v>
      </c>
      <c r="C222">
        <v>0</v>
      </c>
      <c r="D222">
        <v>3</v>
      </c>
      <c r="E222">
        <v>2016</v>
      </c>
      <c r="F222">
        <v>29</v>
      </c>
      <c r="G222" t="s">
        <v>2947</v>
      </c>
      <c r="H222" t="s">
        <v>19</v>
      </c>
      <c r="I222" t="s">
        <v>2863</v>
      </c>
      <c r="J222" t="s">
        <v>48</v>
      </c>
    </row>
    <row r="223" spans="1:10" x14ac:dyDescent="0.35">
      <c r="A223">
        <v>222</v>
      </c>
      <c r="B223" t="s">
        <v>3252</v>
      </c>
      <c r="C223">
        <v>0</v>
      </c>
      <c r="D223">
        <v>3</v>
      </c>
      <c r="E223">
        <v>2023</v>
      </c>
      <c r="F223">
        <v>4</v>
      </c>
      <c r="G223" t="s">
        <v>2867</v>
      </c>
      <c r="H223" t="s">
        <v>19</v>
      </c>
      <c r="I223" t="s">
        <v>2863</v>
      </c>
      <c r="J223" t="s">
        <v>22</v>
      </c>
    </row>
    <row r="224" spans="1:10" x14ac:dyDescent="0.35">
      <c r="A224">
        <v>223</v>
      </c>
      <c r="B224" t="s">
        <v>3253</v>
      </c>
      <c r="C224">
        <v>1</v>
      </c>
      <c r="D224">
        <v>5</v>
      </c>
      <c r="E224">
        <v>2023</v>
      </c>
      <c r="F224">
        <v>4</v>
      </c>
      <c r="G224" t="s">
        <v>2866</v>
      </c>
      <c r="H224" t="s">
        <v>19</v>
      </c>
      <c r="I224" t="s">
        <v>2863</v>
      </c>
      <c r="J224" t="s">
        <v>5</v>
      </c>
    </row>
    <row r="225" spans="1:10" x14ac:dyDescent="0.35">
      <c r="A225">
        <v>224</v>
      </c>
      <c r="B225" t="s">
        <v>3254</v>
      </c>
      <c r="C225">
        <v>5</v>
      </c>
      <c r="D225">
        <v>5</v>
      </c>
      <c r="E225">
        <v>2023</v>
      </c>
      <c r="F225">
        <v>1</v>
      </c>
      <c r="G225" t="s">
        <v>2896</v>
      </c>
      <c r="H225" t="s">
        <v>2897</v>
      </c>
      <c r="I225" t="s">
        <v>2874</v>
      </c>
      <c r="J225" t="s">
        <v>5</v>
      </c>
    </row>
    <row r="226" spans="1:10" x14ac:dyDescent="0.35">
      <c r="A226">
        <v>225</v>
      </c>
      <c r="B226" t="s">
        <v>3255</v>
      </c>
      <c r="C226">
        <v>4</v>
      </c>
      <c r="D226">
        <v>5</v>
      </c>
      <c r="E226">
        <v>2023</v>
      </c>
      <c r="F226">
        <v>4</v>
      </c>
      <c r="G226" t="s">
        <v>2894</v>
      </c>
      <c r="H226" t="s">
        <v>2895</v>
      </c>
      <c r="I226" t="s">
        <v>2874</v>
      </c>
      <c r="J226" t="s">
        <v>5</v>
      </c>
    </row>
    <row r="227" spans="1:10" x14ac:dyDescent="0.35">
      <c r="A227">
        <v>226</v>
      </c>
      <c r="B227" t="s">
        <v>3256</v>
      </c>
      <c r="C227">
        <v>2</v>
      </c>
      <c r="D227">
        <v>4</v>
      </c>
      <c r="E227">
        <v>2017</v>
      </c>
      <c r="F227">
        <v>41</v>
      </c>
      <c r="G227" t="s">
        <v>2868</v>
      </c>
      <c r="H227" t="s">
        <v>93</v>
      </c>
      <c r="I227" t="s">
        <v>2865</v>
      </c>
      <c r="J227" t="s">
        <v>19</v>
      </c>
    </row>
    <row r="228" spans="1:10" x14ac:dyDescent="0.35">
      <c r="A228">
        <v>227</v>
      </c>
      <c r="B228" t="s">
        <v>3257</v>
      </c>
      <c r="C228">
        <v>0</v>
      </c>
      <c r="D228">
        <v>2</v>
      </c>
      <c r="E228">
        <v>2017</v>
      </c>
      <c r="F228">
        <v>12</v>
      </c>
      <c r="G228" t="s">
        <v>2901</v>
      </c>
      <c r="H228" t="s">
        <v>2902</v>
      </c>
      <c r="I228" t="s">
        <v>2885</v>
      </c>
      <c r="J228" t="s">
        <v>16</v>
      </c>
    </row>
    <row r="229" spans="1:10" x14ac:dyDescent="0.35">
      <c r="A229">
        <v>228</v>
      </c>
      <c r="B229" t="s">
        <v>3258</v>
      </c>
      <c r="C229">
        <v>0</v>
      </c>
      <c r="D229">
        <v>3</v>
      </c>
      <c r="E229">
        <v>2016</v>
      </c>
      <c r="F229">
        <v>51</v>
      </c>
      <c r="G229" t="s">
        <v>2877</v>
      </c>
      <c r="H229" t="s">
        <v>19</v>
      </c>
      <c r="I229" t="s">
        <v>2863</v>
      </c>
      <c r="J229" t="s">
        <v>19</v>
      </c>
    </row>
    <row r="230" spans="1:10" x14ac:dyDescent="0.35">
      <c r="A230">
        <v>229</v>
      </c>
      <c r="B230" t="s">
        <v>3259</v>
      </c>
      <c r="C230">
        <v>0</v>
      </c>
      <c r="D230">
        <v>5</v>
      </c>
      <c r="E230">
        <v>2015</v>
      </c>
      <c r="F230">
        <v>7</v>
      </c>
      <c r="G230" t="s">
        <v>2948</v>
      </c>
      <c r="H230" t="s">
        <v>19</v>
      </c>
      <c r="I230" t="s">
        <v>2863</v>
      </c>
      <c r="J230" t="s">
        <v>16</v>
      </c>
    </row>
    <row r="231" spans="1:10" x14ac:dyDescent="0.35">
      <c r="A231">
        <v>230</v>
      </c>
      <c r="B231" t="s">
        <v>3260</v>
      </c>
      <c r="C231">
        <v>0</v>
      </c>
      <c r="D231">
        <v>3</v>
      </c>
      <c r="E231">
        <v>2017</v>
      </c>
      <c r="F231">
        <v>18</v>
      </c>
      <c r="G231" t="s">
        <v>2882</v>
      </c>
      <c r="H231" t="s">
        <v>19</v>
      </c>
      <c r="I231" t="s">
        <v>2863</v>
      </c>
      <c r="J231" t="s">
        <v>93</v>
      </c>
    </row>
    <row r="232" spans="1:10" x14ac:dyDescent="0.35">
      <c r="A232">
        <v>231</v>
      </c>
      <c r="B232" t="s">
        <v>3261</v>
      </c>
      <c r="C232">
        <v>3</v>
      </c>
      <c r="D232">
        <v>3</v>
      </c>
      <c r="E232">
        <v>2020</v>
      </c>
      <c r="F232">
        <v>53</v>
      </c>
      <c r="G232" t="s">
        <v>2862</v>
      </c>
      <c r="H232" t="s">
        <v>19</v>
      </c>
      <c r="I232" t="s">
        <v>2863</v>
      </c>
      <c r="J232" t="s">
        <v>231</v>
      </c>
    </row>
    <row r="233" spans="1:10" x14ac:dyDescent="0.35">
      <c r="A233">
        <v>232</v>
      </c>
      <c r="B233" t="s">
        <v>3262</v>
      </c>
      <c r="C233">
        <v>1</v>
      </c>
      <c r="D233">
        <v>7</v>
      </c>
      <c r="E233">
        <v>2017</v>
      </c>
      <c r="F233">
        <v>13</v>
      </c>
      <c r="G233" t="s">
        <v>2949</v>
      </c>
      <c r="H233" t="s">
        <v>19</v>
      </c>
      <c r="I233" t="s">
        <v>2863</v>
      </c>
      <c r="J233" t="s">
        <v>16</v>
      </c>
    </row>
    <row r="234" spans="1:10" x14ac:dyDescent="0.35">
      <c r="A234">
        <v>233</v>
      </c>
      <c r="B234" t="s">
        <v>3263</v>
      </c>
      <c r="C234">
        <v>0</v>
      </c>
      <c r="D234">
        <v>3</v>
      </c>
      <c r="E234">
        <v>2020</v>
      </c>
      <c r="F234">
        <v>53</v>
      </c>
      <c r="G234" t="s">
        <v>2877</v>
      </c>
      <c r="H234" t="s">
        <v>19</v>
      </c>
      <c r="I234" t="s">
        <v>2863</v>
      </c>
      <c r="J234" t="s">
        <v>19</v>
      </c>
    </row>
    <row r="235" spans="1:10" x14ac:dyDescent="0.35">
      <c r="A235">
        <v>234</v>
      </c>
      <c r="B235" t="s">
        <v>3264</v>
      </c>
      <c r="C235">
        <v>3</v>
      </c>
      <c r="D235">
        <v>6</v>
      </c>
      <c r="E235">
        <v>2016</v>
      </c>
      <c r="F235">
        <v>29</v>
      </c>
      <c r="G235" t="s">
        <v>2929</v>
      </c>
      <c r="H235" t="s">
        <v>2930</v>
      </c>
      <c r="I235" t="s">
        <v>2885</v>
      </c>
      <c r="J235" t="s">
        <v>231</v>
      </c>
    </row>
    <row r="236" spans="1:10" x14ac:dyDescent="0.35">
      <c r="A236">
        <v>235</v>
      </c>
      <c r="B236" t="s">
        <v>3265</v>
      </c>
      <c r="C236">
        <v>5</v>
      </c>
      <c r="D236">
        <v>7</v>
      </c>
      <c r="E236">
        <v>2021</v>
      </c>
      <c r="F236">
        <v>27</v>
      </c>
      <c r="G236" t="s">
        <v>2894</v>
      </c>
      <c r="H236" t="s">
        <v>2895</v>
      </c>
      <c r="I236" t="s">
        <v>2874</v>
      </c>
      <c r="J236" t="s">
        <v>231</v>
      </c>
    </row>
    <row r="237" spans="1:10" x14ac:dyDescent="0.35">
      <c r="A237">
        <v>236</v>
      </c>
      <c r="B237" t="s">
        <v>3266</v>
      </c>
      <c r="C237">
        <v>1</v>
      </c>
      <c r="D237">
        <v>3</v>
      </c>
      <c r="E237">
        <v>2022</v>
      </c>
      <c r="F237">
        <v>3</v>
      </c>
      <c r="G237" t="s">
        <v>2913</v>
      </c>
      <c r="H237" t="s">
        <v>2902</v>
      </c>
      <c r="I237" t="s">
        <v>2885</v>
      </c>
      <c r="J237" t="s">
        <v>22</v>
      </c>
    </row>
    <row r="238" spans="1:10" x14ac:dyDescent="0.35">
      <c r="A238">
        <v>237</v>
      </c>
      <c r="B238" t="s">
        <v>3267</v>
      </c>
      <c r="C238">
        <v>1</v>
      </c>
      <c r="D238">
        <v>3</v>
      </c>
      <c r="E238">
        <v>2021</v>
      </c>
      <c r="F238">
        <v>20</v>
      </c>
      <c r="G238" t="s">
        <v>2926</v>
      </c>
      <c r="H238" t="s">
        <v>2873</v>
      </c>
      <c r="I238" t="s">
        <v>2874</v>
      </c>
      <c r="J238" t="s">
        <v>16</v>
      </c>
    </row>
    <row r="239" spans="1:10" x14ac:dyDescent="0.35">
      <c r="A239">
        <v>238</v>
      </c>
      <c r="B239" t="s">
        <v>3268</v>
      </c>
      <c r="C239">
        <v>0</v>
      </c>
      <c r="D239">
        <v>3</v>
      </c>
      <c r="E239">
        <v>2022</v>
      </c>
      <c r="F239">
        <v>6</v>
      </c>
      <c r="G239" t="s">
        <v>2910</v>
      </c>
      <c r="H239" t="s">
        <v>2897</v>
      </c>
      <c r="I239" t="s">
        <v>2874</v>
      </c>
      <c r="J239" t="s">
        <v>261</v>
      </c>
    </row>
    <row r="240" spans="1:10" x14ac:dyDescent="0.35">
      <c r="A240">
        <v>239</v>
      </c>
      <c r="B240" t="s">
        <v>3269</v>
      </c>
      <c r="C240">
        <v>1</v>
      </c>
      <c r="D240">
        <v>7</v>
      </c>
      <c r="E240">
        <v>2019</v>
      </c>
      <c r="F240">
        <v>66</v>
      </c>
      <c r="G240" t="s">
        <v>2888</v>
      </c>
      <c r="H240" t="s">
        <v>2873</v>
      </c>
      <c r="I240" t="s">
        <v>2874</v>
      </c>
      <c r="J240" t="s">
        <v>19</v>
      </c>
    </row>
    <row r="241" spans="1:10" x14ac:dyDescent="0.35">
      <c r="A241">
        <v>240</v>
      </c>
      <c r="B241" t="s">
        <v>3270</v>
      </c>
      <c r="C241">
        <v>0</v>
      </c>
      <c r="D241">
        <v>3</v>
      </c>
      <c r="E241">
        <v>2018</v>
      </c>
      <c r="F241">
        <v>58</v>
      </c>
      <c r="G241" t="s">
        <v>2877</v>
      </c>
      <c r="H241" t="s">
        <v>19</v>
      </c>
      <c r="I241" t="s">
        <v>2863</v>
      </c>
      <c r="J241" t="s">
        <v>72</v>
      </c>
    </row>
    <row r="242" spans="1:10" x14ac:dyDescent="0.35">
      <c r="A242">
        <v>241</v>
      </c>
      <c r="B242" t="s">
        <v>3271</v>
      </c>
      <c r="C242">
        <v>2</v>
      </c>
      <c r="D242">
        <v>5</v>
      </c>
      <c r="E242">
        <v>2021</v>
      </c>
      <c r="F242">
        <v>55</v>
      </c>
      <c r="G242" t="s">
        <v>2894</v>
      </c>
      <c r="H242" t="s">
        <v>2895</v>
      </c>
      <c r="I242" t="s">
        <v>2874</v>
      </c>
      <c r="J242" t="s">
        <v>990</v>
      </c>
    </row>
    <row r="243" spans="1:10" x14ac:dyDescent="0.35">
      <c r="A243">
        <v>242</v>
      </c>
      <c r="B243" t="s">
        <v>3272</v>
      </c>
      <c r="C243">
        <v>3</v>
      </c>
      <c r="D243">
        <v>3</v>
      </c>
      <c r="E243">
        <v>2019</v>
      </c>
      <c r="F243">
        <v>66</v>
      </c>
      <c r="G243" t="s">
        <v>2866</v>
      </c>
      <c r="H243" t="s">
        <v>19</v>
      </c>
      <c r="I243" t="s">
        <v>2863</v>
      </c>
      <c r="J243" t="s">
        <v>5</v>
      </c>
    </row>
    <row r="244" spans="1:10" x14ac:dyDescent="0.35">
      <c r="A244">
        <v>243</v>
      </c>
      <c r="B244" t="s">
        <v>3273</v>
      </c>
      <c r="C244">
        <v>0</v>
      </c>
      <c r="D244">
        <v>4</v>
      </c>
      <c r="E244">
        <v>2015</v>
      </c>
      <c r="F244">
        <v>2</v>
      </c>
      <c r="G244" t="s">
        <v>2894</v>
      </c>
      <c r="H244" t="s">
        <v>2895</v>
      </c>
      <c r="I244" t="s">
        <v>2874</v>
      </c>
      <c r="J244" t="s">
        <v>22</v>
      </c>
    </row>
    <row r="245" spans="1:10" x14ac:dyDescent="0.35">
      <c r="A245">
        <v>244</v>
      </c>
      <c r="B245" t="s">
        <v>3274</v>
      </c>
      <c r="C245">
        <v>4</v>
      </c>
      <c r="D245">
        <v>5</v>
      </c>
      <c r="E245">
        <v>2020</v>
      </c>
      <c r="F245">
        <v>19</v>
      </c>
      <c r="G245" t="s">
        <v>2896</v>
      </c>
      <c r="H245" t="s">
        <v>2897</v>
      </c>
      <c r="I245" t="s">
        <v>2874</v>
      </c>
      <c r="J245" t="s">
        <v>157</v>
      </c>
    </row>
    <row r="246" spans="1:10" x14ac:dyDescent="0.35">
      <c r="A246">
        <v>245</v>
      </c>
      <c r="B246" t="s">
        <v>3275</v>
      </c>
      <c r="C246">
        <v>0</v>
      </c>
      <c r="D246">
        <v>7</v>
      </c>
      <c r="E246">
        <v>2017</v>
      </c>
      <c r="F246">
        <v>5</v>
      </c>
      <c r="G246" t="s">
        <v>2866</v>
      </c>
      <c r="H246" t="s">
        <v>19</v>
      </c>
      <c r="I246" t="s">
        <v>2863</v>
      </c>
      <c r="J246" t="s">
        <v>35</v>
      </c>
    </row>
    <row r="247" spans="1:10" x14ac:dyDescent="0.35">
      <c r="A247">
        <v>246</v>
      </c>
      <c r="B247" t="s">
        <v>3276</v>
      </c>
      <c r="C247">
        <v>0</v>
      </c>
      <c r="D247">
        <v>4</v>
      </c>
      <c r="E247">
        <v>2018</v>
      </c>
      <c r="F247">
        <v>19</v>
      </c>
      <c r="G247" t="s">
        <v>2950</v>
      </c>
      <c r="H247" t="s">
        <v>2880</v>
      </c>
      <c r="I247" t="s">
        <v>2874</v>
      </c>
      <c r="J247" t="s">
        <v>72</v>
      </c>
    </row>
    <row r="248" spans="1:10" x14ac:dyDescent="0.35">
      <c r="A248">
        <v>247</v>
      </c>
      <c r="B248" t="s">
        <v>3277</v>
      </c>
      <c r="C248">
        <v>0</v>
      </c>
      <c r="D248">
        <v>2</v>
      </c>
      <c r="E248">
        <v>2018</v>
      </c>
      <c r="F248">
        <v>4</v>
      </c>
      <c r="G248" t="s">
        <v>2894</v>
      </c>
      <c r="H248" t="s">
        <v>2895</v>
      </c>
      <c r="I248" t="s">
        <v>2874</v>
      </c>
      <c r="J248" t="s">
        <v>48</v>
      </c>
    </row>
    <row r="249" spans="1:10" x14ac:dyDescent="0.35">
      <c r="A249">
        <v>248</v>
      </c>
      <c r="B249" t="s">
        <v>3278</v>
      </c>
      <c r="C249">
        <v>4</v>
      </c>
      <c r="D249">
        <v>4</v>
      </c>
      <c r="E249">
        <v>2015</v>
      </c>
      <c r="F249">
        <v>29</v>
      </c>
      <c r="G249" t="s">
        <v>2894</v>
      </c>
      <c r="H249" t="s">
        <v>2895</v>
      </c>
      <c r="I249" t="s">
        <v>2874</v>
      </c>
      <c r="J249" t="s">
        <v>189</v>
      </c>
    </row>
    <row r="250" spans="1:10" x14ac:dyDescent="0.35">
      <c r="A250">
        <v>249</v>
      </c>
      <c r="B250" t="s">
        <v>3279</v>
      </c>
      <c r="C250">
        <v>1</v>
      </c>
      <c r="D250">
        <v>1</v>
      </c>
      <c r="E250">
        <v>2023</v>
      </c>
      <c r="F250">
        <v>0</v>
      </c>
      <c r="G250" t="s">
        <v>2871</v>
      </c>
      <c r="H250" t="s">
        <v>19</v>
      </c>
      <c r="I250" t="s">
        <v>2863</v>
      </c>
      <c r="J250" t="s">
        <v>101</v>
      </c>
    </row>
    <row r="251" spans="1:10" x14ac:dyDescent="0.35">
      <c r="A251">
        <v>250</v>
      </c>
      <c r="B251" t="s">
        <v>3280</v>
      </c>
      <c r="C251">
        <v>0</v>
      </c>
      <c r="D251">
        <v>3</v>
      </c>
      <c r="E251">
        <v>2021</v>
      </c>
      <c r="F251">
        <v>3</v>
      </c>
      <c r="G251" t="s">
        <v>2913</v>
      </c>
      <c r="H251" t="s">
        <v>2902</v>
      </c>
      <c r="I251" t="s">
        <v>2885</v>
      </c>
      <c r="J251" t="s">
        <v>16</v>
      </c>
    </row>
    <row r="252" spans="1:10" x14ac:dyDescent="0.35">
      <c r="A252">
        <v>251</v>
      </c>
      <c r="B252" t="s">
        <v>3281</v>
      </c>
      <c r="C252">
        <v>8</v>
      </c>
      <c r="D252">
        <v>8</v>
      </c>
      <c r="E252">
        <v>2018</v>
      </c>
      <c r="F252">
        <v>80</v>
      </c>
      <c r="G252" t="s">
        <v>2867</v>
      </c>
      <c r="H252" t="s">
        <v>19</v>
      </c>
      <c r="I252" t="s">
        <v>2863</v>
      </c>
      <c r="J252" t="s">
        <v>231</v>
      </c>
    </row>
    <row r="253" spans="1:10" x14ac:dyDescent="0.35">
      <c r="A253">
        <v>252</v>
      </c>
      <c r="B253" t="s">
        <v>3282</v>
      </c>
      <c r="C253">
        <v>3</v>
      </c>
      <c r="D253">
        <v>3</v>
      </c>
      <c r="E253">
        <v>2014</v>
      </c>
      <c r="F253">
        <v>25</v>
      </c>
      <c r="G253" t="s">
        <v>2894</v>
      </c>
      <c r="H253" t="s">
        <v>2895</v>
      </c>
      <c r="I253" t="s">
        <v>2874</v>
      </c>
      <c r="J253" t="s">
        <v>231</v>
      </c>
    </row>
    <row r="254" spans="1:10" x14ac:dyDescent="0.35">
      <c r="A254">
        <v>253</v>
      </c>
      <c r="B254" t="s">
        <v>3283</v>
      </c>
      <c r="C254">
        <v>1</v>
      </c>
      <c r="D254">
        <v>4</v>
      </c>
      <c r="E254">
        <v>2019</v>
      </c>
      <c r="F254">
        <v>11</v>
      </c>
      <c r="G254" t="s">
        <v>2951</v>
      </c>
      <c r="H254" t="s">
        <v>2873</v>
      </c>
      <c r="I254" t="s">
        <v>2874</v>
      </c>
      <c r="J254" t="s">
        <v>16</v>
      </c>
    </row>
    <row r="255" spans="1:10" x14ac:dyDescent="0.35">
      <c r="A255">
        <v>254</v>
      </c>
      <c r="B255" t="s">
        <v>3284</v>
      </c>
      <c r="C255">
        <v>0</v>
      </c>
      <c r="D255">
        <v>5</v>
      </c>
      <c r="E255">
        <v>2015</v>
      </c>
      <c r="F255">
        <v>53</v>
      </c>
      <c r="G255" t="s">
        <v>2926</v>
      </c>
      <c r="H255" t="s">
        <v>2873</v>
      </c>
      <c r="I255" t="s">
        <v>2874</v>
      </c>
      <c r="J255" t="s">
        <v>16</v>
      </c>
    </row>
    <row r="256" spans="1:10" x14ac:dyDescent="0.35">
      <c r="A256">
        <v>255</v>
      </c>
      <c r="B256" t="s">
        <v>3285</v>
      </c>
      <c r="C256">
        <v>2</v>
      </c>
      <c r="D256">
        <v>2</v>
      </c>
      <c r="E256">
        <v>2019</v>
      </c>
      <c r="F256">
        <v>26</v>
      </c>
      <c r="G256" t="s">
        <v>2896</v>
      </c>
      <c r="H256" t="s">
        <v>2897</v>
      </c>
      <c r="I256" t="s">
        <v>2874</v>
      </c>
      <c r="J256" t="s">
        <v>5</v>
      </c>
    </row>
    <row r="257" spans="1:10" x14ac:dyDescent="0.35">
      <c r="A257">
        <v>256</v>
      </c>
      <c r="B257" t="s">
        <v>3286</v>
      </c>
      <c r="C257">
        <v>0</v>
      </c>
      <c r="D257">
        <v>11</v>
      </c>
      <c r="E257">
        <v>2018</v>
      </c>
      <c r="F257">
        <v>34</v>
      </c>
      <c r="G257" t="s">
        <v>2952</v>
      </c>
      <c r="H257" t="s">
        <v>2880</v>
      </c>
      <c r="I257" t="s">
        <v>2874</v>
      </c>
      <c r="J257" t="s">
        <v>72</v>
      </c>
    </row>
    <row r="258" spans="1:10" x14ac:dyDescent="0.35">
      <c r="A258">
        <v>257</v>
      </c>
      <c r="B258" t="s">
        <v>3287</v>
      </c>
      <c r="C258">
        <v>0</v>
      </c>
      <c r="D258">
        <v>5</v>
      </c>
      <c r="E258">
        <v>2021</v>
      </c>
      <c r="F258">
        <v>5</v>
      </c>
      <c r="G258" t="s">
        <v>2953</v>
      </c>
      <c r="H258" t="s">
        <v>19</v>
      </c>
      <c r="I258" t="s">
        <v>2863</v>
      </c>
      <c r="J258" t="s">
        <v>72</v>
      </c>
    </row>
    <row r="259" spans="1:10" x14ac:dyDescent="0.35">
      <c r="A259">
        <v>258</v>
      </c>
      <c r="B259" t="s">
        <v>3288</v>
      </c>
      <c r="C259">
        <v>3</v>
      </c>
      <c r="D259">
        <v>3</v>
      </c>
      <c r="E259">
        <v>2020</v>
      </c>
      <c r="F259">
        <v>46</v>
      </c>
      <c r="G259" t="s">
        <v>2871</v>
      </c>
      <c r="H259" t="s">
        <v>19</v>
      </c>
      <c r="I259" t="s">
        <v>2863</v>
      </c>
      <c r="J259" t="s">
        <v>231</v>
      </c>
    </row>
    <row r="260" spans="1:10" x14ac:dyDescent="0.35">
      <c r="A260">
        <v>259</v>
      </c>
      <c r="B260" t="s">
        <v>3289</v>
      </c>
      <c r="C260">
        <v>3</v>
      </c>
      <c r="D260">
        <v>4</v>
      </c>
      <c r="E260">
        <v>2018</v>
      </c>
      <c r="F260">
        <v>0</v>
      </c>
      <c r="G260" t="s">
        <v>2954</v>
      </c>
      <c r="H260" t="s">
        <v>93</v>
      </c>
      <c r="I260" t="s">
        <v>2865</v>
      </c>
      <c r="J260" t="s">
        <v>231</v>
      </c>
    </row>
    <row r="261" spans="1:10" x14ac:dyDescent="0.35">
      <c r="A261">
        <v>260</v>
      </c>
      <c r="B261" t="s">
        <v>3290</v>
      </c>
      <c r="C261">
        <v>2</v>
      </c>
      <c r="D261">
        <v>3</v>
      </c>
      <c r="E261">
        <v>2019</v>
      </c>
      <c r="F261">
        <v>16</v>
      </c>
      <c r="G261" t="s">
        <v>2878</v>
      </c>
      <c r="H261" t="s">
        <v>93</v>
      </c>
      <c r="I261" t="s">
        <v>2865</v>
      </c>
      <c r="J261" t="s">
        <v>231</v>
      </c>
    </row>
    <row r="262" spans="1:10" x14ac:dyDescent="0.35">
      <c r="A262">
        <v>261</v>
      </c>
      <c r="B262" t="s">
        <v>3291</v>
      </c>
      <c r="C262">
        <v>3</v>
      </c>
      <c r="D262">
        <v>3</v>
      </c>
      <c r="E262">
        <v>2018</v>
      </c>
      <c r="F262">
        <v>79</v>
      </c>
      <c r="G262" t="s">
        <v>2862</v>
      </c>
      <c r="H262" t="s">
        <v>19</v>
      </c>
      <c r="I262" t="s">
        <v>2863</v>
      </c>
      <c r="J262" t="s">
        <v>231</v>
      </c>
    </row>
    <row r="263" spans="1:10" x14ac:dyDescent="0.35">
      <c r="A263">
        <v>262</v>
      </c>
      <c r="B263" t="s">
        <v>3292</v>
      </c>
      <c r="C263">
        <v>1</v>
      </c>
      <c r="D263">
        <v>1</v>
      </c>
      <c r="E263">
        <v>2019</v>
      </c>
      <c r="F263">
        <v>9</v>
      </c>
      <c r="G263" t="s">
        <v>2869</v>
      </c>
      <c r="H263" t="s">
        <v>93</v>
      </c>
      <c r="I263" t="s">
        <v>2865</v>
      </c>
      <c r="J263" t="s">
        <v>189</v>
      </c>
    </row>
    <row r="264" spans="1:10" x14ac:dyDescent="0.35">
      <c r="A264">
        <v>263</v>
      </c>
      <c r="B264" t="s">
        <v>3293</v>
      </c>
      <c r="C264">
        <v>3</v>
      </c>
      <c r="D264">
        <v>6</v>
      </c>
      <c r="E264">
        <v>2023</v>
      </c>
      <c r="F264">
        <v>2</v>
      </c>
      <c r="G264" t="s">
        <v>2955</v>
      </c>
      <c r="H264" t="s">
        <v>2897</v>
      </c>
      <c r="I264" t="s">
        <v>2874</v>
      </c>
      <c r="J264" t="s">
        <v>48</v>
      </c>
    </row>
    <row r="265" spans="1:10" x14ac:dyDescent="0.35">
      <c r="A265">
        <v>264</v>
      </c>
      <c r="B265" t="s">
        <v>3294</v>
      </c>
      <c r="C265">
        <v>5</v>
      </c>
      <c r="D265">
        <v>6</v>
      </c>
      <c r="E265">
        <v>2022</v>
      </c>
      <c r="F265">
        <v>18</v>
      </c>
      <c r="G265" t="s">
        <v>2926</v>
      </c>
      <c r="H265" t="s">
        <v>2873</v>
      </c>
      <c r="I265" t="s">
        <v>2874</v>
      </c>
      <c r="J265" t="s">
        <v>189</v>
      </c>
    </row>
    <row r="266" spans="1:10" x14ac:dyDescent="0.35">
      <c r="A266">
        <v>265</v>
      </c>
      <c r="B266" t="s">
        <v>3295</v>
      </c>
      <c r="C266">
        <v>1</v>
      </c>
      <c r="D266">
        <v>9</v>
      </c>
      <c r="E266">
        <v>2017</v>
      </c>
      <c r="F266">
        <v>38</v>
      </c>
      <c r="G266" t="s">
        <v>2956</v>
      </c>
      <c r="H266" t="s">
        <v>19</v>
      </c>
      <c r="I266" t="s">
        <v>2863</v>
      </c>
      <c r="J266" t="s">
        <v>19</v>
      </c>
    </row>
    <row r="267" spans="1:10" x14ac:dyDescent="0.35">
      <c r="A267">
        <v>266</v>
      </c>
      <c r="B267" t="s">
        <v>3296</v>
      </c>
      <c r="C267">
        <v>0</v>
      </c>
      <c r="D267">
        <v>4</v>
      </c>
      <c r="E267">
        <v>2018</v>
      </c>
      <c r="F267">
        <v>37</v>
      </c>
      <c r="G267" t="s">
        <v>2927</v>
      </c>
      <c r="H267" t="s">
        <v>2880</v>
      </c>
      <c r="I267" t="s">
        <v>2874</v>
      </c>
      <c r="J267" t="s">
        <v>35</v>
      </c>
    </row>
    <row r="268" spans="1:10" x14ac:dyDescent="0.35">
      <c r="A268">
        <v>267</v>
      </c>
      <c r="B268" t="s">
        <v>3297</v>
      </c>
      <c r="C268">
        <v>5</v>
      </c>
      <c r="D268">
        <v>11</v>
      </c>
      <c r="E268">
        <v>2022</v>
      </c>
      <c r="F268">
        <v>1</v>
      </c>
      <c r="G268" t="s">
        <v>2957</v>
      </c>
      <c r="H268" t="s">
        <v>19</v>
      </c>
      <c r="I268" t="s">
        <v>2863</v>
      </c>
      <c r="J268" t="s">
        <v>1072</v>
      </c>
    </row>
    <row r="269" spans="1:10" x14ac:dyDescent="0.35">
      <c r="A269">
        <v>268</v>
      </c>
      <c r="B269" t="s">
        <v>3298</v>
      </c>
      <c r="C269">
        <v>8</v>
      </c>
      <c r="D269">
        <v>8</v>
      </c>
      <c r="E269">
        <v>2022</v>
      </c>
      <c r="F269">
        <v>11</v>
      </c>
      <c r="G269" t="s">
        <v>2915</v>
      </c>
      <c r="H269" t="s">
        <v>2916</v>
      </c>
      <c r="I269" t="s">
        <v>2908</v>
      </c>
      <c r="J269" t="s">
        <v>45</v>
      </c>
    </row>
    <row r="270" spans="1:10" x14ac:dyDescent="0.35">
      <c r="A270">
        <v>269</v>
      </c>
      <c r="B270" t="s">
        <v>3299</v>
      </c>
      <c r="C270">
        <v>0</v>
      </c>
      <c r="D270">
        <v>2</v>
      </c>
      <c r="E270">
        <v>2016</v>
      </c>
      <c r="F270">
        <v>21</v>
      </c>
      <c r="G270" t="s">
        <v>2867</v>
      </c>
      <c r="H270" t="s">
        <v>19</v>
      </c>
      <c r="I270" t="s">
        <v>2863</v>
      </c>
      <c r="J270" t="s">
        <v>19</v>
      </c>
    </row>
    <row r="271" spans="1:10" x14ac:dyDescent="0.35">
      <c r="A271">
        <v>270</v>
      </c>
      <c r="B271" t="s">
        <v>3300</v>
      </c>
      <c r="C271">
        <v>0</v>
      </c>
      <c r="D271">
        <v>6</v>
      </c>
      <c r="E271">
        <v>2015</v>
      </c>
      <c r="F271">
        <v>19</v>
      </c>
      <c r="G271" t="s">
        <v>2905</v>
      </c>
      <c r="H271" t="s">
        <v>2880</v>
      </c>
      <c r="I271" t="s">
        <v>2874</v>
      </c>
      <c r="J271" t="s">
        <v>35</v>
      </c>
    </row>
    <row r="272" spans="1:10" x14ac:dyDescent="0.35">
      <c r="A272">
        <v>271</v>
      </c>
      <c r="B272" t="s">
        <v>3301</v>
      </c>
      <c r="C272">
        <v>1</v>
      </c>
      <c r="D272">
        <v>8</v>
      </c>
      <c r="E272">
        <v>2021</v>
      </c>
      <c r="F272">
        <v>19</v>
      </c>
      <c r="G272" t="s">
        <v>2870</v>
      </c>
      <c r="H272" t="s">
        <v>19</v>
      </c>
      <c r="I272" t="s">
        <v>2863</v>
      </c>
      <c r="J272" t="s">
        <v>72</v>
      </c>
    </row>
    <row r="273" spans="1:10" x14ac:dyDescent="0.35">
      <c r="A273">
        <v>272</v>
      </c>
      <c r="B273" t="s">
        <v>3302</v>
      </c>
      <c r="C273">
        <v>4</v>
      </c>
      <c r="D273">
        <v>5</v>
      </c>
      <c r="E273">
        <v>2018</v>
      </c>
      <c r="F273">
        <v>10</v>
      </c>
      <c r="G273" t="s">
        <v>2894</v>
      </c>
      <c r="H273" t="s">
        <v>2895</v>
      </c>
      <c r="I273" t="s">
        <v>2874</v>
      </c>
      <c r="J273" t="s">
        <v>157</v>
      </c>
    </row>
    <row r="274" spans="1:10" x14ac:dyDescent="0.35">
      <c r="A274">
        <v>273</v>
      </c>
      <c r="B274" t="s">
        <v>3303</v>
      </c>
      <c r="C274">
        <v>0</v>
      </c>
      <c r="D274">
        <v>4</v>
      </c>
      <c r="E274">
        <v>2017</v>
      </c>
      <c r="F274">
        <v>42</v>
      </c>
      <c r="G274" t="s">
        <v>2958</v>
      </c>
      <c r="H274" t="s">
        <v>19</v>
      </c>
      <c r="I274" t="s">
        <v>2863</v>
      </c>
      <c r="J274" t="s">
        <v>72</v>
      </c>
    </row>
    <row r="275" spans="1:10" x14ac:dyDescent="0.35">
      <c r="A275">
        <v>274</v>
      </c>
      <c r="B275" t="s">
        <v>3304</v>
      </c>
      <c r="C275">
        <v>0</v>
      </c>
      <c r="D275">
        <v>3</v>
      </c>
      <c r="E275">
        <v>2022</v>
      </c>
      <c r="F275">
        <v>0</v>
      </c>
      <c r="G275" t="s">
        <v>2881</v>
      </c>
      <c r="H275" t="s">
        <v>19</v>
      </c>
      <c r="I275" t="s">
        <v>2863</v>
      </c>
      <c r="J275" t="s">
        <v>16</v>
      </c>
    </row>
    <row r="276" spans="1:10" x14ac:dyDescent="0.35">
      <c r="A276">
        <v>275</v>
      </c>
      <c r="B276" t="s">
        <v>3305</v>
      </c>
      <c r="C276">
        <v>1</v>
      </c>
      <c r="D276">
        <v>5</v>
      </c>
      <c r="E276">
        <v>2023</v>
      </c>
      <c r="F276">
        <v>8</v>
      </c>
      <c r="G276" t="s">
        <v>2866</v>
      </c>
      <c r="H276" t="s">
        <v>19</v>
      </c>
      <c r="I276" t="s">
        <v>2863</v>
      </c>
      <c r="J276" t="s">
        <v>144</v>
      </c>
    </row>
    <row r="277" spans="1:10" x14ac:dyDescent="0.35">
      <c r="A277">
        <v>276</v>
      </c>
      <c r="B277" t="s">
        <v>3306</v>
      </c>
      <c r="C277">
        <v>6</v>
      </c>
      <c r="D277">
        <v>16</v>
      </c>
      <c r="E277">
        <v>2023</v>
      </c>
      <c r="F277">
        <v>5</v>
      </c>
      <c r="G277" t="s">
        <v>2866</v>
      </c>
      <c r="H277" t="s">
        <v>19</v>
      </c>
      <c r="I277" t="s">
        <v>2863</v>
      </c>
      <c r="J277" t="s">
        <v>56</v>
      </c>
    </row>
    <row r="278" spans="1:10" x14ac:dyDescent="0.35">
      <c r="A278">
        <v>277</v>
      </c>
      <c r="B278" t="s">
        <v>3307</v>
      </c>
      <c r="C278">
        <v>4</v>
      </c>
      <c r="D278">
        <v>4</v>
      </c>
      <c r="E278">
        <v>2022</v>
      </c>
      <c r="F278">
        <v>0</v>
      </c>
      <c r="G278" t="s">
        <v>2906</v>
      </c>
      <c r="H278" t="s">
        <v>2907</v>
      </c>
      <c r="I278" t="s">
        <v>2908</v>
      </c>
      <c r="J278" t="s">
        <v>101</v>
      </c>
    </row>
    <row r="279" spans="1:10" x14ac:dyDescent="0.35">
      <c r="A279">
        <v>278</v>
      </c>
      <c r="B279" t="s">
        <v>3308</v>
      </c>
      <c r="C279">
        <v>6</v>
      </c>
      <c r="D279">
        <v>7</v>
      </c>
      <c r="E279">
        <v>2020</v>
      </c>
      <c r="F279">
        <v>20</v>
      </c>
      <c r="G279" t="s">
        <v>2862</v>
      </c>
      <c r="H279" t="s">
        <v>19</v>
      </c>
      <c r="I279" t="s">
        <v>2863</v>
      </c>
      <c r="J279" t="s">
        <v>231</v>
      </c>
    </row>
    <row r="280" spans="1:10" x14ac:dyDescent="0.35">
      <c r="A280">
        <v>279</v>
      </c>
      <c r="B280" t="s">
        <v>3309</v>
      </c>
      <c r="C280">
        <v>5</v>
      </c>
      <c r="D280">
        <v>10</v>
      </c>
      <c r="E280">
        <v>2019</v>
      </c>
      <c r="F280">
        <v>61</v>
      </c>
      <c r="G280" t="s">
        <v>2887</v>
      </c>
      <c r="H280" t="s">
        <v>19</v>
      </c>
      <c r="I280" t="s">
        <v>2863</v>
      </c>
      <c r="J280" t="s">
        <v>231</v>
      </c>
    </row>
    <row r="281" spans="1:10" x14ac:dyDescent="0.35">
      <c r="A281">
        <v>280</v>
      </c>
      <c r="B281" t="s">
        <v>3310</v>
      </c>
      <c r="C281">
        <v>2</v>
      </c>
      <c r="D281">
        <v>2</v>
      </c>
      <c r="E281">
        <v>2014</v>
      </c>
      <c r="F281">
        <v>62</v>
      </c>
      <c r="G281" t="s">
        <v>2959</v>
      </c>
      <c r="H281" t="s">
        <v>93</v>
      </c>
      <c r="I281" t="s">
        <v>2865</v>
      </c>
      <c r="J281" t="s">
        <v>231</v>
      </c>
    </row>
    <row r="282" spans="1:10" x14ac:dyDescent="0.35">
      <c r="A282">
        <v>281</v>
      </c>
      <c r="B282" t="s">
        <v>3311</v>
      </c>
      <c r="C282">
        <v>3</v>
      </c>
      <c r="D282">
        <v>5</v>
      </c>
      <c r="E282">
        <v>2019</v>
      </c>
      <c r="F282">
        <v>151</v>
      </c>
      <c r="G282" t="s">
        <v>2899</v>
      </c>
      <c r="H282" t="s">
        <v>2895</v>
      </c>
      <c r="I282" t="s">
        <v>2874</v>
      </c>
      <c r="J282" t="s">
        <v>231</v>
      </c>
    </row>
    <row r="283" spans="1:10" x14ac:dyDescent="0.35">
      <c r="A283">
        <v>282</v>
      </c>
      <c r="B283" t="s">
        <v>3312</v>
      </c>
      <c r="C283">
        <v>6</v>
      </c>
      <c r="D283">
        <v>7</v>
      </c>
      <c r="E283">
        <v>2020</v>
      </c>
      <c r="F283">
        <v>15</v>
      </c>
      <c r="G283" t="s">
        <v>2960</v>
      </c>
      <c r="H283" t="s">
        <v>2897</v>
      </c>
      <c r="I283" t="s">
        <v>2874</v>
      </c>
      <c r="J283" t="s">
        <v>231</v>
      </c>
    </row>
    <row r="284" spans="1:10" x14ac:dyDescent="0.35">
      <c r="A284">
        <v>283</v>
      </c>
      <c r="B284" t="s">
        <v>3313</v>
      </c>
      <c r="C284">
        <v>3</v>
      </c>
      <c r="D284">
        <v>3</v>
      </c>
      <c r="E284">
        <v>2019</v>
      </c>
      <c r="F284">
        <v>14</v>
      </c>
      <c r="G284" t="s">
        <v>2961</v>
      </c>
      <c r="H284" t="s">
        <v>93</v>
      </c>
      <c r="I284" t="s">
        <v>2865</v>
      </c>
      <c r="J284" t="s">
        <v>45</v>
      </c>
    </row>
    <row r="285" spans="1:10" x14ac:dyDescent="0.35">
      <c r="A285">
        <v>284</v>
      </c>
      <c r="B285" t="s">
        <v>3314</v>
      </c>
      <c r="C285">
        <v>2</v>
      </c>
      <c r="D285">
        <v>4</v>
      </c>
      <c r="E285">
        <v>2022</v>
      </c>
      <c r="F285">
        <v>12</v>
      </c>
      <c r="G285" t="s">
        <v>2866</v>
      </c>
      <c r="H285" t="s">
        <v>19</v>
      </c>
      <c r="I285" t="s">
        <v>2863</v>
      </c>
      <c r="J285" t="s">
        <v>157</v>
      </c>
    </row>
    <row r="286" spans="1:10" x14ac:dyDescent="0.35">
      <c r="A286">
        <v>285</v>
      </c>
      <c r="B286" t="s">
        <v>3315</v>
      </c>
      <c r="C286">
        <v>3</v>
      </c>
      <c r="D286">
        <v>3</v>
      </c>
      <c r="E286">
        <v>2016</v>
      </c>
      <c r="F286">
        <v>24</v>
      </c>
      <c r="G286" t="s">
        <v>2894</v>
      </c>
      <c r="H286" t="s">
        <v>2895</v>
      </c>
      <c r="I286" t="s">
        <v>2874</v>
      </c>
      <c r="J286" t="s">
        <v>157</v>
      </c>
    </row>
    <row r="287" spans="1:10" x14ac:dyDescent="0.35">
      <c r="A287">
        <v>286</v>
      </c>
      <c r="B287" t="s">
        <v>3316</v>
      </c>
      <c r="C287">
        <v>3</v>
      </c>
      <c r="D287">
        <v>4</v>
      </c>
      <c r="E287">
        <v>2017</v>
      </c>
      <c r="F287">
        <v>21</v>
      </c>
      <c r="G287" t="s">
        <v>2871</v>
      </c>
      <c r="H287" t="s">
        <v>19</v>
      </c>
      <c r="I287" t="s">
        <v>2863</v>
      </c>
      <c r="J287" t="s">
        <v>157</v>
      </c>
    </row>
    <row r="288" spans="1:10" x14ac:dyDescent="0.35">
      <c r="A288">
        <v>287</v>
      </c>
      <c r="B288" t="s">
        <v>3317</v>
      </c>
      <c r="C288">
        <v>0</v>
      </c>
      <c r="D288">
        <v>5</v>
      </c>
      <c r="E288">
        <v>2017</v>
      </c>
      <c r="F288">
        <v>31</v>
      </c>
      <c r="G288" t="s">
        <v>2867</v>
      </c>
      <c r="H288" t="s">
        <v>19</v>
      </c>
      <c r="I288" t="s">
        <v>2863</v>
      </c>
      <c r="J288" t="s">
        <v>72</v>
      </c>
    </row>
    <row r="289" spans="1:10" x14ac:dyDescent="0.35">
      <c r="A289">
        <v>288</v>
      </c>
      <c r="B289" t="s">
        <v>3318</v>
      </c>
      <c r="C289">
        <v>6</v>
      </c>
      <c r="D289">
        <v>7</v>
      </c>
      <c r="E289">
        <v>2022</v>
      </c>
      <c r="F289">
        <v>3</v>
      </c>
      <c r="G289" t="s">
        <v>2867</v>
      </c>
      <c r="H289" t="s">
        <v>19</v>
      </c>
      <c r="I289" t="s">
        <v>2863</v>
      </c>
      <c r="J289" t="s">
        <v>101</v>
      </c>
    </row>
    <row r="290" spans="1:10" x14ac:dyDescent="0.35">
      <c r="A290">
        <v>289</v>
      </c>
      <c r="B290" t="s">
        <v>3319</v>
      </c>
      <c r="C290">
        <v>3</v>
      </c>
      <c r="D290">
        <v>10</v>
      </c>
      <c r="E290">
        <v>2023</v>
      </c>
      <c r="F290">
        <v>3</v>
      </c>
      <c r="G290" t="s">
        <v>2896</v>
      </c>
      <c r="H290" t="s">
        <v>2897</v>
      </c>
      <c r="I290" t="s">
        <v>2874</v>
      </c>
      <c r="J290" t="s">
        <v>16</v>
      </c>
    </row>
    <row r="291" spans="1:10" x14ac:dyDescent="0.35">
      <c r="A291">
        <v>290</v>
      </c>
      <c r="B291" t="s">
        <v>3320</v>
      </c>
      <c r="C291">
        <v>0</v>
      </c>
      <c r="D291">
        <v>10</v>
      </c>
      <c r="E291">
        <v>2018</v>
      </c>
      <c r="F291">
        <v>32</v>
      </c>
      <c r="G291" t="s">
        <v>2889</v>
      </c>
      <c r="H291" t="s">
        <v>2873</v>
      </c>
      <c r="I291" t="s">
        <v>2874</v>
      </c>
      <c r="J291" t="s">
        <v>72</v>
      </c>
    </row>
    <row r="292" spans="1:10" x14ac:dyDescent="0.35">
      <c r="A292">
        <v>291</v>
      </c>
      <c r="B292" t="s">
        <v>3321</v>
      </c>
      <c r="C292">
        <v>0</v>
      </c>
      <c r="D292">
        <v>5</v>
      </c>
      <c r="E292">
        <v>2016</v>
      </c>
      <c r="F292">
        <v>24</v>
      </c>
      <c r="G292" t="s">
        <v>2943</v>
      </c>
      <c r="H292" t="s">
        <v>19</v>
      </c>
      <c r="I292" t="s">
        <v>2863</v>
      </c>
      <c r="J292" t="s">
        <v>261</v>
      </c>
    </row>
    <row r="293" spans="1:10" x14ac:dyDescent="0.35">
      <c r="A293">
        <v>292</v>
      </c>
      <c r="B293" t="s">
        <v>3322</v>
      </c>
      <c r="C293">
        <v>2</v>
      </c>
      <c r="D293">
        <v>3</v>
      </c>
      <c r="E293">
        <v>2016</v>
      </c>
      <c r="F293">
        <v>24</v>
      </c>
      <c r="G293" t="s">
        <v>2962</v>
      </c>
      <c r="H293" t="s">
        <v>19</v>
      </c>
      <c r="I293" t="s">
        <v>2863</v>
      </c>
      <c r="J293" t="s">
        <v>586</v>
      </c>
    </row>
    <row r="294" spans="1:10" x14ac:dyDescent="0.35">
      <c r="A294">
        <v>293</v>
      </c>
      <c r="B294" t="s">
        <v>3323</v>
      </c>
      <c r="C294">
        <v>1</v>
      </c>
      <c r="D294">
        <v>7</v>
      </c>
      <c r="E294">
        <v>2022</v>
      </c>
      <c r="F294">
        <v>3</v>
      </c>
      <c r="G294" t="s">
        <v>2948</v>
      </c>
      <c r="H294" t="s">
        <v>19</v>
      </c>
      <c r="I294" t="s">
        <v>2863</v>
      </c>
      <c r="J294" t="s">
        <v>48</v>
      </c>
    </row>
    <row r="295" spans="1:10" x14ac:dyDescent="0.35">
      <c r="A295">
        <v>294</v>
      </c>
      <c r="B295" t="s">
        <v>3324</v>
      </c>
      <c r="C295">
        <v>3</v>
      </c>
      <c r="D295">
        <v>12</v>
      </c>
      <c r="E295">
        <v>2016</v>
      </c>
      <c r="F295">
        <v>91</v>
      </c>
      <c r="G295" t="s">
        <v>2871</v>
      </c>
      <c r="H295" t="s">
        <v>19</v>
      </c>
      <c r="I295" t="s">
        <v>2863</v>
      </c>
      <c r="J295" t="s">
        <v>56</v>
      </c>
    </row>
    <row r="296" spans="1:10" x14ac:dyDescent="0.35">
      <c r="A296">
        <v>295</v>
      </c>
      <c r="B296" t="s">
        <v>3325</v>
      </c>
      <c r="C296">
        <v>1</v>
      </c>
      <c r="D296">
        <v>2</v>
      </c>
      <c r="E296">
        <v>2014</v>
      </c>
      <c r="F296">
        <v>50</v>
      </c>
      <c r="G296" t="s">
        <v>2866</v>
      </c>
      <c r="H296" t="s">
        <v>19</v>
      </c>
      <c r="I296" t="s">
        <v>2863</v>
      </c>
      <c r="J296" t="s">
        <v>25</v>
      </c>
    </row>
    <row r="297" spans="1:10" x14ac:dyDescent="0.35">
      <c r="A297">
        <v>296</v>
      </c>
      <c r="B297" t="s">
        <v>3326</v>
      </c>
      <c r="C297">
        <v>2</v>
      </c>
      <c r="D297">
        <v>2</v>
      </c>
      <c r="E297">
        <v>2015</v>
      </c>
      <c r="F297">
        <v>4</v>
      </c>
      <c r="G297" t="s">
        <v>2872</v>
      </c>
      <c r="H297" t="s">
        <v>2873</v>
      </c>
      <c r="I297" t="s">
        <v>2874</v>
      </c>
      <c r="J297" t="s">
        <v>5</v>
      </c>
    </row>
    <row r="298" spans="1:10" x14ac:dyDescent="0.35">
      <c r="A298">
        <v>297</v>
      </c>
      <c r="B298" t="s">
        <v>3327</v>
      </c>
      <c r="C298">
        <v>4</v>
      </c>
      <c r="D298">
        <v>6</v>
      </c>
      <c r="E298">
        <v>2022</v>
      </c>
      <c r="F298">
        <v>15</v>
      </c>
      <c r="G298" t="s">
        <v>2866</v>
      </c>
      <c r="H298" t="s">
        <v>19</v>
      </c>
      <c r="I298" t="s">
        <v>2863</v>
      </c>
      <c r="J298" t="s">
        <v>5</v>
      </c>
    </row>
    <row r="299" spans="1:10" x14ac:dyDescent="0.35">
      <c r="A299">
        <v>298</v>
      </c>
      <c r="B299" t="s">
        <v>3328</v>
      </c>
      <c r="C299">
        <v>9</v>
      </c>
      <c r="D299">
        <v>11</v>
      </c>
      <c r="E299">
        <v>2023</v>
      </c>
      <c r="F299">
        <v>8</v>
      </c>
      <c r="G299" t="s">
        <v>2871</v>
      </c>
      <c r="H299" t="s">
        <v>19</v>
      </c>
      <c r="I299" t="s">
        <v>2863</v>
      </c>
      <c r="J299" t="s">
        <v>45</v>
      </c>
    </row>
    <row r="300" spans="1:10" x14ac:dyDescent="0.35">
      <c r="A300">
        <v>299</v>
      </c>
      <c r="B300" t="s">
        <v>3329</v>
      </c>
      <c r="C300">
        <v>0</v>
      </c>
      <c r="D300">
        <v>2</v>
      </c>
      <c r="E300">
        <v>2018</v>
      </c>
      <c r="F300">
        <v>15</v>
      </c>
      <c r="G300" t="s">
        <v>2903</v>
      </c>
      <c r="H300" t="s">
        <v>93</v>
      </c>
      <c r="I300" t="s">
        <v>2865</v>
      </c>
      <c r="J300" t="s">
        <v>16</v>
      </c>
    </row>
    <row r="301" spans="1:10" x14ac:dyDescent="0.35">
      <c r="A301">
        <v>300</v>
      </c>
      <c r="B301" t="s">
        <v>3330</v>
      </c>
      <c r="C301">
        <v>0</v>
      </c>
      <c r="D301">
        <v>9</v>
      </c>
      <c r="E301">
        <v>2022</v>
      </c>
      <c r="F301">
        <v>55</v>
      </c>
      <c r="G301" t="s">
        <v>2875</v>
      </c>
      <c r="H301" t="s">
        <v>19</v>
      </c>
      <c r="I301" t="s">
        <v>2863</v>
      </c>
      <c r="J301" t="s">
        <v>72</v>
      </c>
    </row>
    <row r="302" spans="1:10" x14ac:dyDescent="0.35">
      <c r="A302">
        <v>301</v>
      </c>
      <c r="B302" t="s">
        <v>3331</v>
      </c>
      <c r="C302">
        <v>6</v>
      </c>
      <c r="D302">
        <v>7</v>
      </c>
      <c r="E302">
        <v>2023</v>
      </c>
      <c r="F302">
        <v>0</v>
      </c>
      <c r="G302" t="s">
        <v>2951</v>
      </c>
      <c r="H302" t="s">
        <v>2873</v>
      </c>
      <c r="I302" t="s">
        <v>2874</v>
      </c>
      <c r="J302" t="s">
        <v>45</v>
      </c>
    </row>
    <row r="303" spans="1:10" x14ac:dyDescent="0.35">
      <c r="A303">
        <v>302</v>
      </c>
      <c r="B303" t="s">
        <v>3332</v>
      </c>
      <c r="C303">
        <v>2</v>
      </c>
      <c r="D303">
        <v>2</v>
      </c>
      <c r="E303">
        <v>2021</v>
      </c>
      <c r="F303">
        <v>11</v>
      </c>
      <c r="G303" t="s">
        <v>2894</v>
      </c>
      <c r="H303" t="s">
        <v>2895</v>
      </c>
      <c r="I303" t="s">
        <v>2874</v>
      </c>
      <c r="J303" t="s">
        <v>101</v>
      </c>
    </row>
    <row r="304" spans="1:10" x14ac:dyDescent="0.35">
      <c r="A304">
        <v>303</v>
      </c>
      <c r="B304" t="s">
        <v>3333</v>
      </c>
      <c r="C304">
        <v>0</v>
      </c>
      <c r="D304">
        <v>3</v>
      </c>
      <c r="E304">
        <v>2021</v>
      </c>
      <c r="F304">
        <v>0</v>
      </c>
      <c r="G304" t="s">
        <v>2901</v>
      </c>
      <c r="H304" t="s">
        <v>2902</v>
      </c>
      <c r="I304" t="s">
        <v>2885</v>
      </c>
      <c r="J304" t="s">
        <v>16</v>
      </c>
    </row>
    <row r="305" spans="1:10" x14ac:dyDescent="0.35">
      <c r="A305">
        <v>304</v>
      </c>
      <c r="B305" t="s">
        <v>3334</v>
      </c>
      <c r="C305">
        <v>0</v>
      </c>
      <c r="D305">
        <v>3</v>
      </c>
      <c r="E305">
        <v>2014</v>
      </c>
      <c r="F305">
        <v>178</v>
      </c>
      <c r="G305" t="s">
        <v>2877</v>
      </c>
      <c r="H305" t="s">
        <v>19</v>
      </c>
      <c r="I305" t="s">
        <v>2863</v>
      </c>
      <c r="J305" t="s">
        <v>72</v>
      </c>
    </row>
    <row r="306" spans="1:10" x14ac:dyDescent="0.35">
      <c r="A306">
        <v>305</v>
      </c>
      <c r="B306" t="s">
        <v>3335</v>
      </c>
      <c r="C306">
        <v>2</v>
      </c>
      <c r="D306">
        <v>6</v>
      </c>
      <c r="E306">
        <v>2015</v>
      </c>
      <c r="F306">
        <v>38</v>
      </c>
      <c r="G306" t="s">
        <v>2877</v>
      </c>
      <c r="H306" t="s">
        <v>19</v>
      </c>
      <c r="I306" t="s">
        <v>2863</v>
      </c>
      <c r="J306" t="s">
        <v>164</v>
      </c>
    </row>
    <row r="307" spans="1:10" x14ac:dyDescent="0.35">
      <c r="A307">
        <v>306</v>
      </c>
      <c r="B307" t="s">
        <v>3336</v>
      </c>
      <c r="C307">
        <v>0</v>
      </c>
      <c r="D307">
        <v>4</v>
      </c>
      <c r="E307">
        <v>2019</v>
      </c>
      <c r="F307">
        <v>65</v>
      </c>
      <c r="G307" t="s">
        <v>2963</v>
      </c>
      <c r="H307" t="s">
        <v>19</v>
      </c>
      <c r="I307" t="s">
        <v>2863</v>
      </c>
      <c r="J307" t="s">
        <v>25</v>
      </c>
    </row>
    <row r="308" spans="1:10" x14ac:dyDescent="0.35">
      <c r="A308">
        <v>307</v>
      </c>
      <c r="B308" t="s">
        <v>3337</v>
      </c>
      <c r="C308">
        <v>0</v>
      </c>
      <c r="D308">
        <v>1</v>
      </c>
      <c r="E308">
        <v>2022</v>
      </c>
      <c r="F308">
        <v>1</v>
      </c>
      <c r="G308" t="s">
        <v>2910</v>
      </c>
      <c r="H308" t="s">
        <v>2897</v>
      </c>
      <c r="I308" t="s">
        <v>2874</v>
      </c>
      <c r="J308" t="s">
        <v>72</v>
      </c>
    </row>
    <row r="309" spans="1:10" x14ac:dyDescent="0.35">
      <c r="A309">
        <v>308</v>
      </c>
      <c r="B309" t="s">
        <v>3338</v>
      </c>
      <c r="C309">
        <v>3</v>
      </c>
      <c r="D309">
        <v>6</v>
      </c>
      <c r="E309">
        <v>2021</v>
      </c>
      <c r="F309">
        <v>4</v>
      </c>
      <c r="G309" t="s">
        <v>2877</v>
      </c>
      <c r="H309" t="s">
        <v>19</v>
      </c>
      <c r="I309" t="s">
        <v>2863</v>
      </c>
      <c r="J309" t="s">
        <v>72</v>
      </c>
    </row>
    <row r="310" spans="1:10" x14ac:dyDescent="0.35">
      <c r="A310">
        <v>309</v>
      </c>
      <c r="B310" t="s">
        <v>3339</v>
      </c>
      <c r="C310">
        <v>0</v>
      </c>
      <c r="D310">
        <v>3</v>
      </c>
      <c r="E310">
        <v>2022</v>
      </c>
      <c r="F310">
        <v>15</v>
      </c>
      <c r="G310" t="s">
        <v>2862</v>
      </c>
      <c r="H310" t="s">
        <v>19</v>
      </c>
      <c r="I310" t="s">
        <v>2863</v>
      </c>
      <c r="J310" t="s">
        <v>16</v>
      </c>
    </row>
    <row r="311" spans="1:10" x14ac:dyDescent="0.35">
      <c r="A311">
        <v>310</v>
      </c>
      <c r="B311" t="s">
        <v>3340</v>
      </c>
      <c r="C311">
        <v>16</v>
      </c>
      <c r="D311">
        <v>18</v>
      </c>
      <c r="E311">
        <v>2023</v>
      </c>
      <c r="F311">
        <v>2</v>
      </c>
      <c r="G311" t="s">
        <v>2867</v>
      </c>
      <c r="H311" t="s">
        <v>19</v>
      </c>
      <c r="I311" t="s">
        <v>2863</v>
      </c>
      <c r="J311" t="s">
        <v>101</v>
      </c>
    </row>
    <row r="312" spans="1:10" x14ac:dyDescent="0.35">
      <c r="A312">
        <v>311</v>
      </c>
      <c r="B312" t="s">
        <v>3341</v>
      </c>
      <c r="C312">
        <v>7</v>
      </c>
      <c r="D312">
        <v>7</v>
      </c>
      <c r="E312">
        <v>2022</v>
      </c>
      <c r="F312">
        <v>1</v>
      </c>
      <c r="G312" t="s">
        <v>2951</v>
      </c>
      <c r="H312" t="s">
        <v>2873</v>
      </c>
      <c r="I312" t="s">
        <v>2874</v>
      </c>
      <c r="J312" t="s">
        <v>101</v>
      </c>
    </row>
    <row r="313" spans="1:10" x14ac:dyDescent="0.35">
      <c r="A313">
        <v>312</v>
      </c>
      <c r="B313" t="s">
        <v>3342</v>
      </c>
      <c r="C313">
        <v>0</v>
      </c>
      <c r="D313">
        <v>3</v>
      </c>
      <c r="E313">
        <v>2023</v>
      </c>
      <c r="F313">
        <v>2</v>
      </c>
      <c r="G313" t="s">
        <v>2932</v>
      </c>
      <c r="H313" t="s">
        <v>2884</v>
      </c>
      <c r="I313" t="s">
        <v>2885</v>
      </c>
      <c r="J313" t="s">
        <v>72</v>
      </c>
    </row>
    <row r="314" spans="1:10" x14ac:dyDescent="0.35">
      <c r="A314">
        <v>313</v>
      </c>
      <c r="B314" t="s">
        <v>3343</v>
      </c>
      <c r="C314">
        <v>1</v>
      </c>
      <c r="D314">
        <v>3</v>
      </c>
      <c r="E314">
        <v>2015</v>
      </c>
      <c r="F314">
        <v>98</v>
      </c>
      <c r="G314" t="s">
        <v>2877</v>
      </c>
      <c r="H314" t="s">
        <v>19</v>
      </c>
      <c r="I314" t="s">
        <v>2863</v>
      </c>
      <c r="J314" t="s">
        <v>16</v>
      </c>
    </row>
    <row r="315" spans="1:10" x14ac:dyDescent="0.35">
      <c r="A315">
        <v>314</v>
      </c>
      <c r="B315" t="s">
        <v>3344</v>
      </c>
      <c r="C315">
        <v>2</v>
      </c>
      <c r="D315">
        <v>2</v>
      </c>
      <c r="E315">
        <v>2022</v>
      </c>
      <c r="F315">
        <v>2</v>
      </c>
      <c r="G315" t="s">
        <v>2871</v>
      </c>
      <c r="H315" t="s">
        <v>19</v>
      </c>
      <c r="I315" t="s">
        <v>2863</v>
      </c>
      <c r="J315" t="s">
        <v>5</v>
      </c>
    </row>
    <row r="316" spans="1:10" x14ac:dyDescent="0.35">
      <c r="A316">
        <v>315</v>
      </c>
      <c r="B316" t="s">
        <v>3345</v>
      </c>
      <c r="C316">
        <v>0</v>
      </c>
      <c r="D316">
        <v>1</v>
      </c>
      <c r="E316">
        <v>2023</v>
      </c>
      <c r="F316">
        <v>4</v>
      </c>
      <c r="G316" t="s">
        <v>2964</v>
      </c>
      <c r="H316" t="s">
        <v>2897</v>
      </c>
      <c r="I316" t="s">
        <v>2874</v>
      </c>
      <c r="J316" t="s">
        <v>990</v>
      </c>
    </row>
    <row r="317" spans="1:10" x14ac:dyDescent="0.35">
      <c r="A317">
        <v>316</v>
      </c>
      <c r="B317" t="s">
        <v>3346</v>
      </c>
      <c r="C317">
        <v>3</v>
      </c>
      <c r="D317">
        <v>3</v>
      </c>
      <c r="E317">
        <v>2022</v>
      </c>
      <c r="F317">
        <v>1</v>
      </c>
      <c r="G317" t="s">
        <v>2931</v>
      </c>
      <c r="H317" t="s">
        <v>2897</v>
      </c>
      <c r="I317" t="s">
        <v>2874</v>
      </c>
      <c r="J317" t="s">
        <v>189</v>
      </c>
    </row>
    <row r="318" spans="1:10" x14ac:dyDescent="0.35">
      <c r="A318">
        <v>317</v>
      </c>
      <c r="B318" t="s">
        <v>3347</v>
      </c>
      <c r="C318">
        <v>1</v>
      </c>
      <c r="D318">
        <v>1</v>
      </c>
      <c r="E318">
        <v>2021</v>
      </c>
      <c r="F318">
        <v>1</v>
      </c>
      <c r="G318" t="s">
        <v>2910</v>
      </c>
      <c r="H318" t="s">
        <v>2897</v>
      </c>
      <c r="I318" t="s">
        <v>2874</v>
      </c>
      <c r="J318" t="s">
        <v>45</v>
      </c>
    </row>
    <row r="319" spans="1:10" x14ac:dyDescent="0.35">
      <c r="A319">
        <v>318</v>
      </c>
      <c r="B319" t="s">
        <v>3348</v>
      </c>
      <c r="C319">
        <v>3</v>
      </c>
      <c r="D319">
        <v>3</v>
      </c>
      <c r="E319">
        <v>2018</v>
      </c>
      <c r="F319">
        <v>40</v>
      </c>
      <c r="G319" t="s">
        <v>2876</v>
      </c>
      <c r="H319" t="s">
        <v>2873</v>
      </c>
      <c r="I319" t="s">
        <v>2874</v>
      </c>
      <c r="J319" t="s">
        <v>189</v>
      </c>
    </row>
    <row r="320" spans="1:10" x14ac:dyDescent="0.35">
      <c r="A320">
        <v>319</v>
      </c>
      <c r="B320" t="s">
        <v>3349</v>
      </c>
      <c r="C320">
        <v>4</v>
      </c>
      <c r="D320">
        <v>5</v>
      </c>
      <c r="E320">
        <v>2015</v>
      </c>
      <c r="F320">
        <v>47</v>
      </c>
      <c r="G320" t="s">
        <v>2872</v>
      </c>
      <c r="H320" t="s">
        <v>2873</v>
      </c>
      <c r="I320" t="s">
        <v>2874</v>
      </c>
      <c r="J320" t="s">
        <v>157</v>
      </c>
    </row>
    <row r="321" spans="1:10" x14ac:dyDescent="0.35">
      <c r="A321">
        <v>320</v>
      </c>
      <c r="B321" t="s">
        <v>3350</v>
      </c>
      <c r="C321">
        <v>0</v>
      </c>
      <c r="D321">
        <v>4</v>
      </c>
      <c r="E321">
        <v>2021</v>
      </c>
      <c r="F321">
        <v>9</v>
      </c>
      <c r="G321" t="s">
        <v>2871</v>
      </c>
      <c r="H321" t="s">
        <v>19</v>
      </c>
      <c r="I321" t="s">
        <v>2863</v>
      </c>
      <c r="J321" t="s">
        <v>19</v>
      </c>
    </row>
    <row r="322" spans="1:10" x14ac:dyDescent="0.35">
      <c r="A322">
        <v>321</v>
      </c>
      <c r="B322" t="s">
        <v>3351</v>
      </c>
      <c r="C322">
        <v>5</v>
      </c>
      <c r="D322">
        <v>5</v>
      </c>
      <c r="E322">
        <v>2020</v>
      </c>
      <c r="F322">
        <v>6</v>
      </c>
      <c r="G322" t="s">
        <v>2965</v>
      </c>
      <c r="H322" t="s">
        <v>2966</v>
      </c>
      <c r="I322" t="s">
        <v>2940</v>
      </c>
      <c r="J322" t="s">
        <v>45</v>
      </c>
    </row>
    <row r="323" spans="1:10" x14ac:dyDescent="0.35">
      <c r="A323">
        <v>322</v>
      </c>
      <c r="B323" t="s">
        <v>3352</v>
      </c>
      <c r="C323">
        <v>0</v>
      </c>
      <c r="D323">
        <v>4</v>
      </c>
      <c r="E323">
        <v>2021</v>
      </c>
      <c r="F323">
        <v>17</v>
      </c>
      <c r="G323" t="s">
        <v>2910</v>
      </c>
      <c r="H323" t="s">
        <v>2897</v>
      </c>
      <c r="I323" t="s">
        <v>2874</v>
      </c>
      <c r="J323" t="s">
        <v>56</v>
      </c>
    </row>
    <row r="324" spans="1:10" x14ac:dyDescent="0.35">
      <c r="A324">
        <v>323</v>
      </c>
      <c r="B324" t="s">
        <v>3353</v>
      </c>
      <c r="C324">
        <v>3</v>
      </c>
      <c r="D324">
        <v>3</v>
      </c>
      <c r="E324">
        <v>2021</v>
      </c>
      <c r="F324">
        <v>4</v>
      </c>
      <c r="G324" t="s">
        <v>2910</v>
      </c>
      <c r="H324" t="s">
        <v>2897</v>
      </c>
      <c r="I324" t="s">
        <v>2874</v>
      </c>
      <c r="J324" t="s">
        <v>231</v>
      </c>
    </row>
    <row r="325" spans="1:10" x14ac:dyDescent="0.35">
      <c r="A325">
        <v>324</v>
      </c>
      <c r="B325" t="s">
        <v>3354</v>
      </c>
      <c r="C325">
        <v>3</v>
      </c>
      <c r="D325">
        <v>10</v>
      </c>
      <c r="E325">
        <v>2017</v>
      </c>
      <c r="F325">
        <v>50</v>
      </c>
      <c r="G325" t="s">
        <v>2912</v>
      </c>
      <c r="H325" t="s">
        <v>19</v>
      </c>
      <c r="I325" t="s">
        <v>2863</v>
      </c>
      <c r="J325" t="s">
        <v>19</v>
      </c>
    </row>
    <row r="326" spans="1:10" x14ac:dyDescent="0.35">
      <c r="A326">
        <v>325</v>
      </c>
      <c r="B326" t="s">
        <v>3355</v>
      </c>
      <c r="C326">
        <v>4</v>
      </c>
      <c r="D326">
        <v>13</v>
      </c>
      <c r="E326">
        <v>2021</v>
      </c>
      <c r="F326">
        <v>2</v>
      </c>
      <c r="G326" t="s">
        <v>2967</v>
      </c>
      <c r="H326" t="s">
        <v>2873</v>
      </c>
      <c r="I326" t="s">
        <v>2874</v>
      </c>
      <c r="J326" t="s">
        <v>40</v>
      </c>
    </row>
    <row r="327" spans="1:10" x14ac:dyDescent="0.35">
      <c r="A327">
        <v>326</v>
      </c>
      <c r="B327" t="s">
        <v>3356</v>
      </c>
      <c r="C327">
        <v>0</v>
      </c>
      <c r="D327">
        <v>3</v>
      </c>
      <c r="E327">
        <v>2016</v>
      </c>
      <c r="F327">
        <v>27</v>
      </c>
      <c r="G327" t="s">
        <v>2894</v>
      </c>
      <c r="H327" t="s">
        <v>2895</v>
      </c>
      <c r="I327" t="s">
        <v>2874</v>
      </c>
      <c r="J327" t="s">
        <v>48</v>
      </c>
    </row>
    <row r="328" spans="1:10" x14ac:dyDescent="0.35">
      <c r="A328">
        <v>327</v>
      </c>
      <c r="B328" t="s">
        <v>3357</v>
      </c>
      <c r="C328">
        <v>3</v>
      </c>
      <c r="D328">
        <v>9</v>
      </c>
      <c r="E328">
        <v>2020</v>
      </c>
      <c r="F328">
        <v>2</v>
      </c>
      <c r="G328" t="s">
        <v>2968</v>
      </c>
      <c r="H328" t="s">
        <v>19</v>
      </c>
      <c r="I328" t="s">
        <v>2863</v>
      </c>
      <c r="J328" t="s">
        <v>19</v>
      </c>
    </row>
    <row r="329" spans="1:10" x14ac:dyDescent="0.35">
      <c r="A329">
        <v>328</v>
      </c>
      <c r="B329" t="s">
        <v>3358</v>
      </c>
      <c r="C329">
        <v>0</v>
      </c>
      <c r="D329">
        <v>7</v>
      </c>
      <c r="E329">
        <v>2016</v>
      </c>
      <c r="F329">
        <v>23</v>
      </c>
      <c r="G329" t="s">
        <v>2866</v>
      </c>
      <c r="H329" t="s">
        <v>19</v>
      </c>
      <c r="I329" t="s">
        <v>2863</v>
      </c>
      <c r="J329" t="s">
        <v>22</v>
      </c>
    </row>
    <row r="330" spans="1:10" x14ac:dyDescent="0.35">
      <c r="A330">
        <v>329</v>
      </c>
      <c r="B330" t="s">
        <v>3359</v>
      </c>
      <c r="C330">
        <v>3</v>
      </c>
      <c r="D330">
        <v>3</v>
      </c>
      <c r="E330">
        <v>2019</v>
      </c>
      <c r="F330">
        <v>9</v>
      </c>
      <c r="G330" t="s">
        <v>2899</v>
      </c>
      <c r="H330" t="s">
        <v>2895</v>
      </c>
      <c r="I330" t="s">
        <v>2874</v>
      </c>
      <c r="J330" t="s">
        <v>231</v>
      </c>
    </row>
    <row r="331" spans="1:10" x14ac:dyDescent="0.35">
      <c r="A331">
        <v>330</v>
      </c>
      <c r="B331" t="s">
        <v>3360</v>
      </c>
      <c r="C331">
        <v>2</v>
      </c>
      <c r="D331">
        <v>5</v>
      </c>
      <c r="E331">
        <v>2015</v>
      </c>
      <c r="F331">
        <v>20</v>
      </c>
      <c r="G331" t="s">
        <v>2869</v>
      </c>
      <c r="H331" t="s">
        <v>93</v>
      </c>
      <c r="I331" t="s">
        <v>2865</v>
      </c>
      <c r="J331" t="s">
        <v>93</v>
      </c>
    </row>
    <row r="332" spans="1:10" x14ac:dyDescent="0.35">
      <c r="A332">
        <v>331</v>
      </c>
      <c r="B332" t="s">
        <v>3361</v>
      </c>
      <c r="C332">
        <v>1</v>
      </c>
      <c r="D332">
        <v>2</v>
      </c>
      <c r="E332">
        <v>2019</v>
      </c>
      <c r="F332">
        <v>12</v>
      </c>
      <c r="G332" t="s">
        <v>2896</v>
      </c>
      <c r="H332" t="s">
        <v>2897</v>
      </c>
      <c r="I332" t="s">
        <v>2874</v>
      </c>
      <c r="J332" t="s">
        <v>16</v>
      </c>
    </row>
    <row r="333" spans="1:10" x14ac:dyDescent="0.35">
      <c r="A333">
        <v>332</v>
      </c>
      <c r="B333" t="s">
        <v>3362</v>
      </c>
      <c r="C333">
        <v>0</v>
      </c>
      <c r="D333">
        <v>3</v>
      </c>
      <c r="E333">
        <v>2019</v>
      </c>
      <c r="F333">
        <v>25</v>
      </c>
      <c r="G333" t="s">
        <v>2969</v>
      </c>
      <c r="H333" t="s">
        <v>2880</v>
      </c>
      <c r="I333" t="s">
        <v>2874</v>
      </c>
      <c r="J333" t="s">
        <v>72</v>
      </c>
    </row>
    <row r="334" spans="1:10" x14ac:dyDescent="0.35">
      <c r="A334">
        <v>333</v>
      </c>
      <c r="B334" t="s">
        <v>3363</v>
      </c>
      <c r="C334">
        <v>0</v>
      </c>
      <c r="D334">
        <v>3</v>
      </c>
      <c r="E334">
        <v>2021</v>
      </c>
      <c r="F334">
        <v>31</v>
      </c>
      <c r="G334" t="s">
        <v>2900</v>
      </c>
      <c r="H334" t="s">
        <v>2880</v>
      </c>
      <c r="I334" t="s">
        <v>2874</v>
      </c>
      <c r="J334" t="s">
        <v>98</v>
      </c>
    </row>
    <row r="335" spans="1:10" x14ac:dyDescent="0.35">
      <c r="A335">
        <v>334</v>
      </c>
      <c r="B335" t="s">
        <v>3364</v>
      </c>
      <c r="C335">
        <v>4</v>
      </c>
      <c r="D335">
        <v>10</v>
      </c>
      <c r="E335">
        <v>2022</v>
      </c>
      <c r="F335">
        <v>5</v>
      </c>
      <c r="G335" t="s">
        <v>2970</v>
      </c>
      <c r="H335" t="s">
        <v>2971</v>
      </c>
      <c r="I335" t="s">
        <v>2940</v>
      </c>
      <c r="J335" t="s">
        <v>517</v>
      </c>
    </row>
    <row r="336" spans="1:10" x14ac:dyDescent="0.35">
      <c r="A336">
        <v>335</v>
      </c>
      <c r="B336" t="s">
        <v>3365</v>
      </c>
      <c r="C336">
        <v>0</v>
      </c>
      <c r="D336">
        <v>1</v>
      </c>
      <c r="E336">
        <v>2023</v>
      </c>
      <c r="F336">
        <v>8</v>
      </c>
      <c r="G336" t="s">
        <v>2896</v>
      </c>
      <c r="H336" t="s">
        <v>2897</v>
      </c>
      <c r="I336" t="s">
        <v>2874</v>
      </c>
      <c r="J336" t="s">
        <v>16</v>
      </c>
    </row>
    <row r="337" spans="1:10" x14ac:dyDescent="0.35">
      <c r="A337">
        <v>336</v>
      </c>
      <c r="B337" t="s">
        <v>3366</v>
      </c>
      <c r="C337">
        <v>1</v>
      </c>
      <c r="D337">
        <v>2</v>
      </c>
      <c r="E337">
        <v>2019</v>
      </c>
      <c r="F337">
        <v>30</v>
      </c>
      <c r="G337" t="s">
        <v>2972</v>
      </c>
      <c r="H337" t="s">
        <v>93</v>
      </c>
      <c r="I337" t="s">
        <v>2865</v>
      </c>
      <c r="J337" t="s">
        <v>189</v>
      </c>
    </row>
    <row r="338" spans="1:10" x14ac:dyDescent="0.35">
      <c r="A338">
        <v>337</v>
      </c>
      <c r="B338" t="s">
        <v>3367</v>
      </c>
      <c r="C338">
        <v>5</v>
      </c>
      <c r="D338">
        <v>5</v>
      </c>
      <c r="E338">
        <v>2023</v>
      </c>
      <c r="F338">
        <v>3</v>
      </c>
      <c r="G338" t="s">
        <v>2949</v>
      </c>
      <c r="H338" t="s">
        <v>19</v>
      </c>
      <c r="I338" t="s">
        <v>2863</v>
      </c>
      <c r="J338" t="s">
        <v>189</v>
      </c>
    </row>
    <row r="339" spans="1:10" x14ac:dyDescent="0.35">
      <c r="A339">
        <v>338</v>
      </c>
      <c r="B339" t="s">
        <v>3368</v>
      </c>
      <c r="C339">
        <v>1</v>
      </c>
      <c r="D339">
        <v>2</v>
      </c>
      <c r="E339">
        <v>2015</v>
      </c>
      <c r="F339">
        <v>18</v>
      </c>
      <c r="G339" t="s">
        <v>2871</v>
      </c>
      <c r="H339" t="s">
        <v>19</v>
      </c>
      <c r="I339" t="s">
        <v>2863</v>
      </c>
      <c r="J339" t="s">
        <v>48</v>
      </c>
    </row>
    <row r="340" spans="1:10" x14ac:dyDescent="0.35">
      <c r="A340">
        <v>339</v>
      </c>
      <c r="B340" t="s">
        <v>3369</v>
      </c>
      <c r="C340">
        <v>2</v>
      </c>
      <c r="D340">
        <v>7</v>
      </c>
      <c r="E340">
        <v>2018</v>
      </c>
      <c r="F340">
        <v>37</v>
      </c>
      <c r="G340" t="s">
        <v>2922</v>
      </c>
      <c r="H340" t="s">
        <v>2873</v>
      </c>
      <c r="I340" t="s">
        <v>2874</v>
      </c>
      <c r="J340" t="s">
        <v>16</v>
      </c>
    </row>
    <row r="341" spans="1:10" x14ac:dyDescent="0.35">
      <c r="A341">
        <v>340</v>
      </c>
      <c r="B341" t="s">
        <v>3370</v>
      </c>
      <c r="C341">
        <v>1</v>
      </c>
      <c r="D341">
        <v>7</v>
      </c>
      <c r="E341">
        <v>2023</v>
      </c>
      <c r="F341">
        <v>1</v>
      </c>
      <c r="G341" t="s">
        <v>2876</v>
      </c>
      <c r="H341" t="s">
        <v>2873</v>
      </c>
      <c r="I341" t="s">
        <v>2874</v>
      </c>
      <c r="J341" t="s">
        <v>261</v>
      </c>
    </row>
    <row r="342" spans="1:10" x14ac:dyDescent="0.35">
      <c r="A342">
        <v>341</v>
      </c>
      <c r="B342" t="s">
        <v>3371</v>
      </c>
      <c r="C342">
        <v>1</v>
      </c>
      <c r="D342">
        <v>3</v>
      </c>
      <c r="E342">
        <v>2021</v>
      </c>
      <c r="F342">
        <v>34</v>
      </c>
      <c r="G342" t="s">
        <v>2903</v>
      </c>
      <c r="H342" t="s">
        <v>19</v>
      </c>
      <c r="I342" t="s">
        <v>2863</v>
      </c>
      <c r="J342" t="s">
        <v>16</v>
      </c>
    </row>
    <row r="343" spans="1:10" x14ac:dyDescent="0.35">
      <c r="A343">
        <v>342</v>
      </c>
      <c r="B343" t="s">
        <v>3372</v>
      </c>
      <c r="C343">
        <v>4</v>
      </c>
      <c r="D343">
        <v>8</v>
      </c>
      <c r="E343">
        <v>2022</v>
      </c>
      <c r="F343">
        <v>2</v>
      </c>
      <c r="G343" t="s">
        <v>2872</v>
      </c>
      <c r="H343" t="s">
        <v>2873</v>
      </c>
      <c r="I343" t="s">
        <v>2874</v>
      </c>
      <c r="J343" t="s">
        <v>517</v>
      </c>
    </row>
    <row r="344" spans="1:10" x14ac:dyDescent="0.35">
      <c r="A344">
        <v>343</v>
      </c>
      <c r="B344" t="s">
        <v>3373</v>
      </c>
      <c r="C344">
        <v>0</v>
      </c>
      <c r="D344">
        <v>1</v>
      </c>
      <c r="E344">
        <v>2018</v>
      </c>
      <c r="F344">
        <v>10</v>
      </c>
      <c r="G344" t="s">
        <v>2887</v>
      </c>
      <c r="H344" t="s">
        <v>19</v>
      </c>
      <c r="I344" t="s">
        <v>2863</v>
      </c>
      <c r="J344" t="s">
        <v>25</v>
      </c>
    </row>
    <row r="345" spans="1:10" x14ac:dyDescent="0.35">
      <c r="A345">
        <v>344</v>
      </c>
      <c r="B345" t="s">
        <v>3374</v>
      </c>
      <c r="C345">
        <v>0</v>
      </c>
      <c r="D345">
        <v>10</v>
      </c>
      <c r="E345">
        <v>2023</v>
      </c>
      <c r="F345">
        <v>6</v>
      </c>
      <c r="G345" t="s">
        <v>2973</v>
      </c>
      <c r="H345" t="s">
        <v>2873</v>
      </c>
      <c r="I345" t="s">
        <v>2874</v>
      </c>
      <c r="J345" t="s">
        <v>72</v>
      </c>
    </row>
    <row r="346" spans="1:10" x14ac:dyDescent="0.35">
      <c r="A346">
        <v>345</v>
      </c>
      <c r="B346" t="s">
        <v>3375</v>
      </c>
      <c r="C346">
        <v>6</v>
      </c>
      <c r="D346">
        <v>8</v>
      </c>
      <c r="E346">
        <v>2020</v>
      </c>
      <c r="F346">
        <v>5</v>
      </c>
      <c r="G346" t="s">
        <v>2942</v>
      </c>
      <c r="H346" t="s">
        <v>2902</v>
      </c>
      <c r="I346" t="s">
        <v>2885</v>
      </c>
      <c r="J346" t="s">
        <v>5</v>
      </c>
    </row>
    <row r="347" spans="1:10" x14ac:dyDescent="0.35">
      <c r="A347">
        <v>346</v>
      </c>
      <c r="B347" t="s">
        <v>3376</v>
      </c>
      <c r="C347">
        <v>2</v>
      </c>
      <c r="D347">
        <v>2</v>
      </c>
      <c r="E347">
        <v>2022</v>
      </c>
      <c r="F347">
        <v>19</v>
      </c>
      <c r="G347" t="s">
        <v>2876</v>
      </c>
      <c r="H347" t="s">
        <v>2873</v>
      </c>
      <c r="I347" t="s">
        <v>2874</v>
      </c>
      <c r="J347" t="s">
        <v>5</v>
      </c>
    </row>
    <row r="348" spans="1:10" x14ac:dyDescent="0.35">
      <c r="A348">
        <v>347</v>
      </c>
      <c r="B348" t="s">
        <v>3377</v>
      </c>
      <c r="C348">
        <v>0</v>
      </c>
      <c r="D348">
        <v>4</v>
      </c>
      <c r="E348">
        <v>2015</v>
      </c>
      <c r="F348">
        <v>20</v>
      </c>
      <c r="G348" t="s">
        <v>2914</v>
      </c>
      <c r="H348" t="s">
        <v>2873</v>
      </c>
      <c r="I348" t="s">
        <v>2874</v>
      </c>
      <c r="J348" t="s">
        <v>72</v>
      </c>
    </row>
    <row r="349" spans="1:10" x14ac:dyDescent="0.35">
      <c r="A349">
        <v>348</v>
      </c>
      <c r="B349" t="s">
        <v>3378</v>
      </c>
      <c r="C349">
        <v>6</v>
      </c>
      <c r="D349">
        <v>6</v>
      </c>
      <c r="E349">
        <v>2022</v>
      </c>
      <c r="F349">
        <v>15</v>
      </c>
      <c r="G349" t="s">
        <v>2894</v>
      </c>
      <c r="H349" t="s">
        <v>2895</v>
      </c>
      <c r="I349" t="s">
        <v>2874</v>
      </c>
      <c r="J349" t="s">
        <v>45</v>
      </c>
    </row>
    <row r="350" spans="1:10" x14ac:dyDescent="0.35">
      <c r="A350">
        <v>349</v>
      </c>
      <c r="B350" t="s">
        <v>3379</v>
      </c>
      <c r="C350">
        <v>6</v>
      </c>
      <c r="D350">
        <v>6</v>
      </c>
      <c r="E350">
        <v>2022</v>
      </c>
      <c r="F350">
        <v>2</v>
      </c>
      <c r="G350" t="s">
        <v>2899</v>
      </c>
      <c r="H350" t="s">
        <v>2895</v>
      </c>
      <c r="I350" t="s">
        <v>2874</v>
      </c>
      <c r="J350" t="s">
        <v>45</v>
      </c>
    </row>
    <row r="351" spans="1:10" x14ac:dyDescent="0.35">
      <c r="A351">
        <v>350</v>
      </c>
      <c r="B351" t="s">
        <v>3380</v>
      </c>
      <c r="C351">
        <v>0</v>
      </c>
      <c r="D351">
        <v>5</v>
      </c>
      <c r="E351">
        <v>2015</v>
      </c>
      <c r="F351">
        <v>23</v>
      </c>
      <c r="G351" t="s">
        <v>2867</v>
      </c>
      <c r="H351" t="s">
        <v>19</v>
      </c>
      <c r="I351" t="s">
        <v>2863</v>
      </c>
      <c r="J351" t="s">
        <v>93</v>
      </c>
    </row>
    <row r="352" spans="1:10" x14ac:dyDescent="0.35">
      <c r="A352">
        <v>351</v>
      </c>
      <c r="B352" t="s">
        <v>3381</v>
      </c>
      <c r="C352">
        <v>1</v>
      </c>
      <c r="D352">
        <v>2</v>
      </c>
      <c r="E352">
        <v>2020</v>
      </c>
      <c r="F352">
        <v>4</v>
      </c>
      <c r="G352" t="s">
        <v>2866</v>
      </c>
      <c r="H352" t="s">
        <v>19</v>
      </c>
      <c r="I352" t="s">
        <v>2863</v>
      </c>
      <c r="J352" t="s">
        <v>189</v>
      </c>
    </row>
    <row r="353" spans="1:10" x14ac:dyDescent="0.35">
      <c r="A353">
        <v>352</v>
      </c>
      <c r="B353" t="s">
        <v>3382</v>
      </c>
      <c r="C353">
        <v>1</v>
      </c>
      <c r="D353">
        <v>11</v>
      </c>
      <c r="E353">
        <v>2015</v>
      </c>
      <c r="F353">
        <v>22</v>
      </c>
      <c r="G353" t="s">
        <v>2974</v>
      </c>
      <c r="H353" t="s">
        <v>19</v>
      </c>
      <c r="I353" t="s">
        <v>2863</v>
      </c>
      <c r="J353" t="s">
        <v>19</v>
      </c>
    </row>
    <row r="354" spans="1:10" x14ac:dyDescent="0.35">
      <c r="A354">
        <v>353</v>
      </c>
      <c r="B354" t="s">
        <v>3383</v>
      </c>
      <c r="C354">
        <v>0</v>
      </c>
      <c r="D354">
        <v>5</v>
      </c>
      <c r="E354">
        <v>2015</v>
      </c>
      <c r="F354">
        <v>110</v>
      </c>
      <c r="G354" t="s">
        <v>2958</v>
      </c>
      <c r="H354" t="s">
        <v>19</v>
      </c>
      <c r="I354" t="s">
        <v>2863</v>
      </c>
      <c r="J354" t="s">
        <v>72</v>
      </c>
    </row>
    <row r="355" spans="1:10" x14ac:dyDescent="0.35">
      <c r="A355">
        <v>354</v>
      </c>
      <c r="B355" t="s">
        <v>3384</v>
      </c>
      <c r="C355">
        <v>0</v>
      </c>
      <c r="D355">
        <v>2</v>
      </c>
      <c r="E355">
        <v>2018</v>
      </c>
      <c r="F355">
        <v>40</v>
      </c>
      <c r="G355" t="s">
        <v>2866</v>
      </c>
      <c r="H355" t="s">
        <v>19</v>
      </c>
      <c r="I355" t="s">
        <v>2863</v>
      </c>
      <c r="J355" t="s">
        <v>16</v>
      </c>
    </row>
    <row r="356" spans="1:10" x14ac:dyDescent="0.35">
      <c r="A356">
        <v>355</v>
      </c>
      <c r="B356" t="s">
        <v>3385</v>
      </c>
      <c r="C356">
        <v>2</v>
      </c>
      <c r="D356">
        <v>5</v>
      </c>
      <c r="E356">
        <v>2021</v>
      </c>
      <c r="F356">
        <v>8</v>
      </c>
      <c r="G356" t="s">
        <v>2867</v>
      </c>
      <c r="H356" t="s">
        <v>19</v>
      </c>
      <c r="I356" t="s">
        <v>2863</v>
      </c>
      <c r="J356" t="s">
        <v>19</v>
      </c>
    </row>
    <row r="357" spans="1:10" x14ac:dyDescent="0.35">
      <c r="A357">
        <v>356</v>
      </c>
      <c r="B357" t="s">
        <v>3386</v>
      </c>
      <c r="C357">
        <v>1</v>
      </c>
      <c r="D357">
        <v>1</v>
      </c>
      <c r="E357">
        <v>2023</v>
      </c>
      <c r="F357">
        <v>0</v>
      </c>
      <c r="G357" t="s">
        <v>2951</v>
      </c>
      <c r="H357" t="s">
        <v>2873</v>
      </c>
      <c r="I357" t="s">
        <v>2874</v>
      </c>
      <c r="J357" t="s">
        <v>45</v>
      </c>
    </row>
    <row r="358" spans="1:10" x14ac:dyDescent="0.35">
      <c r="A358">
        <v>357</v>
      </c>
      <c r="B358" t="s">
        <v>3387</v>
      </c>
      <c r="C358">
        <v>2</v>
      </c>
      <c r="D358">
        <v>6</v>
      </c>
      <c r="E358">
        <v>2023</v>
      </c>
      <c r="F358">
        <v>0</v>
      </c>
      <c r="G358" t="s">
        <v>2926</v>
      </c>
      <c r="H358" t="s">
        <v>2873</v>
      </c>
      <c r="I358" t="s">
        <v>2874</v>
      </c>
      <c r="J358" t="s">
        <v>16</v>
      </c>
    </row>
    <row r="359" spans="1:10" x14ac:dyDescent="0.35">
      <c r="A359">
        <v>358</v>
      </c>
      <c r="B359" t="s">
        <v>3388</v>
      </c>
      <c r="C359">
        <v>0</v>
      </c>
      <c r="D359">
        <v>2</v>
      </c>
      <c r="E359">
        <v>2022</v>
      </c>
      <c r="F359">
        <v>7</v>
      </c>
      <c r="G359" t="s">
        <v>2926</v>
      </c>
      <c r="H359" t="s">
        <v>2873</v>
      </c>
      <c r="I359" t="s">
        <v>2874</v>
      </c>
      <c r="J359" t="s">
        <v>16</v>
      </c>
    </row>
    <row r="360" spans="1:10" x14ac:dyDescent="0.35">
      <c r="A360">
        <v>359</v>
      </c>
      <c r="B360" t="s">
        <v>3389</v>
      </c>
      <c r="C360">
        <v>1</v>
      </c>
      <c r="D360">
        <v>10</v>
      </c>
      <c r="E360">
        <v>2018</v>
      </c>
      <c r="F360">
        <v>26</v>
      </c>
      <c r="G360" t="s">
        <v>2975</v>
      </c>
      <c r="H360" t="s">
        <v>19</v>
      </c>
      <c r="I360" t="s">
        <v>2863</v>
      </c>
      <c r="J360" t="s">
        <v>16</v>
      </c>
    </row>
    <row r="361" spans="1:10" x14ac:dyDescent="0.35">
      <c r="A361">
        <v>360</v>
      </c>
      <c r="B361" t="s">
        <v>3390</v>
      </c>
      <c r="C361">
        <v>0</v>
      </c>
      <c r="D361">
        <v>3</v>
      </c>
      <c r="E361">
        <v>2015</v>
      </c>
      <c r="F361">
        <v>23</v>
      </c>
      <c r="G361" t="s">
        <v>2976</v>
      </c>
      <c r="H361" t="s">
        <v>19</v>
      </c>
      <c r="I361" t="s">
        <v>2863</v>
      </c>
      <c r="J361" t="s">
        <v>19</v>
      </c>
    </row>
    <row r="362" spans="1:10" x14ac:dyDescent="0.35">
      <c r="A362">
        <v>361</v>
      </c>
      <c r="B362" t="s">
        <v>3391</v>
      </c>
      <c r="C362">
        <v>5</v>
      </c>
      <c r="D362">
        <v>5</v>
      </c>
      <c r="E362">
        <v>2014</v>
      </c>
      <c r="F362">
        <v>21</v>
      </c>
      <c r="G362" t="s">
        <v>2894</v>
      </c>
      <c r="H362" t="s">
        <v>2895</v>
      </c>
      <c r="I362" t="s">
        <v>2874</v>
      </c>
      <c r="J362" t="s">
        <v>231</v>
      </c>
    </row>
    <row r="363" spans="1:10" x14ac:dyDescent="0.35">
      <c r="A363">
        <v>362</v>
      </c>
      <c r="B363" t="s">
        <v>3392</v>
      </c>
      <c r="C363">
        <v>4</v>
      </c>
      <c r="D363">
        <v>5</v>
      </c>
      <c r="E363">
        <v>2020</v>
      </c>
      <c r="F363">
        <v>24</v>
      </c>
      <c r="G363" t="s">
        <v>2882</v>
      </c>
      <c r="H363" t="s">
        <v>19</v>
      </c>
      <c r="I363" t="s">
        <v>2863</v>
      </c>
      <c r="J363" t="s">
        <v>157</v>
      </c>
    </row>
    <row r="364" spans="1:10" x14ac:dyDescent="0.35">
      <c r="A364">
        <v>363</v>
      </c>
      <c r="B364" t="s">
        <v>3393</v>
      </c>
      <c r="C364">
        <v>4</v>
      </c>
      <c r="D364">
        <v>5</v>
      </c>
      <c r="E364">
        <v>2014</v>
      </c>
      <c r="F364">
        <v>41</v>
      </c>
      <c r="G364" t="s">
        <v>2904</v>
      </c>
      <c r="H364" t="s">
        <v>93</v>
      </c>
      <c r="I364" t="s">
        <v>2865</v>
      </c>
      <c r="J364" t="s">
        <v>157</v>
      </c>
    </row>
    <row r="365" spans="1:10" x14ac:dyDescent="0.35">
      <c r="A365">
        <v>364</v>
      </c>
      <c r="B365" t="s">
        <v>3394</v>
      </c>
      <c r="C365">
        <v>2</v>
      </c>
      <c r="D365">
        <v>4</v>
      </c>
      <c r="E365">
        <v>2021</v>
      </c>
      <c r="F365">
        <v>95</v>
      </c>
      <c r="G365" t="s">
        <v>2862</v>
      </c>
      <c r="H365" t="s">
        <v>19</v>
      </c>
      <c r="I365" t="s">
        <v>2863</v>
      </c>
      <c r="J365" t="s">
        <v>157</v>
      </c>
    </row>
    <row r="366" spans="1:10" x14ac:dyDescent="0.35">
      <c r="A366">
        <v>365</v>
      </c>
      <c r="B366" t="s">
        <v>3395</v>
      </c>
      <c r="C366">
        <v>9</v>
      </c>
      <c r="D366">
        <v>13</v>
      </c>
      <c r="E366">
        <v>2017</v>
      </c>
      <c r="F366">
        <v>14</v>
      </c>
      <c r="G366" t="s">
        <v>2914</v>
      </c>
      <c r="H366" t="s">
        <v>2873</v>
      </c>
      <c r="I366" t="s">
        <v>2874</v>
      </c>
      <c r="J366" t="s">
        <v>19</v>
      </c>
    </row>
    <row r="367" spans="1:10" x14ac:dyDescent="0.35">
      <c r="A367">
        <v>366</v>
      </c>
      <c r="B367" t="s">
        <v>3396</v>
      </c>
      <c r="C367">
        <v>1</v>
      </c>
      <c r="D367">
        <v>1</v>
      </c>
      <c r="E367">
        <v>2023</v>
      </c>
      <c r="F367">
        <v>4</v>
      </c>
      <c r="G367" t="s">
        <v>2952</v>
      </c>
      <c r="H367" t="s">
        <v>2880</v>
      </c>
      <c r="I367" t="s">
        <v>2874</v>
      </c>
      <c r="J367" t="s">
        <v>5</v>
      </c>
    </row>
    <row r="368" spans="1:10" x14ac:dyDescent="0.35">
      <c r="A368">
        <v>367</v>
      </c>
      <c r="B368" t="s">
        <v>3397</v>
      </c>
      <c r="C368" t="s">
        <v>3762</v>
      </c>
    </row>
    <row r="369" spans="1:10" x14ac:dyDescent="0.35">
      <c r="A369">
        <v>368</v>
      </c>
      <c r="B369" t="s">
        <v>3398</v>
      </c>
      <c r="C369">
        <v>2</v>
      </c>
      <c r="D369">
        <v>2</v>
      </c>
      <c r="E369">
        <v>2023</v>
      </c>
      <c r="F369">
        <v>1</v>
      </c>
      <c r="G369" t="s">
        <v>2866</v>
      </c>
      <c r="H369" t="s">
        <v>19</v>
      </c>
      <c r="I369" t="s">
        <v>2863</v>
      </c>
      <c r="J369" t="s">
        <v>5</v>
      </c>
    </row>
    <row r="370" spans="1:10" x14ac:dyDescent="0.35">
      <c r="A370">
        <v>369</v>
      </c>
      <c r="B370" t="s">
        <v>3399</v>
      </c>
      <c r="C370">
        <v>3</v>
      </c>
      <c r="D370">
        <v>6</v>
      </c>
      <c r="E370">
        <v>2022</v>
      </c>
      <c r="F370">
        <v>5</v>
      </c>
      <c r="G370" t="s">
        <v>2942</v>
      </c>
      <c r="H370" t="s">
        <v>2902</v>
      </c>
      <c r="I370" t="s">
        <v>2885</v>
      </c>
      <c r="J370" t="s">
        <v>5</v>
      </c>
    </row>
    <row r="371" spans="1:10" x14ac:dyDescent="0.35">
      <c r="A371">
        <v>370</v>
      </c>
      <c r="B371" t="s">
        <v>3400</v>
      </c>
      <c r="C371">
        <v>3</v>
      </c>
      <c r="D371">
        <v>3</v>
      </c>
      <c r="E371">
        <v>2023</v>
      </c>
      <c r="F371">
        <v>5</v>
      </c>
      <c r="G371" t="s">
        <v>2926</v>
      </c>
      <c r="H371" t="s">
        <v>2873</v>
      </c>
      <c r="I371" t="s">
        <v>2874</v>
      </c>
      <c r="J371" t="s">
        <v>189</v>
      </c>
    </row>
    <row r="372" spans="1:10" x14ac:dyDescent="0.35">
      <c r="A372">
        <v>371</v>
      </c>
      <c r="B372" t="s">
        <v>3401</v>
      </c>
      <c r="C372">
        <v>2</v>
      </c>
      <c r="D372">
        <v>5</v>
      </c>
      <c r="E372">
        <v>2022</v>
      </c>
      <c r="F372">
        <v>15</v>
      </c>
      <c r="G372" t="s">
        <v>2900</v>
      </c>
      <c r="H372" t="s">
        <v>2880</v>
      </c>
      <c r="I372" t="s">
        <v>2874</v>
      </c>
      <c r="J372" t="s">
        <v>93</v>
      </c>
    </row>
    <row r="373" spans="1:10" x14ac:dyDescent="0.35">
      <c r="A373">
        <v>372</v>
      </c>
      <c r="B373" t="s">
        <v>3402</v>
      </c>
      <c r="C373">
        <v>3</v>
      </c>
      <c r="D373">
        <v>8</v>
      </c>
      <c r="E373">
        <v>2017</v>
      </c>
      <c r="F373">
        <v>40</v>
      </c>
      <c r="G373" t="s">
        <v>2977</v>
      </c>
      <c r="H373" t="s">
        <v>93</v>
      </c>
      <c r="I373" t="s">
        <v>2865</v>
      </c>
      <c r="J373" t="s">
        <v>35</v>
      </c>
    </row>
    <row r="374" spans="1:10" x14ac:dyDescent="0.35">
      <c r="A374">
        <v>373</v>
      </c>
      <c r="B374" t="s">
        <v>3403</v>
      </c>
      <c r="C374">
        <v>1</v>
      </c>
      <c r="D374">
        <v>7</v>
      </c>
      <c r="E374">
        <v>2023</v>
      </c>
      <c r="F374">
        <v>1</v>
      </c>
      <c r="G374" t="s">
        <v>2928</v>
      </c>
      <c r="H374" t="s">
        <v>19</v>
      </c>
      <c r="I374" t="s">
        <v>2863</v>
      </c>
      <c r="J374" t="s">
        <v>189</v>
      </c>
    </row>
    <row r="375" spans="1:10" x14ac:dyDescent="0.35">
      <c r="A375">
        <v>374</v>
      </c>
      <c r="B375" t="s">
        <v>3404</v>
      </c>
      <c r="C375">
        <v>6</v>
      </c>
      <c r="D375">
        <v>6</v>
      </c>
      <c r="E375">
        <v>2017</v>
      </c>
      <c r="F375">
        <v>147</v>
      </c>
      <c r="G375" t="s">
        <v>2862</v>
      </c>
      <c r="H375" t="s">
        <v>19</v>
      </c>
      <c r="I375" t="s">
        <v>2863</v>
      </c>
      <c r="J375" t="s">
        <v>157</v>
      </c>
    </row>
    <row r="376" spans="1:10" x14ac:dyDescent="0.35">
      <c r="A376">
        <v>375</v>
      </c>
      <c r="B376" t="s">
        <v>3405</v>
      </c>
      <c r="C376">
        <v>3</v>
      </c>
      <c r="D376">
        <v>3</v>
      </c>
      <c r="E376">
        <v>2022</v>
      </c>
      <c r="F376">
        <v>6</v>
      </c>
      <c r="G376" t="s">
        <v>2871</v>
      </c>
      <c r="H376" t="s">
        <v>19</v>
      </c>
      <c r="I376" t="s">
        <v>2863</v>
      </c>
      <c r="J376" t="s">
        <v>189</v>
      </c>
    </row>
    <row r="377" spans="1:10" x14ac:dyDescent="0.35">
      <c r="A377">
        <v>376</v>
      </c>
      <c r="B377" t="s">
        <v>3406</v>
      </c>
      <c r="C377">
        <v>5</v>
      </c>
      <c r="D377">
        <v>6</v>
      </c>
      <c r="E377">
        <v>2022</v>
      </c>
      <c r="F377">
        <v>35</v>
      </c>
      <c r="G377" t="s">
        <v>2872</v>
      </c>
      <c r="H377" t="s">
        <v>2873</v>
      </c>
      <c r="I377" t="s">
        <v>2874</v>
      </c>
      <c r="J377" t="s">
        <v>231</v>
      </c>
    </row>
    <row r="378" spans="1:10" x14ac:dyDescent="0.35">
      <c r="A378">
        <v>377</v>
      </c>
      <c r="B378" t="s">
        <v>3407</v>
      </c>
      <c r="C378">
        <v>2</v>
      </c>
      <c r="D378">
        <v>3</v>
      </c>
      <c r="E378">
        <v>2017</v>
      </c>
      <c r="F378">
        <v>2</v>
      </c>
      <c r="G378" t="s">
        <v>2921</v>
      </c>
      <c r="H378" t="s">
        <v>2978</v>
      </c>
      <c r="I378" t="s">
        <v>2885</v>
      </c>
      <c r="J378" t="s">
        <v>231</v>
      </c>
    </row>
    <row r="379" spans="1:10" x14ac:dyDescent="0.35">
      <c r="A379">
        <v>378</v>
      </c>
      <c r="B379" t="s">
        <v>3408</v>
      </c>
      <c r="C379">
        <v>0</v>
      </c>
      <c r="D379">
        <v>20</v>
      </c>
      <c r="E379">
        <v>2017</v>
      </c>
      <c r="F379">
        <v>145</v>
      </c>
      <c r="G379" t="s">
        <v>2936</v>
      </c>
      <c r="H379" t="s">
        <v>19</v>
      </c>
      <c r="I379" t="s">
        <v>2863</v>
      </c>
      <c r="J379" t="s">
        <v>98</v>
      </c>
    </row>
    <row r="380" spans="1:10" x14ac:dyDescent="0.35">
      <c r="A380">
        <v>379</v>
      </c>
      <c r="B380" t="s">
        <v>3409</v>
      </c>
      <c r="C380">
        <v>2</v>
      </c>
      <c r="D380">
        <v>2</v>
      </c>
      <c r="E380">
        <v>2020</v>
      </c>
      <c r="F380">
        <v>5</v>
      </c>
      <c r="G380" t="s">
        <v>2894</v>
      </c>
      <c r="H380" t="s">
        <v>2895</v>
      </c>
      <c r="I380" t="s">
        <v>2874</v>
      </c>
      <c r="J380" t="s">
        <v>189</v>
      </c>
    </row>
    <row r="381" spans="1:10" x14ac:dyDescent="0.35">
      <c r="A381">
        <v>380</v>
      </c>
      <c r="B381" t="s">
        <v>3410</v>
      </c>
      <c r="C381">
        <v>3</v>
      </c>
      <c r="D381">
        <v>3</v>
      </c>
      <c r="E381">
        <v>2018</v>
      </c>
      <c r="F381">
        <v>2</v>
      </c>
      <c r="G381" t="s">
        <v>2959</v>
      </c>
      <c r="H381" t="s">
        <v>93</v>
      </c>
      <c r="I381" t="s">
        <v>2865</v>
      </c>
      <c r="J381" t="s">
        <v>231</v>
      </c>
    </row>
    <row r="382" spans="1:10" x14ac:dyDescent="0.35">
      <c r="A382">
        <v>381</v>
      </c>
      <c r="B382" t="s">
        <v>3411</v>
      </c>
      <c r="C382">
        <v>0</v>
      </c>
      <c r="D382">
        <v>2</v>
      </c>
      <c r="E382">
        <v>2015</v>
      </c>
      <c r="F382">
        <v>13</v>
      </c>
      <c r="G382" t="s">
        <v>2979</v>
      </c>
      <c r="H382" t="s">
        <v>2880</v>
      </c>
      <c r="I382" t="s">
        <v>2874</v>
      </c>
      <c r="J382" t="s">
        <v>19</v>
      </c>
    </row>
    <row r="383" spans="1:10" x14ac:dyDescent="0.35">
      <c r="A383">
        <v>382</v>
      </c>
      <c r="B383" t="s">
        <v>3412</v>
      </c>
      <c r="C383">
        <v>9</v>
      </c>
      <c r="D383">
        <v>9</v>
      </c>
      <c r="E383">
        <v>2022</v>
      </c>
      <c r="F383">
        <v>9</v>
      </c>
      <c r="G383" t="s">
        <v>2915</v>
      </c>
      <c r="H383" t="s">
        <v>2916</v>
      </c>
      <c r="I383" t="s">
        <v>2908</v>
      </c>
      <c r="J383" t="s">
        <v>45</v>
      </c>
    </row>
    <row r="384" spans="1:10" x14ac:dyDescent="0.35">
      <c r="A384">
        <v>383</v>
      </c>
      <c r="B384" t="s">
        <v>3413</v>
      </c>
      <c r="C384">
        <v>0</v>
      </c>
      <c r="D384">
        <v>4</v>
      </c>
      <c r="E384">
        <v>2016</v>
      </c>
      <c r="F384">
        <v>78</v>
      </c>
      <c r="G384" t="s">
        <v>2967</v>
      </c>
      <c r="H384" t="s">
        <v>2873</v>
      </c>
      <c r="I384" t="s">
        <v>2874</v>
      </c>
      <c r="J384" t="s">
        <v>352</v>
      </c>
    </row>
    <row r="385" spans="1:10" x14ac:dyDescent="0.35">
      <c r="A385">
        <v>384</v>
      </c>
      <c r="B385" t="s">
        <v>3414</v>
      </c>
      <c r="C385">
        <v>0</v>
      </c>
      <c r="D385">
        <v>3</v>
      </c>
      <c r="E385">
        <v>2020</v>
      </c>
      <c r="F385">
        <v>22</v>
      </c>
      <c r="G385" t="s">
        <v>2877</v>
      </c>
      <c r="H385" t="s">
        <v>19</v>
      </c>
      <c r="I385" t="s">
        <v>2863</v>
      </c>
      <c r="J385" t="s">
        <v>72</v>
      </c>
    </row>
    <row r="386" spans="1:10" x14ac:dyDescent="0.35">
      <c r="A386">
        <v>385</v>
      </c>
      <c r="B386" t="s">
        <v>3415</v>
      </c>
      <c r="C386">
        <v>4</v>
      </c>
      <c r="D386">
        <v>6</v>
      </c>
      <c r="E386">
        <v>2020</v>
      </c>
      <c r="F386">
        <v>90</v>
      </c>
      <c r="G386" t="s">
        <v>2903</v>
      </c>
      <c r="H386" t="s">
        <v>19</v>
      </c>
      <c r="I386" t="s">
        <v>2863</v>
      </c>
      <c r="J386" t="s">
        <v>261</v>
      </c>
    </row>
    <row r="387" spans="1:10" x14ac:dyDescent="0.35">
      <c r="A387">
        <v>386</v>
      </c>
      <c r="B387" t="s">
        <v>3416</v>
      </c>
      <c r="C387">
        <v>0</v>
      </c>
      <c r="D387">
        <v>1</v>
      </c>
      <c r="E387">
        <v>2020</v>
      </c>
      <c r="F387">
        <v>6</v>
      </c>
      <c r="G387" t="s">
        <v>2929</v>
      </c>
      <c r="H387" t="s">
        <v>2930</v>
      </c>
      <c r="I387" t="s">
        <v>2885</v>
      </c>
      <c r="J387" t="s">
        <v>48</v>
      </c>
    </row>
    <row r="388" spans="1:10" x14ac:dyDescent="0.35">
      <c r="A388">
        <v>387</v>
      </c>
      <c r="B388" t="s">
        <v>3417</v>
      </c>
      <c r="C388">
        <v>1</v>
      </c>
      <c r="D388">
        <v>1</v>
      </c>
      <c r="E388">
        <v>2021</v>
      </c>
      <c r="F388">
        <v>3</v>
      </c>
      <c r="G388" t="s">
        <v>2969</v>
      </c>
      <c r="H388" t="s">
        <v>2880</v>
      </c>
      <c r="I388" t="s">
        <v>2874</v>
      </c>
      <c r="J388" t="s">
        <v>45</v>
      </c>
    </row>
    <row r="389" spans="1:10" x14ac:dyDescent="0.35">
      <c r="A389">
        <v>388</v>
      </c>
      <c r="B389" t="s">
        <v>3418</v>
      </c>
      <c r="C389">
        <v>2</v>
      </c>
      <c r="D389">
        <v>5</v>
      </c>
      <c r="E389">
        <v>2014</v>
      </c>
      <c r="F389">
        <v>8</v>
      </c>
      <c r="G389" t="s">
        <v>2921</v>
      </c>
      <c r="H389" t="s">
        <v>2978</v>
      </c>
      <c r="I389" t="s">
        <v>2885</v>
      </c>
      <c r="J389" t="s">
        <v>261</v>
      </c>
    </row>
    <row r="390" spans="1:10" x14ac:dyDescent="0.35">
      <c r="A390">
        <v>389</v>
      </c>
      <c r="B390" t="s">
        <v>3419</v>
      </c>
      <c r="C390">
        <v>1</v>
      </c>
      <c r="D390">
        <v>4</v>
      </c>
      <c r="E390">
        <v>2019</v>
      </c>
      <c r="F390">
        <v>16</v>
      </c>
      <c r="G390" t="s">
        <v>2912</v>
      </c>
      <c r="H390" t="s">
        <v>19</v>
      </c>
      <c r="I390" t="s">
        <v>2863</v>
      </c>
      <c r="J390" t="s">
        <v>56</v>
      </c>
    </row>
    <row r="391" spans="1:10" x14ac:dyDescent="0.35">
      <c r="A391">
        <v>390</v>
      </c>
      <c r="B391" t="s">
        <v>3420</v>
      </c>
      <c r="C391">
        <v>0</v>
      </c>
      <c r="D391">
        <v>4</v>
      </c>
      <c r="E391">
        <v>2020</v>
      </c>
      <c r="F391">
        <v>19</v>
      </c>
      <c r="G391" t="s">
        <v>2869</v>
      </c>
      <c r="H391" t="s">
        <v>93</v>
      </c>
      <c r="I391" t="s">
        <v>2865</v>
      </c>
      <c r="J391" t="s">
        <v>144</v>
      </c>
    </row>
    <row r="392" spans="1:10" x14ac:dyDescent="0.35">
      <c r="A392">
        <v>391</v>
      </c>
      <c r="B392" t="s">
        <v>3421</v>
      </c>
      <c r="C392">
        <v>3</v>
      </c>
      <c r="D392">
        <v>3</v>
      </c>
      <c r="E392">
        <v>2022</v>
      </c>
      <c r="F392">
        <v>3</v>
      </c>
      <c r="G392" t="s">
        <v>2871</v>
      </c>
      <c r="H392" t="s">
        <v>19</v>
      </c>
      <c r="I392" t="s">
        <v>2863</v>
      </c>
      <c r="J392" t="s">
        <v>189</v>
      </c>
    </row>
    <row r="393" spans="1:10" x14ac:dyDescent="0.35">
      <c r="A393">
        <v>392</v>
      </c>
      <c r="B393" t="s">
        <v>3422</v>
      </c>
      <c r="C393">
        <v>4</v>
      </c>
      <c r="D393">
        <v>14</v>
      </c>
      <c r="E393">
        <v>2018</v>
      </c>
      <c r="F393">
        <v>20</v>
      </c>
      <c r="G393" t="s">
        <v>2980</v>
      </c>
      <c r="H393" t="s">
        <v>2873</v>
      </c>
      <c r="I393" t="s">
        <v>2874</v>
      </c>
      <c r="J393" t="s">
        <v>19</v>
      </c>
    </row>
    <row r="394" spans="1:10" x14ac:dyDescent="0.35">
      <c r="A394">
        <v>393</v>
      </c>
      <c r="B394" t="s">
        <v>3423</v>
      </c>
      <c r="C394">
        <v>5</v>
      </c>
      <c r="D394">
        <v>7</v>
      </c>
      <c r="E394">
        <v>2015</v>
      </c>
      <c r="F394">
        <v>37</v>
      </c>
      <c r="G394" t="s">
        <v>2981</v>
      </c>
      <c r="H394" t="s">
        <v>19</v>
      </c>
      <c r="I394" t="s">
        <v>2863</v>
      </c>
      <c r="J394" t="s">
        <v>157</v>
      </c>
    </row>
    <row r="395" spans="1:10" x14ac:dyDescent="0.35">
      <c r="A395">
        <v>394</v>
      </c>
      <c r="B395" t="s">
        <v>3424</v>
      </c>
      <c r="C395">
        <v>3</v>
      </c>
      <c r="D395">
        <v>3</v>
      </c>
      <c r="E395">
        <v>2022</v>
      </c>
      <c r="F395">
        <v>0</v>
      </c>
      <c r="G395" t="s">
        <v>2982</v>
      </c>
      <c r="H395" t="s">
        <v>2983</v>
      </c>
      <c r="I395" t="s">
        <v>2908</v>
      </c>
      <c r="J395" t="s">
        <v>189</v>
      </c>
    </row>
    <row r="396" spans="1:10" x14ac:dyDescent="0.35">
      <c r="A396">
        <v>395</v>
      </c>
      <c r="B396" t="s">
        <v>3425</v>
      </c>
      <c r="C396">
        <v>7</v>
      </c>
      <c r="D396">
        <v>7</v>
      </c>
      <c r="E396">
        <v>2021</v>
      </c>
      <c r="F396">
        <v>0</v>
      </c>
      <c r="G396" t="s">
        <v>2931</v>
      </c>
      <c r="H396" t="s">
        <v>2897</v>
      </c>
      <c r="I396" t="s">
        <v>2874</v>
      </c>
      <c r="J396" t="s">
        <v>231</v>
      </c>
    </row>
    <row r="397" spans="1:10" x14ac:dyDescent="0.35">
      <c r="A397">
        <v>396</v>
      </c>
      <c r="B397" t="s">
        <v>3426</v>
      </c>
      <c r="C397">
        <v>2</v>
      </c>
      <c r="D397">
        <v>3</v>
      </c>
      <c r="E397">
        <v>2017</v>
      </c>
      <c r="F397">
        <v>64</v>
      </c>
      <c r="G397" t="s">
        <v>2866</v>
      </c>
      <c r="H397" t="s">
        <v>19</v>
      </c>
      <c r="I397" t="s">
        <v>2863</v>
      </c>
      <c r="J397" t="s">
        <v>157</v>
      </c>
    </row>
    <row r="398" spans="1:10" x14ac:dyDescent="0.35">
      <c r="A398">
        <v>397</v>
      </c>
      <c r="B398" t="s">
        <v>3427</v>
      </c>
      <c r="C398">
        <v>0</v>
      </c>
      <c r="D398">
        <v>5</v>
      </c>
      <c r="E398">
        <v>2020</v>
      </c>
      <c r="F398">
        <v>0</v>
      </c>
      <c r="G398" t="s">
        <v>2984</v>
      </c>
      <c r="H398" t="s">
        <v>2892</v>
      </c>
      <c r="I398" t="s">
        <v>2893</v>
      </c>
      <c r="J398" t="s">
        <v>72</v>
      </c>
    </row>
    <row r="399" spans="1:10" x14ac:dyDescent="0.35">
      <c r="A399">
        <v>398</v>
      </c>
      <c r="B399" t="s">
        <v>3428</v>
      </c>
      <c r="C399">
        <v>3</v>
      </c>
      <c r="D399">
        <v>4</v>
      </c>
      <c r="E399">
        <v>2017</v>
      </c>
      <c r="F399">
        <v>23</v>
      </c>
      <c r="G399" t="s">
        <v>2927</v>
      </c>
      <c r="H399" t="s">
        <v>2880</v>
      </c>
      <c r="I399" t="s">
        <v>2874</v>
      </c>
      <c r="J399" t="s">
        <v>189</v>
      </c>
    </row>
    <row r="400" spans="1:10" x14ac:dyDescent="0.35">
      <c r="A400">
        <v>399</v>
      </c>
      <c r="B400" t="s">
        <v>3429</v>
      </c>
      <c r="C400">
        <v>0</v>
      </c>
      <c r="D400">
        <v>4</v>
      </c>
      <c r="E400">
        <v>2015</v>
      </c>
      <c r="F400">
        <v>0</v>
      </c>
      <c r="G400" t="s">
        <v>2894</v>
      </c>
      <c r="H400" t="s">
        <v>2895</v>
      </c>
      <c r="I400" t="s">
        <v>2874</v>
      </c>
      <c r="J400" t="s">
        <v>22</v>
      </c>
    </row>
    <row r="401" spans="1:10" x14ac:dyDescent="0.35">
      <c r="A401">
        <v>400</v>
      </c>
      <c r="B401" t="s">
        <v>3430</v>
      </c>
      <c r="C401">
        <v>0</v>
      </c>
      <c r="D401">
        <v>3</v>
      </c>
      <c r="E401">
        <v>2014</v>
      </c>
      <c r="F401">
        <v>129</v>
      </c>
      <c r="G401" t="s">
        <v>2924</v>
      </c>
      <c r="H401" t="s">
        <v>19</v>
      </c>
      <c r="I401" t="s">
        <v>2863</v>
      </c>
      <c r="J401" t="s">
        <v>261</v>
      </c>
    </row>
    <row r="402" spans="1:10" x14ac:dyDescent="0.35">
      <c r="A402">
        <v>401</v>
      </c>
      <c r="B402" t="s">
        <v>3431</v>
      </c>
      <c r="C402">
        <v>3</v>
      </c>
      <c r="D402">
        <v>3</v>
      </c>
      <c r="E402">
        <v>2020</v>
      </c>
      <c r="F402">
        <v>2</v>
      </c>
      <c r="G402" t="s">
        <v>2985</v>
      </c>
      <c r="H402" t="s">
        <v>2986</v>
      </c>
      <c r="I402" t="s">
        <v>2987</v>
      </c>
      <c r="J402" t="s">
        <v>231</v>
      </c>
    </row>
    <row r="403" spans="1:10" x14ac:dyDescent="0.35">
      <c r="A403">
        <v>402</v>
      </c>
      <c r="B403" t="s">
        <v>3432</v>
      </c>
      <c r="C403">
        <v>4</v>
      </c>
      <c r="D403">
        <v>4</v>
      </c>
      <c r="E403">
        <v>2019</v>
      </c>
      <c r="F403">
        <v>7</v>
      </c>
      <c r="G403" t="s">
        <v>2869</v>
      </c>
      <c r="H403" t="s">
        <v>93</v>
      </c>
      <c r="I403" t="s">
        <v>2865</v>
      </c>
      <c r="J403" t="s">
        <v>231</v>
      </c>
    </row>
    <row r="404" spans="1:10" x14ac:dyDescent="0.35">
      <c r="A404">
        <v>403</v>
      </c>
      <c r="B404" t="s">
        <v>3433</v>
      </c>
      <c r="C404">
        <v>5</v>
      </c>
      <c r="D404">
        <v>6</v>
      </c>
      <c r="E404">
        <v>2022</v>
      </c>
      <c r="F404">
        <v>18</v>
      </c>
      <c r="G404" t="s">
        <v>2871</v>
      </c>
      <c r="H404" t="s">
        <v>19</v>
      </c>
      <c r="I404" t="s">
        <v>2863</v>
      </c>
      <c r="J404" t="s">
        <v>231</v>
      </c>
    </row>
    <row r="405" spans="1:10" x14ac:dyDescent="0.35">
      <c r="A405">
        <v>404</v>
      </c>
      <c r="B405" t="s">
        <v>3434</v>
      </c>
      <c r="C405">
        <v>0</v>
      </c>
      <c r="D405">
        <v>3</v>
      </c>
      <c r="E405">
        <v>2021</v>
      </c>
      <c r="F405">
        <v>8</v>
      </c>
      <c r="G405" t="s">
        <v>2872</v>
      </c>
      <c r="H405" t="s">
        <v>2873</v>
      </c>
      <c r="I405" t="s">
        <v>2874</v>
      </c>
      <c r="J405" t="s">
        <v>48</v>
      </c>
    </row>
    <row r="406" spans="1:10" x14ac:dyDescent="0.35">
      <c r="A406">
        <v>405</v>
      </c>
      <c r="B406" t="s">
        <v>3435</v>
      </c>
      <c r="C406">
        <v>3</v>
      </c>
      <c r="D406">
        <v>5</v>
      </c>
      <c r="E406">
        <v>2016</v>
      </c>
      <c r="F406">
        <v>5</v>
      </c>
      <c r="G406" t="s">
        <v>2866</v>
      </c>
      <c r="H406" t="s">
        <v>19</v>
      </c>
      <c r="I406" t="s">
        <v>2863</v>
      </c>
      <c r="J406" t="s">
        <v>231</v>
      </c>
    </row>
    <row r="407" spans="1:10" x14ac:dyDescent="0.35">
      <c r="A407">
        <v>406</v>
      </c>
      <c r="B407" t="s">
        <v>3436</v>
      </c>
      <c r="C407">
        <v>0</v>
      </c>
      <c r="D407">
        <v>5</v>
      </c>
      <c r="E407">
        <v>2021</v>
      </c>
      <c r="F407">
        <v>3</v>
      </c>
      <c r="G407" t="s">
        <v>2988</v>
      </c>
      <c r="H407" t="s">
        <v>2873</v>
      </c>
      <c r="I407" t="s">
        <v>2874</v>
      </c>
      <c r="J407" t="s">
        <v>25</v>
      </c>
    </row>
    <row r="408" spans="1:10" x14ac:dyDescent="0.35">
      <c r="A408">
        <v>407</v>
      </c>
      <c r="B408" t="s">
        <v>3437</v>
      </c>
      <c r="C408">
        <v>1</v>
      </c>
      <c r="D408">
        <v>7</v>
      </c>
      <c r="E408">
        <v>2020</v>
      </c>
      <c r="F408">
        <v>40</v>
      </c>
      <c r="G408" t="s">
        <v>2900</v>
      </c>
      <c r="H408" t="s">
        <v>2880</v>
      </c>
      <c r="I408" t="s">
        <v>2874</v>
      </c>
      <c r="J408" t="s">
        <v>93</v>
      </c>
    </row>
    <row r="409" spans="1:10" x14ac:dyDescent="0.35">
      <c r="A409">
        <v>408</v>
      </c>
      <c r="B409" t="s">
        <v>3438</v>
      </c>
      <c r="C409">
        <v>2</v>
      </c>
      <c r="D409">
        <v>9</v>
      </c>
      <c r="E409">
        <v>2023</v>
      </c>
      <c r="F409">
        <v>1</v>
      </c>
      <c r="G409" t="s">
        <v>2977</v>
      </c>
      <c r="H409" t="s">
        <v>93</v>
      </c>
      <c r="I409" t="s">
        <v>2865</v>
      </c>
      <c r="J409" t="s">
        <v>98</v>
      </c>
    </row>
    <row r="410" spans="1:10" x14ac:dyDescent="0.35">
      <c r="A410">
        <v>409</v>
      </c>
      <c r="B410" t="s">
        <v>3439</v>
      </c>
      <c r="C410">
        <v>1</v>
      </c>
      <c r="D410">
        <v>5</v>
      </c>
      <c r="E410">
        <v>2018</v>
      </c>
      <c r="F410">
        <v>21</v>
      </c>
      <c r="G410" t="s">
        <v>2900</v>
      </c>
      <c r="H410" t="s">
        <v>2880</v>
      </c>
      <c r="I410" t="s">
        <v>2874</v>
      </c>
      <c r="J410" t="s">
        <v>35</v>
      </c>
    </row>
    <row r="411" spans="1:10" x14ac:dyDescent="0.35">
      <c r="A411">
        <v>410</v>
      </c>
      <c r="B411" t="s">
        <v>3440</v>
      </c>
      <c r="C411">
        <v>4</v>
      </c>
      <c r="D411">
        <v>9</v>
      </c>
      <c r="E411">
        <v>2022</v>
      </c>
      <c r="F411">
        <v>13</v>
      </c>
      <c r="G411" t="s">
        <v>2952</v>
      </c>
      <c r="H411" t="s">
        <v>2880</v>
      </c>
      <c r="I411" t="s">
        <v>2874</v>
      </c>
      <c r="J411" t="s">
        <v>517</v>
      </c>
    </row>
    <row r="412" spans="1:10" x14ac:dyDescent="0.35">
      <c r="A412">
        <v>411</v>
      </c>
      <c r="B412" t="s">
        <v>3441</v>
      </c>
      <c r="C412">
        <v>0</v>
      </c>
      <c r="D412">
        <v>12</v>
      </c>
      <c r="E412">
        <v>2019</v>
      </c>
      <c r="F412">
        <v>23</v>
      </c>
      <c r="G412" t="s">
        <v>2989</v>
      </c>
      <c r="H412" t="s">
        <v>19</v>
      </c>
      <c r="I412" t="s">
        <v>2863</v>
      </c>
      <c r="J412" t="s">
        <v>35</v>
      </c>
    </row>
    <row r="413" spans="1:10" x14ac:dyDescent="0.35">
      <c r="A413">
        <v>412</v>
      </c>
      <c r="B413" t="s">
        <v>3442</v>
      </c>
      <c r="C413">
        <v>0</v>
      </c>
      <c r="D413">
        <v>4</v>
      </c>
      <c r="E413">
        <v>2017</v>
      </c>
      <c r="F413">
        <v>24</v>
      </c>
      <c r="G413" t="s">
        <v>2924</v>
      </c>
      <c r="H413" t="s">
        <v>19</v>
      </c>
      <c r="I413" t="s">
        <v>2863</v>
      </c>
      <c r="J413" t="s">
        <v>16</v>
      </c>
    </row>
    <row r="414" spans="1:10" x14ac:dyDescent="0.35">
      <c r="A414">
        <v>413</v>
      </c>
      <c r="B414" t="s">
        <v>3443</v>
      </c>
      <c r="C414">
        <v>0</v>
      </c>
      <c r="D414">
        <v>2</v>
      </c>
      <c r="E414">
        <v>2022</v>
      </c>
      <c r="F414">
        <v>7</v>
      </c>
      <c r="G414" t="s">
        <v>2926</v>
      </c>
      <c r="H414" t="s">
        <v>2873</v>
      </c>
      <c r="I414" t="s">
        <v>2874</v>
      </c>
      <c r="J414" t="s">
        <v>16</v>
      </c>
    </row>
    <row r="415" spans="1:10" x14ac:dyDescent="0.35">
      <c r="A415">
        <v>414</v>
      </c>
      <c r="B415" t="s">
        <v>3444</v>
      </c>
      <c r="C415">
        <v>4</v>
      </c>
      <c r="D415">
        <v>13</v>
      </c>
      <c r="E415">
        <v>2015</v>
      </c>
      <c r="F415">
        <v>45</v>
      </c>
      <c r="G415" t="s">
        <v>2981</v>
      </c>
      <c r="H415" t="s">
        <v>19</v>
      </c>
      <c r="I415" t="s">
        <v>2863</v>
      </c>
      <c r="J415" t="s">
        <v>517</v>
      </c>
    </row>
    <row r="416" spans="1:10" x14ac:dyDescent="0.35">
      <c r="A416">
        <v>415</v>
      </c>
      <c r="B416" t="s">
        <v>3445</v>
      </c>
      <c r="C416">
        <v>2</v>
      </c>
      <c r="D416">
        <v>2</v>
      </c>
      <c r="E416">
        <v>2018</v>
      </c>
      <c r="F416">
        <v>22</v>
      </c>
      <c r="G416" t="s">
        <v>2972</v>
      </c>
      <c r="H416" t="s">
        <v>93</v>
      </c>
      <c r="I416" t="s">
        <v>2865</v>
      </c>
      <c r="J416" t="s">
        <v>189</v>
      </c>
    </row>
    <row r="417" spans="1:10" x14ac:dyDescent="0.35">
      <c r="A417">
        <v>416</v>
      </c>
      <c r="B417" t="s">
        <v>3446</v>
      </c>
      <c r="C417">
        <v>0</v>
      </c>
      <c r="D417">
        <v>10</v>
      </c>
      <c r="E417">
        <v>2020</v>
      </c>
      <c r="F417">
        <v>29</v>
      </c>
      <c r="G417" t="s">
        <v>2924</v>
      </c>
      <c r="H417" t="s">
        <v>19</v>
      </c>
      <c r="I417" t="s">
        <v>2863</v>
      </c>
      <c r="J417" t="s">
        <v>72</v>
      </c>
    </row>
    <row r="418" spans="1:10" x14ac:dyDescent="0.35">
      <c r="A418">
        <v>417</v>
      </c>
      <c r="B418" t="s">
        <v>3447</v>
      </c>
      <c r="C418">
        <v>0</v>
      </c>
      <c r="D418">
        <v>5</v>
      </c>
      <c r="E418">
        <v>2017</v>
      </c>
      <c r="F418">
        <v>13</v>
      </c>
      <c r="G418" t="s">
        <v>2990</v>
      </c>
      <c r="H418" t="s">
        <v>2873</v>
      </c>
      <c r="I418" t="s">
        <v>2874</v>
      </c>
      <c r="J418" t="s">
        <v>56</v>
      </c>
    </row>
    <row r="419" spans="1:10" x14ac:dyDescent="0.35">
      <c r="A419">
        <v>418</v>
      </c>
      <c r="B419" t="s">
        <v>3448</v>
      </c>
      <c r="C419">
        <v>0</v>
      </c>
      <c r="D419">
        <v>4</v>
      </c>
      <c r="E419">
        <v>2019</v>
      </c>
      <c r="F419">
        <v>17</v>
      </c>
      <c r="G419" t="s">
        <v>2877</v>
      </c>
      <c r="H419" t="s">
        <v>19</v>
      </c>
      <c r="I419" t="s">
        <v>2863</v>
      </c>
      <c r="J419" t="s">
        <v>72</v>
      </c>
    </row>
    <row r="420" spans="1:10" x14ac:dyDescent="0.35">
      <c r="A420">
        <v>419</v>
      </c>
      <c r="B420" t="s">
        <v>3449</v>
      </c>
      <c r="C420">
        <v>0</v>
      </c>
      <c r="D420">
        <v>1</v>
      </c>
      <c r="E420">
        <v>2019</v>
      </c>
      <c r="F420">
        <v>22</v>
      </c>
      <c r="G420" t="s">
        <v>2918</v>
      </c>
      <c r="H420" t="s">
        <v>2897</v>
      </c>
      <c r="I420" t="s">
        <v>2874</v>
      </c>
      <c r="J420" t="s">
        <v>16</v>
      </c>
    </row>
    <row r="421" spans="1:10" x14ac:dyDescent="0.35">
      <c r="A421">
        <v>420</v>
      </c>
      <c r="B421" t="s">
        <v>3450</v>
      </c>
      <c r="C421">
        <v>0</v>
      </c>
      <c r="D421">
        <v>4</v>
      </c>
      <c r="E421">
        <v>2019</v>
      </c>
      <c r="F421">
        <v>97</v>
      </c>
      <c r="G421" t="s">
        <v>2924</v>
      </c>
      <c r="H421" t="s">
        <v>19</v>
      </c>
      <c r="I421" t="s">
        <v>2863</v>
      </c>
      <c r="J421" t="s">
        <v>19</v>
      </c>
    </row>
    <row r="422" spans="1:10" x14ac:dyDescent="0.35">
      <c r="A422">
        <v>421</v>
      </c>
      <c r="B422" t="s">
        <v>3451</v>
      </c>
      <c r="C422">
        <v>0</v>
      </c>
      <c r="D422">
        <v>9</v>
      </c>
      <c r="E422">
        <v>2017</v>
      </c>
      <c r="F422">
        <v>44</v>
      </c>
      <c r="G422" t="s">
        <v>2924</v>
      </c>
      <c r="H422" t="s">
        <v>19</v>
      </c>
      <c r="I422" t="s">
        <v>2863</v>
      </c>
      <c r="J422" t="s">
        <v>72</v>
      </c>
    </row>
    <row r="423" spans="1:10" x14ac:dyDescent="0.35">
      <c r="A423">
        <v>422</v>
      </c>
      <c r="B423" t="s">
        <v>3452</v>
      </c>
      <c r="C423">
        <v>0</v>
      </c>
      <c r="D423">
        <v>4</v>
      </c>
      <c r="E423">
        <v>2016</v>
      </c>
      <c r="F423">
        <v>1</v>
      </c>
      <c r="G423" t="s">
        <v>2991</v>
      </c>
      <c r="H423" t="s">
        <v>2884</v>
      </c>
      <c r="I423" t="s">
        <v>2885</v>
      </c>
      <c r="J423" t="s">
        <v>72</v>
      </c>
    </row>
    <row r="424" spans="1:10" x14ac:dyDescent="0.35">
      <c r="A424">
        <v>423</v>
      </c>
      <c r="B424" t="s">
        <v>3453</v>
      </c>
      <c r="C424">
        <v>0</v>
      </c>
      <c r="D424">
        <v>7</v>
      </c>
      <c r="E424">
        <v>2015</v>
      </c>
      <c r="F424">
        <v>46</v>
      </c>
      <c r="G424" t="s">
        <v>2894</v>
      </c>
      <c r="H424" t="s">
        <v>2895</v>
      </c>
      <c r="I424" t="s">
        <v>2874</v>
      </c>
      <c r="J424" t="s">
        <v>72</v>
      </c>
    </row>
    <row r="425" spans="1:10" x14ac:dyDescent="0.35">
      <c r="A425">
        <v>424</v>
      </c>
      <c r="B425" t="s">
        <v>3454</v>
      </c>
      <c r="C425">
        <v>0</v>
      </c>
      <c r="D425">
        <v>5</v>
      </c>
      <c r="E425">
        <v>2023</v>
      </c>
      <c r="F425">
        <v>4</v>
      </c>
      <c r="G425" t="s">
        <v>2988</v>
      </c>
      <c r="H425" t="s">
        <v>2873</v>
      </c>
      <c r="I425" t="s">
        <v>2874</v>
      </c>
      <c r="J425" t="s">
        <v>25</v>
      </c>
    </row>
    <row r="426" spans="1:10" x14ac:dyDescent="0.35">
      <c r="A426">
        <v>425</v>
      </c>
      <c r="B426" t="s">
        <v>3455</v>
      </c>
      <c r="C426">
        <v>0</v>
      </c>
      <c r="D426">
        <v>8</v>
      </c>
      <c r="E426">
        <v>2015</v>
      </c>
      <c r="F426">
        <v>58</v>
      </c>
      <c r="G426" t="s">
        <v>2976</v>
      </c>
      <c r="H426" t="s">
        <v>19</v>
      </c>
      <c r="I426" t="s">
        <v>2863</v>
      </c>
      <c r="J426" t="s">
        <v>19</v>
      </c>
    </row>
    <row r="427" spans="1:10" x14ac:dyDescent="0.35">
      <c r="A427">
        <v>426</v>
      </c>
      <c r="B427" t="s">
        <v>3456</v>
      </c>
      <c r="C427">
        <v>6</v>
      </c>
      <c r="D427">
        <v>8</v>
      </c>
      <c r="E427">
        <v>2016</v>
      </c>
      <c r="F427">
        <v>11</v>
      </c>
      <c r="G427" t="s">
        <v>2900</v>
      </c>
      <c r="H427" t="s">
        <v>2880</v>
      </c>
      <c r="I427" t="s">
        <v>2874</v>
      </c>
      <c r="J427" t="s">
        <v>19</v>
      </c>
    </row>
    <row r="428" spans="1:10" x14ac:dyDescent="0.35">
      <c r="A428">
        <v>427</v>
      </c>
      <c r="B428" t="s">
        <v>3457</v>
      </c>
      <c r="C428">
        <v>0</v>
      </c>
      <c r="D428">
        <v>4</v>
      </c>
      <c r="E428">
        <v>2019</v>
      </c>
      <c r="F428">
        <v>5</v>
      </c>
      <c r="G428" t="s">
        <v>2943</v>
      </c>
      <c r="H428" t="s">
        <v>19</v>
      </c>
      <c r="I428" t="s">
        <v>2863</v>
      </c>
      <c r="J428" t="s">
        <v>72</v>
      </c>
    </row>
    <row r="429" spans="1:10" x14ac:dyDescent="0.35">
      <c r="A429">
        <v>428</v>
      </c>
      <c r="B429" t="s">
        <v>3458</v>
      </c>
      <c r="C429">
        <v>0</v>
      </c>
      <c r="D429">
        <v>9</v>
      </c>
      <c r="E429">
        <v>2015</v>
      </c>
      <c r="F429">
        <v>59</v>
      </c>
      <c r="G429" t="s">
        <v>2948</v>
      </c>
      <c r="H429" t="s">
        <v>19</v>
      </c>
      <c r="I429" t="s">
        <v>2863</v>
      </c>
      <c r="J429" t="s">
        <v>19</v>
      </c>
    </row>
    <row r="430" spans="1:10" x14ac:dyDescent="0.35">
      <c r="A430">
        <v>429</v>
      </c>
      <c r="B430" t="s">
        <v>3459</v>
      </c>
      <c r="C430">
        <v>0</v>
      </c>
      <c r="D430">
        <v>7</v>
      </c>
      <c r="E430">
        <v>2023</v>
      </c>
      <c r="F430">
        <v>5</v>
      </c>
      <c r="G430" t="s">
        <v>2934</v>
      </c>
      <c r="H430" t="s">
        <v>2880</v>
      </c>
      <c r="I430" t="s">
        <v>2874</v>
      </c>
      <c r="J430" t="s">
        <v>72</v>
      </c>
    </row>
    <row r="431" spans="1:10" x14ac:dyDescent="0.35">
      <c r="A431">
        <v>430</v>
      </c>
      <c r="B431" t="s">
        <v>3460</v>
      </c>
      <c r="C431">
        <v>0</v>
      </c>
      <c r="D431">
        <v>6</v>
      </c>
      <c r="E431">
        <v>2020</v>
      </c>
      <c r="F431">
        <v>24</v>
      </c>
      <c r="G431" t="s">
        <v>2864</v>
      </c>
      <c r="H431" t="s">
        <v>93</v>
      </c>
      <c r="I431" t="s">
        <v>2865</v>
      </c>
      <c r="J431" t="s">
        <v>12</v>
      </c>
    </row>
    <row r="432" spans="1:10" x14ac:dyDescent="0.35">
      <c r="A432">
        <v>431</v>
      </c>
      <c r="B432" t="s">
        <v>3461</v>
      </c>
      <c r="C432">
        <v>6</v>
      </c>
      <c r="D432">
        <v>6</v>
      </c>
      <c r="E432">
        <v>2021</v>
      </c>
      <c r="F432">
        <v>2</v>
      </c>
      <c r="G432" t="s">
        <v>2992</v>
      </c>
      <c r="H432" t="s">
        <v>93</v>
      </c>
      <c r="I432" t="s">
        <v>2865</v>
      </c>
      <c r="J432" t="s">
        <v>231</v>
      </c>
    </row>
    <row r="433" spans="1:10" x14ac:dyDescent="0.35">
      <c r="A433">
        <v>432</v>
      </c>
      <c r="B433" t="s">
        <v>3462</v>
      </c>
      <c r="C433">
        <v>3</v>
      </c>
      <c r="D433">
        <v>5</v>
      </c>
      <c r="E433">
        <v>2018</v>
      </c>
      <c r="F433">
        <v>25</v>
      </c>
      <c r="G433" t="s">
        <v>2886</v>
      </c>
      <c r="H433" t="s">
        <v>2880</v>
      </c>
      <c r="I433" t="s">
        <v>2874</v>
      </c>
      <c r="J433" t="s">
        <v>231</v>
      </c>
    </row>
    <row r="434" spans="1:10" x14ac:dyDescent="0.35">
      <c r="A434">
        <v>433</v>
      </c>
      <c r="B434" t="s">
        <v>3463</v>
      </c>
      <c r="C434">
        <v>1</v>
      </c>
      <c r="D434">
        <v>3</v>
      </c>
      <c r="E434">
        <v>2021</v>
      </c>
      <c r="F434">
        <v>24</v>
      </c>
      <c r="G434" t="s">
        <v>2872</v>
      </c>
      <c r="H434" t="s">
        <v>2873</v>
      </c>
      <c r="I434" t="s">
        <v>2874</v>
      </c>
      <c r="J434" t="s">
        <v>16</v>
      </c>
    </row>
    <row r="435" spans="1:10" x14ac:dyDescent="0.35">
      <c r="A435">
        <v>434</v>
      </c>
      <c r="B435" t="s">
        <v>3464</v>
      </c>
      <c r="C435">
        <v>7</v>
      </c>
      <c r="D435">
        <v>8</v>
      </c>
      <c r="E435">
        <v>2019</v>
      </c>
      <c r="F435">
        <v>15</v>
      </c>
      <c r="G435" t="s">
        <v>2894</v>
      </c>
      <c r="H435" t="s">
        <v>2895</v>
      </c>
      <c r="I435" t="s">
        <v>2874</v>
      </c>
      <c r="J435" t="s">
        <v>157</v>
      </c>
    </row>
    <row r="436" spans="1:10" x14ac:dyDescent="0.35">
      <c r="A436">
        <v>435</v>
      </c>
      <c r="B436" t="s">
        <v>3465</v>
      </c>
      <c r="C436">
        <v>0</v>
      </c>
      <c r="D436">
        <v>4</v>
      </c>
      <c r="E436">
        <v>2017</v>
      </c>
      <c r="F436">
        <v>5</v>
      </c>
      <c r="G436" t="s">
        <v>2891</v>
      </c>
      <c r="H436" t="s">
        <v>2892</v>
      </c>
      <c r="I436" t="s">
        <v>2893</v>
      </c>
      <c r="J436" t="s">
        <v>25</v>
      </c>
    </row>
    <row r="437" spans="1:10" x14ac:dyDescent="0.35">
      <c r="A437">
        <v>436</v>
      </c>
      <c r="B437" t="s">
        <v>3466</v>
      </c>
      <c r="C437">
        <v>6</v>
      </c>
      <c r="D437">
        <v>7</v>
      </c>
      <c r="E437">
        <v>2023</v>
      </c>
      <c r="F437">
        <v>7</v>
      </c>
      <c r="G437" t="s">
        <v>2926</v>
      </c>
      <c r="H437" t="s">
        <v>2873</v>
      </c>
      <c r="I437" t="s">
        <v>2874</v>
      </c>
      <c r="J437" t="s">
        <v>157</v>
      </c>
    </row>
    <row r="438" spans="1:10" x14ac:dyDescent="0.35">
      <c r="A438">
        <v>437</v>
      </c>
      <c r="B438" t="s">
        <v>3467</v>
      </c>
      <c r="C438">
        <v>0</v>
      </c>
      <c r="D438">
        <v>3</v>
      </c>
      <c r="E438">
        <v>2015</v>
      </c>
      <c r="F438">
        <v>8</v>
      </c>
      <c r="G438" t="s">
        <v>2894</v>
      </c>
      <c r="H438" t="s">
        <v>2895</v>
      </c>
      <c r="I438" t="s">
        <v>2874</v>
      </c>
      <c r="J438" t="s">
        <v>72</v>
      </c>
    </row>
    <row r="439" spans="1:10" x14ac:dyDescent="0.35">
      <c r="A439">
        <v>438</v>
      </c>
      <c r="B439" t="s">
        <v>3468</v>
      </c>
      <c r="C439">
        <v>0</v>
      </c>
      <c r="D439">
        <v>3</v>
      </c>
      <c r="E439">
        <v>2022</v>
      </c>
      <c r="F439">
        <v>5</v>
      </c>
      <c r="G439" t="s">
        <v>2924</v>
      </c>
      <c r="H439" t="s">
        <v>19</v>
      </c>
      <c r="I439" t="s">
        <v>2863</v>
      </c>
      <c r="J439" t="s">
        <v>72</v>
      </c>
    </row>
    <row r="440" spans="1:10" x14ac:dyDescent="0.35">
      <c r="A440">
        <v>439</v>
      </c>
      <c r="B440" t="s">
        <v>3469</v>
      </c>
      <c r="C440">
        <v>2</v>
      </c>
      <c r="D440">
        <v>8</v>
      </c>
      <c r="E440">
        <v>2018</v>
      </c>
      <c r="F440">
        <v>16</v>
      </c>
      <c r="G440" t="s">
        <v>2962</v>
      </c>
      <c r="H440" t="s">
        <v>19</v>
      </c>
      <c r="I440" t="s">
        <v>2863</v>
      </c>
      <c r="J440" t="s">
        <v>517</v>
      </c>
    </row>
    <row r="441" spans="1:10" x14ac:dyDescent="0.35">
      <c r="A441">
        <v>440</v>
      </c>
      <c r="B441" t="s">
        <v>3470</v>
      </c>
      <c r="C441">
        <v>5</v>
      </c>
      <c r="D441">
        <v>8</v>
      </c>
      <c r="E441">
        <v>2021</v>
      </c>
      <c r="F441">
        <v>116</v>
      </c>
      <c r="G441" t="s">
        <v>2862</v>
      </c>
      <c r="H441" t="s">
        <v>19</v>
      </c>
      <c r="I441" t="s">
        <v>2863</v>
      </c>
      <c r="J441" t="s">
        <v>231</v>
      </c>
    </row>
    <row r="442" spans="1:10" x14ac:dyDescent="0.35">
      <c r="A442">
        <v>441</v>
      </c>
      <c r="B442" t="s">
        <v>3471</v>
      </c>
      <c r="C442">
        <v>0</v>
      </c>
      <c r="D442">
        <v>5</v>
      </c>
      <c r="E442">
        <v>2021</v>
      </c>
      <c r="F442">
        <v>4</v>
      </c>
      <c r="G442" t="s">
        <v>2958</v>
      </c>
      <c r="H442" t="s">
        <v>19</v>
      </c>
      <c r="I442" t="s">
        <v>2863</v>
      </c>
      <c r="J442" t="s">
        <v>72</v>
      </c>
    </row>
    <row r="443" spans="1:10" x14ac:dyDescent="0.35">
      <c r="A443">
        <v>442</v>
      </c>
      <c r="B443" t="s">
        <v>3472</v>
      </c>
      <c r="C443">
        <v>4</v>
      </c>
      <c r="D443">
        <v>6</v>
      </c>
      <c r="E443">
        <v>2020</v>
      </c>
      <c r="F443">
        <v>4</v>
      </c>
      <c r="G443" t="s">
        <v>2942</v>
      </c>
      <c r="H443" t="s">
        <v>2902</v>
      </c>
      <c r="I443" t="s">
        <v>2885</v>
      </c>
      <c r="J443" t="s">
        <v>172</v>
      </c>
    </row>
    <row r="444" spans="1:10" x14ac:dyDescent="0.35">
      <c r="A444">
        <v>443</v>
      </c>
      <c r="B444" t="s">
        <v>3473</v>
      </c>
      <c r="C444">
        <v>0</v>
      </c>
      <c r="D444">
        <v>9</v>
      </c>
      <c r="E444">
        <v>2017</v>
      </c>
      <c r="F444">
        <v>10</v>
      </c>
      <c r="G444" t="s">
        <v>2920</v>
      </c>
      <c r="H444" t="s">
        <v>93</v>
      </c>
      <c r="I444" t="s">
        <v>2865</v>
      </c>
      <c r="J444" t="s">
        <v>16</v>
      </c>
    </row>
    <row r="445" spans="1:10" x14ac:dyDescent="0.35">
      <c r="A445">
        <v>444</v>
      </c>
      <c r="B445" t="s">
        <v>3474</v>
      </c>
      <c r="C445">
        <v>0</v>
      </c>
      <c r="D445">
        <v>3</v>
      </c>
      <c r="E445">
        <v>2017</v>
      </c>
      <c r="F445">
        <v>16</v>
      </c>
      <c r="G445" t="s">
        <v>2924</v>
      </c>
      <c r="H445" t="s">
        <v>19</v>
      </c>
      <c r="I445" t="s">
        <v>2863</v>
      </c>
      <c r="J445" t="s">
        <v>72</v>
      </c>
    </row>
    <row r="446" spans="1:10" x14ac:dyDescent="0.35">
      <c r="A446">
        <v>445</v>
      </c>
      <c r="B446" t="s">
        <v>3475</v>
      </c>
      <c r="C446">
        <v>0</v>
      </c>
      <c r="D446">
        <v>6</v>
      </c>
      <c r="E446">
        <v>2019</v>
      </c>
      <c r="F446">
        <v>47</v>
      </c>
      <c r="G446" t="s">
        <v>2872</v>
      </c>
      <c r="H446" t="s">
        <v>2873</v>
      </c>
      <c r="I446" t="s">
        <v>2874</v>
      </c>
      <c r="J446" t="s">
        <v>72</v>
      </c>
    </row>
    <row r="447" spans="1:10" x14ac:dyDescent="0.35">
      <c r="A447">
        <v>446</v>
      </c>
      <c r="B447" t="s">
        <v>3476</v>
      </c>
      <c r="C447">
        <v>0</v>
      </c>
      <c r="D447">
        <v>6</v>
      </c>
      <c r="E447">
        <v>2014</v>
      </c>
      <c r="F447">
        <v>1</v>
      </c>
      <c r="G447" t="s">
        <v>2993</v>
      </c>
      <c r="H447" t="s">
        <v>19</v>
      </c>
      <c r="I447" t="s">
        <v>2863</v>
      </c>
      <c r="J447" t="s">
        <v>72</v>
      </c>
    </row>
    <row r="448" spans="1:10" x14ac:dyDescent="0.35">
      <c r="A448">
        <v>447</v>
      </c>
      <c r="B448" t="s">
        <v>3477</v>
      </c>
      <c r="C448">
        <v>6</v>
      </c>
      <c r="D448">
        <v>6</v>
      </c>
      <c r="E448">
        <v>2019</v>
      </c>
      <c r="F448">
        <v>16</v>
      </c>
      <c r="G448" t="s">
        <v>2932</v>
      </c>
      <c r="H448" t="s">
        <v>2884</v>
      </c>
      <c r="I448" t="s">
        <v>2885</v>
      </c>
      <c r="J448" t="s">
        <v>231</v>
      </c>
    </row>
    <row r="449" spans="1:10" x14ac:dyDescent="0.35">
      <c r="A449">
        <v>448</v>
      </c>
      <c r="B449" t="s">
        <v>3478</v>
      </c>
      <c r="C449">
        <v>0</v>
      </c>
      <c r="D449">
        <v>3</v>
      </c>
      <c r="E449">
        <v>2014</v>
      </c>
      <c r="F449">
        <v>30</v>
      </c>
      <c r="G449" t="s">
        <v>2928</v>
      </c>
      <c r="H449" t="s">
        <v>19</v>
      </c>
      <c r="I449" t="s">
        <v>2863</v>
      </c>
      <c r="J449" t="s">
        <v>261</v>
      </c>
    </row>
    <row r="450" spans="1:10" x14ac:dyDescent="0.35">
      <c r="A450">
        <v>449</v>
      </c>
      <c r="B450" t="s">
        <v>3479</v>
      </c>
      <c r="C450">
        <v>1</v>
      </c>
      <c r="D450">
        <v>8</v>
      </c>
      <c r="E450">
        <v>2023</v>
      </c>
      <c r="F450">
        <v>5</v>
      </c>
      <c r="G450" t="s">
        <v>2900</v>
      </c>
      <c r="H450" t="s">
        <v>2880</v>
      </c>
      <c r="I450" t="s">
        <v>2874</v>
      </c>
      <c r="J450" t="s">
        <v>35</v>
      </c>
    </row>
    <row r="451" spans="1:10" x14ac:dyDescent="0.35">
      <c r="A451">
        <v>450</v>
      </c>
      <c r="B451" t="s">
        <v>3480</v>
      </c>
      <c r="C451">
        <v>5</v>
      </c>
      <c r="D451">
        <v>5</v>
      </c>
      <c r="E451">
        <v>2020</v>
      </c>
      <c r="F451">
        <v>4</v>
      </c>
      <c r="G451" t="s">
        <v>2894</v>
      </c>
      <c r="H451" t="s">
        <v>2895</v>
      </c>
      <c r="I451" t="s">
        <v>2874</v>
      </c>
      <c r="J451" t="s">
        <v>157</v>
      </c>
    </row>
    <row r="452" spans="1:10" x14ac:dyDescent="0.35">
      <c r="A452">
        <v>451</v>
      </c>
      <c r="B452" t="s">
        <v>3481</v>
      </c>
      <c r="C452">
        <v>2</v>
      </c>
      <c r="D452">
        <v>2</v>
      </c>
      <c r="E452">
        <v>2022</v>
      </c>
      <c r="F452">
        <v>3</v>
      </c>
      <c r="G452" t="s">
        <v>2951</v>
      </c>
      <c r="H452" t="s">
        <v>2873</v>
      </c>
      <c r="I452" t="s">
        <v>2874</v>
      </c>
      <c r="J452" t="s">
        <v>101</v>
      </c>
    </row>
    <row r="453" spans="1:10" x14ac:dyDescent="0.35">
      <c r="A453">
        <v>452</v>
      </c>
      <c r="B453" t="s">
        <v>3482</v>
      </c>
      <c r="C453">
        <v>0</v>
      </c>
      <c r="D453">
        <v>4</v>
      </c>
      <c r="E453">
        <v>2022</v>
      </c>
      <c r="F453">
        <v>13</v>
      </c>
      <c r="G453" t="s">
        <v>2960</v>
      </c>
      <c r="H453" t="s">
        <v>2897</v>
      </c>
      <c r="I453" t="s">
        <v>2874</v>
      </c>
      <c r="J453" t="s">
        <v>1072</v>
      </c>
    </row>
    <row r="454" spans="1:10" x14ac:dyDescent="0.35">
      <c r="A454">
        <v>453</v>
      </c>
      <c r="B454" t="s">
        <v>3483</v>
      </c>
      <c r="C454">
        <v>0</v>
      </c>
      <c r="D454">
        <v>2</v>
      </c>
      <c r="E454">
        <v>2019</v>
      </c>
      <c r="F454">
        <v>1</v>
      </c>
      <c r="G454" t="s">
        <v>2913</v>
      </c>
      <c r="H454" t="s">
        <v>2902</v>
      </c>
      <c r="I454" t="s">
        <v>2885</v>
      </c>
      <c r="J454" t="s">
        <v>16</v>
      </c>
    </row>
    <row r="455" spans="1:10" x14ac:dyDescent="0.35">
      <c r="A455">
        <v>454</v>
      </c>
      <c r="B455" t="s">
        <v>3484</v>
      </c>
      <c r="C455">
        <v>0</v>
      </c>
      <c r="D455">
        <v>2</v>
      </c>
      <c r="E455">
        <v>2014</v>
      </c>
      <c r="F455">
        <v>4</v>
      </c>
      <c r="G455" t="s">
        <v>2991</v>
      </c>
      <c r="H455" t="s">
        <v>2884</v>
      </c>
      <c r="I455" t="s">
        <v>2885</v>
      </c>
      <c r="J455" t="s">
        <v>72</v>
      </c>
    </row>
    <row r="456" spans="1:10" x14ac:dyDescent="0.35">
      <c r="A456">
        <v>455</v>
      </c>
      <c r="B456" t="s">
        <v>3485</v>
      </c>
      <c r="C456">
        <v>7</v>
      </c>
      <c r="D456">
        <v>7</v>
      </c>
      <c r="E456">
        <v>2020</v>
      </c>
      <c r="F456">
        <v>1</v>
      </c>
      <c r="G456" t="s">
        <v>2951</v>
      </c>
      <c r="H456" t="s">
        <v>2873</v>
      </c>
      <c r="I456" t="s">
        <v>2874</v>
      </c>
      <c r="J456" t="s">
        <v>5</v>
      </c>
    </row>
    <row r="457" spans="1:10" x14ac:dyDescent="0.35">
      <c r="A457">
        <v>456</v>
      </c>
      <c r="B457" t="s">
        <v>3486</v>
      </c>
      <c r="C457">
        <v>1</v>
      </c>
      <c r="D457">
        <v>2</v>
      </c>
      <c r="E457">
        <v>2017</v>
      </c>
      <c r="F457">
        <v>7</v>
      </c>
      <c r="G457" t="s">
        <v>2913</v>
      </c>
      <c r="H457" t="s">
        <v>2902</v>
      </c>
      <c r="I457" t="s">
        <v>2885</v>
      </c>
      <c r="J457" t="s">
        <v>101</v>
      </c>
    </row>
    <row r="458" spans="1:10" x14ac:dyDescent="0.35">
      <c r="A458">
        <v>457</v>
      </c>
      <c r="B458" t="s">
        <v>3487</v>
      </c>
      <c r="C458">
        <v>0</v>
      </c>
      <c r="D458">
        <v>2</v>
      </c>
      <c r="E458">
        <v>2016</v>
      </c>
      <c r="F458">
        <v>5</v>
      </c>
      <c r="G458" t="s">
        <v>2924</v>
      </c>
      <c r="H458" t="s">
        <v>19</v>
      </c>
      <c r="I458" t="s">
        <v>2863</v>
      </c>
      <c r="J458" t="s">
        <v>48</v>
      </c>
    </row>
    <row r="459" spans="1:10" x14ac:dyDescent="0.35">
      <c r="A459">
        <v>458</v>
      </c>
      <c r="B459" t="s">
        <v>3488</v>
      </c>
      <c r="C459">
        <v>0</v>
      </c>
      <c r="D459">
        <v>4</v>
      </c>
      <c r="E459">
        <v>2015</v>
      </c>
      <c r="F459">
        <v>31</v>
      </c>
      <c r="G459" t="s">
        <v>2866</v>
      </c>
      <c r="H459" t="s">
        <v>19</v>
      </c>
      <c r="I459" t="s">
        <v>2863</v>
      </c>
      <c r="J459" t="s">
        <v>16</v>
      </c>
    </row>
    <row r="460" spans="1:10" x14ac:dyDescent="0.35">
      <c r="A460">
        <v>459</v>
      </c>
      <c r="B460" t="s">
        <v>3489</v>
      </c>
      <c r="C460">
        <v>2</v>
      </c>
      <c r="D460">
        <v>5</v>
      </c>
      <c r="E460">
        <v>2017</v>
      </c>
      <c r="F460">
        <v>35</v>
      </c>
      <c r="G460" t="s">
        <v>2872</v>
      </c>
      <c r="H460" t="s">
        <v>2873</v>
      </c>
      <c r="I460" t="s">
        <v>2874</v>
      </c>
      <c r="J460" t="s">
        <v>157</v>
      </c>
    </row>
    <row r="461" spans="1:10" x14ac:dyDescent="0.35">
      <c r="A461">
        <v>460</v>
      </c>
      <c r="B461" t="s">
        <v>3490</v>
      </c>
      <c r="C461">
        <v>0</v>
      </c>
      <c r="D461">
        <v>3</v>
      </c>
      <c r="E461">
        <v>2017</v>
      </c>
      <c r="F461">
        <v>12</v>
      </c>
      <c r="G461" t="s">
        <v>2994</v>
      </c>
      <c r="H461" t="s">
        <v>2873</v>
      </c>
      <c r="I461" t="s">
        <v>2874</v>
      </c>
      <c r="J461" t="s">
        <v>93</v>
      </c>
    </row>
    <row r="462" spans="1:10" x14ac:dyDescent="0.35">
      <c r="A462">
        <v>461</v>
      </c>
      <c r="B462" t="s">
        <v>3491</v>
      </c>
      <c r="C462">
        <v>0</v>
      </c>
      <c r="D462">
        <v>4</v>
      </c>
      <c r="E462">
        <v>2015</v>
      </c>
      <c r="F462">
        <v>86</v>
      </c>
      <c r="G462" t="s">
        <v>2924</v>
      </c>
      <c r="H462" t="s">
        <v>19</v>
      </c>
      <c r="I462" t="s">
        <v>2863</v>
      </c>
      <c r="J462" t="s">
        <v>352</v>
      </c>
    </row>
    <row r="463" spans="1:10" x14ac:dyDescent="0.35">
      <c r="A463">
        <v>462</v>
      </c>
      <c r="B463" t="s">
        <v>3492</v>
      </c>
      <c r="C463">
        <v>0</v>
      </c>
      <c r="D463">
        <v>4</v>
      </c>
      <c r="E463">
        <v>2015</v>
      </c>
      <c r="F463">
        <v>61</v>
      </c>
      <c r="G463" t="s">
        <v>2924</v>
      </c>
      <c r="H463" t="s">
        <v>19</v>
      </c>
      <c r="I463" t="s">
        <v>2863</v>
      </c>
      <c r="J463" t="s">
        <v>19</v>
      </c>
    </row>
    <row r="464" spans="1:10" x14ac:dyDescent="0.35">
      <c r="A464">
        <v>463</v>
      </c>
      <c r="B464" t="s">
        <v>3493</v>
      </c>
      <c r="C464">
        <v>0</v>
      </c>
      <c r="D464">
        <v>6</v>
      </c>
      <c r="E464">
        <v>2022</v>
      </c>
      <c r="F464">
        <v>66</v>
      </c>
      <c r="G464" t="s">
        <v>2995</v>
      </c>
      <c r="H464" t="s">
        <v>93</v>
      </c>
      <c r="I464" t="s">
        <v>2865</v>
      </c>
      <c r="J464" t="s">
        <v>72</v>
      </c>
    </row>
    <row r="465" spans="1:10" x14ac:dyDescent="0.35">
      <c r="A465">
        <v>464</v>
      </c>
      <c r="B465" t="s">
        <v>3494</v>
      </c>
      <c r="C465">
        <v>2</v>
      </c>
      <c r="D465">
        <v>2</v>
      </c>
      <c r="E465">
        <v>2020</v>
      </c>
      <c r="F465">
        <v>3</v>
      </c>
      <c r="G465" t="s">
        <v>2964</v>
      </c>
      <c r="H465" t="s">
        <v>2897</v>
      </c>
      <c r="I465" t="s">
        <v>2874</v>
      </c>
      <c r="J465" t="s">
        <v>231</v>
      </c>
    </row>
    <row r="466" spans="1:10" x14ac:dyDescent="0.35">
      <c r="A466">
        <v>465</v>
      </c>
      <c r="B466" t="s">
        <v>3495</v>
      </c>
      <c r="C466">
        <v>0</v>
      </c>
      <c r="D466">
        <v>2</v>
      </c>
      <c r="E466">
        <v>2022</v>
      </c>
      <c r="F466">
        <v>6</v>
      </c>
      <c r="G466" t="s">
        <v>2928</v>
      </c>
      <c r="H466" t="s">
        <v>19</v>
      </c>
      <c r="I466" t="s">
        <v>2863</v>
      </c>
      <c r="J466" t="s">
        <v>72</v>
      </c>
    </row>
    <row r="467" spans="1:10" x14ac:dyDescent="0.35">
      <c r="A467">
        <v>466</v>
      </c>
      <c r="B467" t="s">
        <v>3496</v>
      </c>
      <c r="C467">
        <v>0</v>
      </c>
      <c r="D467">
        <v>4</v>
      </c>
      <c r="E467">
        <v>2018</v>
      </c>
      <c r="F467">
        <v>42</v>
      </c>
      <c r="G467" t="s">
        <v>2877</v>
      </c>
      <c r="H467" t="s">
        <v>19</v>
      </c>
      <c r="I467" t="s">
        <v>2863</v>
      </c>
      <c r="J467" t="s">
        <v>72</v>
      </c>
    </row>
    <row r="468" spans="1:10" x14ac:dyDescent="0.35">
      <c r="A468">
        <v>467</v>
      </c>
      <c r="B468" t="s">
        <v>3497</v>
      </c>
      <c r="C468">
        <v>4</v>
      </c>
      <c r="D468">
        <v>7</v>
      </c>
      <c r="E468">
        <v>2019</v>
      </c>
      <c r="F468">
        <v>20</v>
      </c>
      <c r="G468" t="s">
        <v>2869</v>
      </c>
      <c r="H468" t="s">
        <v>93</v>
      </c>
      <c r="I468" t="s">
        <v>2865</v>
      </c>
      <c r="J468" t="s">
        <v>35</v>
      </c>
    </row>
    <row r="469" spans="1:10" x14ac:dyDescent="0.35">
      <c r="A469">
        <v>468</v>
      </c>
      <c r="B469" t="s">
        <v>3498</v>
      </c>
      <c r="C469">
        <v>2</v>
      </c>
      <c r="D469">
        <v>4</v>
      </c>
      <c r="E469">
        <v>2022</v>
      </c>
      <c r="F469">
        <v>1</v>
      </c>
      <c r="G469" t="s">
        <v>2996</v>
      </c>
      <c r="H469" t="s">
        <v>93</v>
      </c>
      <c r="I469" t="s">
        <v>2865</v>
      </c>
      <c r="J469" t="s">
        <v>101</v>
      </c>
    </row>
    <row r="470" spans="1:10" x14ac:dyDescent="0.35">
      <c r="A470">
        <v>469</v>
      </c>
      <c r="B470" t="s">
        <v>3499</v>
      </c>
      <c r="C470">
        <v>0</v>
      </c>
      <c r="D470">
        <v>14</v>
      </c>
      <c r="E470">
        <v>2021</v>
      </c>
      <c r="F470">
        <v>43</v>
      </c>
      <c r="G470" t="s">
        <v>2990</v>
      </c>
      <c r="H470" t="s">
        <v>2873</v>
      </c>
      <c r="I470" t="s">
        <v>2874</v>
      </c>
      <c r="J470" t="s">
        <v>72</v>
      </c>
    </row>
    <row r="471" spans="1:10" x14ac:dyDescent="0.35">
      <c r="A471">
        <v>470</v>
      </c>
      <c r="B471" t="s">
        <v>3500</v>
      </c>
      <c r="C471">
        <v>0</v>
      </c>
      <c r="D471">
        <v>3</v>
      </c>
      <c r="E471">
        <v>2017</v>
      </c>
      <c r="F471">
        <v>7</v>
      </c>
      <c r="G471" t="s">
        <v>2929</v>
      </c>
      <c r="H471" t="s">
        <v>2930</v>
      </c>
      <c r="I471" t="s">
        <v>2885</v>
      </c>
      <c r="J471" t="s">
        <v>16</v>
      </c>
    </row>
    <row r="472" spans="1:10" x14ac:dyDescent="0.35">
      <c r="A472">
        <v>471</v>
      </c>
      <c r="B472" t="s">
        <v>3501</v>
      </c>
      <c r="C472">
        <v>0</v>
      </c>
      <c r="D472">
        <v>4</v>
      </c>
      <c r="E472">
        <v>2015</v>
      </c>
      <c r="F472">
        <v>0</v>
      </c>
      <c r="G472" t="s">
        <v>2894</v>
      </c>
      <c r="H472" t="s">
        <v>2895</v>
      </c>
      <c r="I472" t="s">
        <v>2874</v>
      </c>
      <c r="J472" t="s">
        <v>22</v>
      </c>
    </row>
    <row r="473" spans="1:10" x14ac:dyDescent="0.35">
      <c r="A473">
        <v>472</v>
      </c>
      <c r="B473" t="s">
        <v>3502</v>
      </c>
      <c r="C473">
        <v>0</v>
      </c>
      <c r="D473">
        <v>2</v>
      </c>
      <c r="E473">
        <v>2022</v>
      </c>
      <c r="F473">
        <v>11</v>
      </c>
      <c r="G473" t="s">
        <v>2877</v>
      </c>
      <c r="H473" t="s">
        <v>19</v>
      </c>
      <c r="I473" t="s">
        <v>2863</v>
      </c>
      <c r="J473" t="s">
        <v>72</v>
      </c>
    </row>
    <row r="474" spans="1:10" x14ac:dyDescent="0.35">
      <c r="A474">
        <v>473</v>
      </c>
      <c r="B474" t="s">
        <v>3503</v>
      </c>
      <c r="C474">
        <v>3</v>
      </c>
      <c r="D474">
        <v>6</v>
      </c>
      <c r="E474">
        <v>2019</v>
      </c>
      <c r="F474">
        <v>21</v>
      </c>
      <c r="G474" t="s">
        <v>2958</v>
      </c>
      <c r="H474" t="s">
        <v>19</v>
      </c>
      <c r="I474" t="s">
        <v>2863</v>
      </c>
      <c r="J474" t="s">
        <v>157</v>
      </c>
    </row>
    <row r="475" spans="1:10" x14ac:dyDescent="0.35">
      <c r="A475">
        <v>474</v>
      </c>
      <c r="B475" t="s">
        <v>3504</v>
      </c>
      <c r="C475">
        <v>0</v>
      </c>
      <c r="D475">
        <v>2</v>
      </c>
      <c r="E475">
        <v>2020</v>
      </c>
      <c r="F475">
        <v>0</v>
      </c>
      <c r="G475" t="s">
        <v>2866</v>
      </c>
      <c r="H475" t="s">
        <v>19</v>
      </c>
      <c r="I475" t="s">
        <v>2863</v>
      </c>
      <c r="J475" t="s">
        <v>72</v>
      </c>
    </row>
    <row r="476" spans="1:10" x14ac:dyDescent="0.35">
      <c r="A476">
        <v>475</v>
      </c>
      <c r="B476" t="s">
        <v>3505</v>
      </c>
      <c r="C476">
        <v>0</v>
      </c>
      <c r="D476">
        <v>6</v>
      </c>
      <c r="E476">
        <v>2023</v>
      </c>
      <c r="F476">
        <v>5</v>
      </c>
      <c r="G476" t="s">
        <v>2997</v>
      </c>
      <c r="H476" t="s">
        <v>19</v>
      </c>
      <c r="I476" t="s">
        <v>2863</v>
      </c>
      <c r="J476" t="s">
        <v>22</v>
      </c>
    </row>
    <row r="477" spans="1:10" x14ac:dyDescent="0.35">
      <c r="A477">
        <v>476</v>
      </c>
      <c r="B477" t="s">
        <v>3506</v>
      </c>
      <c r="C477">
        <v>2</v>
      </c>
      <c r="D477">
        <v>2</v>
      </c>
      <c r="E477">
        <v>2014</v>
      </c>
      <c r="F477">
        <v>16</v>
      </c>
      <c r="G477" t="s">
        <v>2866</v>
      </c>
      <c r="H477" t="s">
        <v>19</v>
      </c>
      <c r="I477" t="s">
        <v>2863</v>
      </c>
      <c r="J477" t="s">
        <v>157</v>
      </c>
    </row>
    <row r="478" spans="1:10" x14ac:dyDescent="0.35">
      <c r="A478">
        <v>477</v>
      </c>
      <c r="B478" t="s">
        <v>3507</v>
      </c>
      <c r="C478">
        <v>0</v>
      </c>
      <c r="D478">
        <v>7</v>
      </c>
      <c r="E478">
        <v>2022</v>
      </c>
      <c r="F478">
        <v>11</v>
      </c>
      <c r="G478" t="s">
        <v>2934</v>
      </c>
      <c r="H478" t="s">
        <v>2880</v>
      </c>
      <c r="I478" t="s">
        <v>2874</v>
      </c>
      <c r="J478" t="s">
        <v>72</v>
      </c>
    </row>
    <row r="479" spans="1:10" x14ac:dyDescent="0.35">
      <c r="A479">
        <v>478</v>
      </c>
      <c r="B479" t="s">
        <v>3508</v>
      </c>
      <c r="C479">
        <v>0</v>
      </c>
      <c r="D479">
        <v>4</v>
      </c>
      <c r="E479">
        <v>2019</v>
      </c>
      <c r="F479">
        <v>3</v>
      </c>
      <c r="G479" t="s">
        <v>2894</v>
      </c>
      <c r="H479" t="s">
        <v>2895</v>
      </c>
      <c r="I479" t="s">
        <v>2874</v>
      </c>
      <c r="J479" t="s">
        <v>72</v>
      </c>
    </row>
    <row r="480" spans="1:10" x14ac:dyDescent="0.35">
      <c r="A480">
        <v>479</v>
      </c>
      <c r="B480" t="s">
        <v>3509</v>
      </c>
      <c r="C480">
        <v>2</v>
      </c>
      <c r="D480">
        <v>2</v>
      </c>
      <c r="E480">
        <v>2022</v>
      </c>
      <c r="F480">
        <v>19</v>
      </c>
      <c r="G480" t="s">
        <v>2929</v>
      </c>
      <c r="H480" t="s">
        <v>2930</v>
      </c>
      <c r="I480" t="s">
        <v>2885</v>
      </c>
      <c r="J480" t="s">
        <v>101</v>
      </c>
    </row>
    <row r="481" spans="1:10" x14ac:dyDescent="0.35">
      <c r="A481">
        <v>480</v>
      </c>
      <c r="B481" t="s">
        <v>3510</v>
      </c>
      <c r="C481">
        <v>1</v>
      </c>
      <c r="D481">
        <v>27</v>
      </c>
      <c r="E481">
        <v>2022</v>
      </c>
      <c r="F481">
        <v>5</v>
      </c>
      <c r="G481" t="s">
        <v>2998</v>
      </c>
      <c r="H481" t="s">
        <v>19</v>
      </c>
      <c r="I481" t="s">
        <v>2863</v>
      </c>
      <c r="J481" t="s">
        <v>19</v>
      </c>
    </row>
    <row r="482" spans="1:10" x14ac:dyDescent="0.35">
      <c r="A482">
        <v>481</v>
      </c>
      <c r="B482" t="s">
        <v>3511</v>
      </c>
      <c r="C482">
        <v>0</v>
      </c>
      <c r="D482">
        <v>6</v>
      </c>
      <c r="E482">
        <v>2015</v>
      </c>
      <c r="F482">
        <v>621</v>
      </c>
      <c r="G482" t="s">
        <v>2936</v>
      </c>
      <c r="H482" t="s">
        <v>2880</v>
      </c>
      <c r="I482" t="s">
        <v>2874</v>
      </c>
      <c r="J482" t="s">
        <v>64</v>
      </c>
    </row>
    <row r="483" spans="1:10" x14ac:dyDescent="0.35">
      <c r="A483">
        <v>482</v>
      </c>
      <c r="B483" t="s">
        <v>3512</v>
      </c>
      <c r="C483">
        <v>0</v>
      </c>
      <c r="D483">
        <v>9</v>
      </c>
      <c r="E483">
        <v>2020</v>
      </c>
      <c r="F483">
        <v>23</v>
      </c>
      <c r="G483" t="s">
        <v>2924</v>
      </c>
      <c r="H483" t="s">
        <v>19</v>
      </c>
      <c r="I483" t="s">
        <v>2863</v>
      </c>
      <c r="J483" t="s">
        <v>72</v>
      </c>
    </row>
    <row r="484" spans="1:10" x14ac:dyDescent="0.35">
      <c r="A484">
        <v>483</v>
      </c>
      <c r="B484" t="s">
        <v>3513</v>
      </c>
      <c r="C484">
        <v>4</v>
      </c>
      <c r="D484">
        <v>5</v>
      </c>
      <c r="E484">
        <v>2014</v>
      </c>
      <c r="F484">
        <v>19</v>
      </c>
      <c r="G484" t="s">
        <v>2931</v>
      </c>
      <c r="H484" t="s">
        <v>2897</v>
      </c>
      <c r="I484" t="s">
        <v>2874</v>
      </c>
      <c r="J484" t="s">
        <v>189</v>
      </c>
    </row>
    <row r="485" spans="1:10" x14ac:dyDescent="0.35">
      <c r="A485">
        <v>484</v>
      </c>
      <c r="B485" t="s">
        <v>3514</v>
      </c>
      <c r="C485">
        <v>4</v>
      </c>
      <c r="D485">
        <v>12</v>
      </c>
      <c r="E485">
        <v>2021</v>
      </c>
      <c r="F485">
        <v>4</v>
      </c>
      <c r="G485" t="s">
        <v>2944</v>
      </c>
      <c r="H485" t="s">
        <v>93</v>
      </c>
      <c r="I485" t="s">
        <v>2865</v>
      </c>
      <c r="J485" t="s">
        <v>78</v>
      </c>
    </row>
    <row r="486" spans="1:10" x14ac:dyDescent="0.35">
      <c r="A486">
        <v>485</v>
      </c>
      <c r="B486" t="s">
        <v>3515</v>
      </c>
      <c r="C486">
        <v>2</v>
      </c>
      <c r="D486">
        <v>5</v>
      </c>
      <c r="E486">
        <v>2018</v>
      </c>
      <c r="F486">
        <v>20</v>
      </c>
      <c r="G486" t="s">
        <v>2944</v>
      </c>
      <c r="H486" t="s">
        <v>93</v>
      </c>
      <c r="I486" t="s">
        <v>2865</v>
      </c>
      <c r="J486" t="s">
        <v>16</v>
      </c>
    </row>
    <row r="487" spans="1:10" x14ac:dyDescent="0.35">
      <c r="A487">
        <v>486</v>
      </c>
      <c r="B487" t="s">
        <v>3516</v>
      </c>
      <c r="C487">
        <v>0</v>
      </c>
      <c r="D487">
        <v>5</v>
      </c>
      <c r="E487">
        <v>2014</v>
      </c>
      <c r="F487">
        <v>2</v>
      </c>
      <c r="G487" t="s">
        <v>2894</v>
      </c>
      <c r="H487" t="s">
        <v>2895</v>
      </c>
      <c r="I487" t="s">
        <v>2874</v>
      </c>
      <c r="J487" t="s">
        <v>22</v>
      </c>
    </row>
    <row r="488" spans="1:10" x14ac:dyDescent="0.35">
      <c r="A488">
        <v>487</v>
      </c>
      <c r="B488" t="s">
        <v>3517</v>
      </c>
      <c r="C488">
        <v>0</v>
      </c>
      <c r="D488">
        <v>5</v>
      </c>
      <c r="E488">
        <v>2022</v>
      </c>
      <c r="F488">
        <v>4</v>
      </c>
      <c r="G488" t="s">
        <v>2928</v>
      </c>
      <c r="H488" t="s">
        <v>19</v>
      </c>
      <c r="I488" t="s">
        <v>2863</v>
      </c>
      <c r="J488" t="s">
        <v>19</v>
      </c>
    </row>
    <row r="489" spans="1:10" x14ac:dyDescent="0.35">
      <c r="A489">
        <v>488</v>
      </c>
      <c r="B489" t="s">
        <v>3518</v>
      </c>
      <c r="C489">
        <v>0</v>
      </c>
      <c r="D489">
        <v>1</v>
      </c>
      <c r="E489">
        <v>2020</v>
      </c>
      <c r="F489">
        <v>5</v>
      </c>
      <c r="G489" t="s">
        <v>2999</v>
      </c>
      <c r="H489" t="s">
        <v>2884</v>
      </c>
      <c r="I489" t="s">
        <v>2885</v>
      </c>
      <c r="J489" t="s">
        <v>72</v>
      </c>
    </row>
    <row r="490" spans="1:10" x14ac:dyDescent="0.35">
      <c r="A490">
        <v>489</v>
      </c>
      <c r="B490" t="s">
        <v>3519</v>
      </c>
      <c r="C490">
        <v>5</v>
      </c>
      <c r="D490">
        <v>9</v>
      </c>
      <c r="E490">
        <v>2022</v>
      </c>
      <c r="F490">
        <v>9</v>
      </c>
      <c r="G490" t="s">
        <v>2928</v>
      </c>
      <c r="H490" t="s">
        <v>19</v>
      </c>
      <c r="I490" t="s">
        <v>2863</v>
      </c>
      <c r="J490" t="s">
        <v>93</v>
      </c>
    </row>
    <row r="491" spans="1:10" x14ac:dyDescent="0.35">
      <c r="A491">
        <v>490</v>
      </c>
      <c r="B491" t="s">
        <v>3520</v>
      </c>
      <c r="C491">
        <v>0</v>
      </c>
      <c r="D491">
        <v>6</v>
      </c>
      <c r="E491">
        <v>2018</v>
      </c>
      <c r="F491">
        <v>33</v>
      </c>
      <c r="G491" t="s">
        <v>2877</v>
      </c>
      <c r="H491" t="s">
        <v>19</v>
      </c>
      <c r="I491" t="s">
        <v>2863</v>
      </c>
      <c r="J491" t="s">
        <v>72</v>
      </c>
    </row>
    <row r="492" spans="1:10" x14ac:dyDescent="0.35">
      <c r="A492">
        <v>491</v>
      </c>
      <c r="B492" t="s">
        <v>3521</v>
      </c>
      <c r="C492">
        <v>0</v>
      </c>
      <c r="D492">
        <v>5</v>
      </c>
      <c r="E492">
        <v>2014</v>
      </c>
      <c r="F492">
        <v>61</v>
      </c>
      <c r="G492" t="s">
        <v>2867</v>
      </c>
      <c r="H492" t="s">
        <v>19</v>
      </c>
      <c r="I492" t="s">
        <v>2863</v>
      </c>
      <c r="J492" t="s">
        <v>16</v>
      </c>
    </row>
    <row r="493" spans="1:10" x14ac:dyDescent="0.35">
      <c r="A493">
        <v>492</v>
      </c>
      <c r="B493" t="s">
        <v>3522</v>
      </c>
      <c r="C493">
        <v>2</v>
      </c>
      <c r="D493">
        <v>2</v>
      </c>
      <c r="E493">
        <v>2018</v>
      </c>
      <c r="F493">
        <v>15</v>
      </c>
      <c r="G493" t="s">
        <v>2894</v>
      </c>
      <c r="H493" t="s">
        <v>2895</v>
      </c>
      <c r="I493" t="s">
        <v>2874</v>
      </c>
      <c r="J493" t="s">
        <v>157</v>
      </c>
    </row>
    <row r="494" spans="1:10" x14ac:dyDescent="0.35">
      <c r="A494">
        <v>493</v>
      </c>
      <c r="B494" t="s">
        <v>3523</v>
      </c>
      <c r="C494">
        <v>0</v>
      </c>
      <c r="D494">
        <v>4</v>
      </c>
      <c r="E494">
        <v>2014</v>
      </c>
      <c r="F494">
        <v>47</v>
      </c>
      <c r="G494" t="s">
        <v>2867</v>
      </c>
      <c r="H494" t="s">
        <v>19</v>
      </c>
      <c r="I494" t="s">
        <v>2863</v>
      </c>
      <c r="J494" t="s">
        <v>245</v>
      </c>
    </row>
    <row r="495" spans="1:10" x14ac:dyDescent="0.35">
      <c r="A495">
        <v>494</v>
      </c>
      <c r="B495" t="s">
        <v>3524</v>
      </c>
      <c r="C495">
        <v>0</v>
      </c>
      <c r="D495">
        <v>1</v>
      </c>
      <c r="E495">
        <v>2018</v>
      </c>
      <c r="F495">
        <v>10</v>
      </c>
      <c r="G495" t="s">
        <v>2875</v>
      </c>
      <c r="H495" t="s">
        <v>19</v>
      </c>
      <c r="I495" t="s">
        <v>2863</v>
      </c>
      <c r="J495" t="s">
        <v>93</v>
      </c>
    </row>
    <row r="496" spans="1:10" x14ac:dyDescent="0.35">
      <c r="A496">
        <v>495</v>
      </c>
      <c r="B496" t="s">
        <v>3525</v>
      </c>
      <c r="C496">
        <v>0</v>
      </c>
      <c r="D496">
        <v>9</v>
      </c>
      <c r="E496">
        <v>2023</v>
      </c>
      <c r="F496">
        <v>4</v>
      </c>
      <c r="G496" t="s">
        <v>2924</v>
      </c>
      <c r="H496" t="s">
        <v>19</v>
      </c>
      <c r="I496" t="s">
        <v>2863</v>
      </c>
      <c r="J496" t="s">
        <v>72</v>
      </c>
    </row>
    <row r="497" spans="1:10" x14ac:dyDescent="0.35">
      <c r="A497">
        <v>496</v>
      </c>
      <c r="B497" t="s">
        <v>3526</v>
      </c>
      <c r="C497">
        <v>0</v>
      </c>
      <c r="D497">
        <v>3</v>
      </c>
      <c r="E497">
        <v>2017</v>
      </c>
      <c r="F497">
        <v>19</v>
      </c>
      <c r="G497" t="s">
        <v>2866</v>
      </c>
      <c r="H497" t="s">
        <v>19</v>
      </c>
      <c r="I497" t="s">
        <v>2863</v>
      </c>
      <c r="J497" t="s">
        <v>22</v>
      </c>
    </row>
    <row r="498" spans="1:10" x14ac:dyDescent="0.35">
      <c r="A498">
        <v>497</v>
      </c>
      <c r="B498" t="s">
        <v>3527</v>
      </c>
      <c r="C498">
        <v>1</v>
      </c>
      <c r="D498">
        <v>5</v>
      </c>
      <c r="E498">
        <v>2018</v>
      </c>
      <c r="F498">
        <v>16</v>
      </c>
      <c r="G498" t="s">
        <v>3000</v>
      </c>
      <c r="H498" t="s">
        <v>93</v>
      </c>
      <c r="I498" t="s">
        <v>2865</v>
      </c>
      <c r="J498" t="s">
        <v>352</v>
      </c>
    </row>
    <row r="499" spans="1:10" x14ac:dyDescent="0.35">
      <c r="A499">
        <v>498</v>
      </c>
      <c r="B499" t="s">
        <v>3528</v>
      </c>
      <c r="C499">
        <v>0</v>
      </c>
      <c r="D499">
        <v>8</v>
      </c>
      <c r="E499">
        <v>2015</v>
      </c>
      <c r="F499">
        <v>2</v>
      </c>
      <c r="G499" t="s">
        <v>3001</v>
      </c>
      <c r="H499" t="s">
        <v>2884</v>
      </c>
      <c r="I499" t="s">
        <v>2885</v>
      </c>
      <c r="J499" t="s">
        <v>72</v>
      </c>
    </row>
    <row r="500" spans="1:10" x14ac:dyDescent="0.35">
      <c r="A500">
        <v>499</v>
      </c>
      <c r="B500" t="s">
        <v>3529</v>
      </c>
      <c r="C500">
        <v>3</v>
      </c>
      <c r="D500">
        <v>3</v>
      </c>
      <c r="E500">
        <v>2017</v>
      </c>
      <c r="F500">
        <v>47</v>
      </c>
      <c r="G500" t="s">
        <v>2972</v>
      </c>
      <c r="H500" t="s">
        <v>93</v>
      </c>
      <c r="I500" t="s">
        <v>2865</v>
      </c>
      <c r="J500" t="s">
        <v>157</v>
      </c>
    </row>
    <row r="501" spans="1:10" x14ac:dyDescent="0.35">
      <c r="A501">
        <v>500</v>
      </c>
      <c r="B501" t="s">
        <v>3530</v>
      </c>
      <c r="C501">
        <v>5</v>
      </c>
      <c r="D501">
        <v>7</v>
      </c>
      <c r="E501">
        <v>2016</v>
      </c>
      <c r="F501">
        <v>105</v>
      </c>
      <c r="G501" t="s">
        <v>2872</v>
      </c>
      <c r="H501" t="s">
        <v>2873</v>
      </c>
      <c r="I501" t="s">
        <v>2874</v>
      </c>
      <c r="J501" t="s">
        <v>72</v>
      </c>
    </row>
    <row r="502" spans="1:10" x14ac:dyDescent="0.35">
      <c r="A502">
        <v>501</v>
      </c>
      <c r="B502" t="s">
        <v>3531</v>
      </c>
      <c r="C502">
        <v>0</v>
      </c>
      <c r="D502">
        <v>7</v>
      </c>
      <c r="E502">
        <v>2020</v>
      </c>
      <c r="F502">
        <v>13</v>
      </c>
      <c r="G502" t="s">
        <v>2877</v>
      </c>
      <c r="H502" t="s">
        <v>19</v>
      </c>
      <c r="I502" t="s">
        <v>2863</v>
      </c>
      <c r="J502" t="s">
        <v>22</v>
      </c>
    </row>
    <row r="503" spans="1:10" x14ac:dyDescent="0.35">
      <c r="A503">
        <v>502</v>
      </c>
      <c r="B503" t="s">
        <v>3532</v>
      </c>
      <c r="C503">
        <v>0</v>
      </c>
      <c r="D503">
        <v>4</v>
      </c>
      <c r="E503">
        <v>2017</v>
      </c>
      <c r="F503">
        <v>29</v>
      </c>
      <c r="G503" t="s">
        <v>2867</v>
      </c>
      <c r="H503" t="s">
        <v>19</v>
      </c>
      <c r="I503" t="s">
        <v>2863</v>
      </c>
      <c r="J503" t="s">
        <v>72</v>
      </c>
    </row>
    <row r="504" spans="1:10" x14ac:dyDescent="0.35">
      <c r="A504">
        <v>503</v>
      </c>
      <c r="B504" t="s">
        <v>3533</v>
      </c>
      <c r="C504">
        <v>0</v>
      </c>
      <c r="D504">
        <v>8</v>
      </c>
      <c r="E504">
        <v>2021</v>
      </c>
      <c r="F504">
        <v>6</v>
      </c>
      <c r="G504" t="s">
        <v>2928</v>
      </c>
      <c r="H504" t="s">
        <v>19</v>
      </c>
      <c r="I504" t="s">
        <v>2863</v>
      </c>
      <c r="J504" t="s">
        <v>19</v>
      </c>
    </row>
    <row r="505" spans="1:10" x14ac:dyDescent="0.35">
      <c r="A505">
        <v>504</v>
      </c>
      <c r="B505" t="s">
        <v>3534</v>
      </c>
      <c r="C505">
        <v>0</v>
      </c>
      <c r="D505">
        <v>6</v>
      </c>
      <c r="E505">
        <v>2019</v>
      </c>
      <c r="F505">
        <v>13</v>
      </c>
      <c r="G505" t="s">
        <v>2894</v>
      </c>
      <c r="H505" t="s">
        <v>2895</v>
      </c>
      <c r="I505" t="s">
        <v>2874</v>
      </c>
      <c r="J505" t="s">
        <v>16</v>
      </c>
    </row>
    <row r="506" spans="1:10" x14ac:dyDescent="0.35">
      <c r="A506">
        <v>505</v>
      </c>
      <c r="B506" t="s">
        <v>3535</v>
      </c>
      <c r="C506">
        <v>0</v>
      </c>
      <c r="D506">
        <v>13</v>
      </c>
      <c r="E506">
        <v>2015</v>
      </c>
      <c r="F506">
        <v>33</v>
      </c>
      <c r="G506" t="s">
        <v>2976</v>
      </c>
      <c r="H506" t="s">
        <v>19</v>
      </c>
      <c r="I506" t="s">
        <v>2863</v>
      </c>
      <c r="J506" t="s">
        <v>261</v>
      </c>
    </row>
    <row r="507" spans="1:10" x14ac:dyDescent="0.35">
      <c r="A507">
        <v>506</v>
      </c>
      <c r="B507" t="s">
        <v>3536</v>
      </c>
      <c r="C507">
        <v>2</v>
      </c>
      <c r="D507">
        <v>2</v>
      </c>
      <c r="E507">
        <v>2016</v>
      </c>
      <c r="F507">
        <v>14</v>
      </c>
      <c r="G507" t="s">
        <v>2887</v>
      </c>
      <c r="H507" t="s">
        <v>19</v>
      </c>
      <c r="I507" t="s">
        <v>2863</v>
      </c>
      <c r="J507" t="s">
        <v>157</v>
      </c>
    </row>
    <row r="508" spans="1:10" x14ac:dyDescent="0.35">
      <c r="A508">
        <v>507</v>
      </c>
      <c r="B508" t="s">
        <v>3537</v>
      </c>
      <c r="C508">
        <v>2</v>
      </c>
      <c r="D508">
        <v>4</v>
      </c>
      <c r="E508">
        <v>2022</v>
      </c>
      <c r="F508">
        <v>13</v>
      </c>
      <c r="G508" t="s">
        <v>2894</v>
      </c>
      <c r="H508" t="s">
        <v>2895</v>
      </c>
      <c r="I508" t="s">
        <v>2874</v>
      </c>
      <c r="J508" t="s">
        <v>189</v>
      </c>
    </row>
    <row r="509" spans="1:10" x14ac:dyDescent="0.35">
      <c r="A509">
        <v>508</v>
      </c>
      <c r="B509" t="s">
        <v>3538</v>
      </c>
      <c r="C509">
        <v>0</v>
      </c>
      <c r="D509">
        <v>3</v>
      </c>
      <c r="E509">
        <v>2019</v>
      </c>
      <c r="F509">
        <v>13</v>
      </c>
      <c r="G509" t="s">
        <v>2867</v>
      </c>
      <c r="H509" t="s">
        <v>19</v>
      </c>
      <c r="I509" t="s">
        <v>2863</v>
      </c>
      <c r="J509" t="s">
        <v>56</v>
      </c>
    </row>
    <row r="510" spans="1:10" x14ac:dyDescent="0.35">
      <c r="A510">
        <v>509</v>
      </c>
      <c r="B510" t="s">
        <v>3539</v>
      </c>
      <c r="C510">
        <v>3</v>
      </c>
      <c r="D510">
        <v>3</v>
      </c>
      <c r="E510">
        <v>2017</v>
      </c>
      <c r="F510">
        <v>18</v>
      </c>
      <c r="G510" t="s">
        <v>2864</v>
      </c>
      <c r="H510" t="s">
        <v>93</v>
      </c>
      <c r="I510" t="s">
        <v>2865</v>
      </c>
      <c r="J510" t="s">
        <v>157</v>
      </c>
    </row>
    <row r="511" spans="1:10" x14ac:dyDescent="0.35">
      <c r="A511">
        <v>510</v>
      </c>
      <c r="B511" t="s">
        <v>3540</v>
      </c>
      <c r="C511">
        <v>5</v>
      </c>
      <c r="D511">
        <v>6</v>
      </c>
      <c r="E511">
        <v>2016</v>
      </c>
      <c r="F511">
        <v>55</v>
      </c>
      <c r="G511" t="s">
        <v>2894</v>
      </c>
      <c r="H511" t="s">
        <v>2895</v>
      </c>
      <c r="I511" t="s">
        <v>2874</v>
      </c>
      <c r="J511" t="s">
        <v>157</v>
      </c>
    </row>
    <row r="512" spans="1:10" x14ac:dyDescent="0.35">
      <c r="A512">
        <v>511</v>
      </c>
      <c r="B512" t="s">
        <v>3541</v>
      </c>
      <c r="C512">
        <v>4</v>
      </c>
      <c r="D512">
        <v>4</v>
      </c>
      <c r="E512">
        <v>2023</v>
      </c>
      <c r="F512">
        <v>1</v>
      </c>
      <c r="G512" t="s">
        <v>3002</v>
      </c>
      <c r="H512" t="s">
        <v>93</v>
      </c>
      <c r="I512" t="s">
        <v>2865</v>
      </c>
      <c r="J512" t="s">
        <v>5</v>
      </c>
    </row>
    <row r="513" spans="1:10" x14ac:dyDescent="0.35">
      <c r="A513">
        <v>512</v>
      </c>
      <c r="B513" t="s">
        <v>3542</v>
      </c>
      <c r="C513">
        <v>3</v>
      </c>
      <c r="D513">
        <v>4</v>
      </c>
      <c r="E513">
        <v>2014</v>
      </c>
      <c r="F513">
        <v>13</v>
      </c>
      <c r="G513" t="s">
        <v>2920</v>
      </c>
      <c r="H513" t="s">
        <v>93</v>
      </c>
      <c r="I513" t="s">
        <v>2865</v>
      </c>
      <c r="J513" t="s">
        <v>5</v>
      </c>
    </row>
    <row r="514" spans="1:10" x14ac:dyDescent="0.35">
      <c r="A514">
        <v>513</v>
      </c>
      <c r="B514" t="s">
        <v>3543</v>
      </c>
      <c r="C514">
        <v>3</v>
      </c>
      <c r="D514">
        <v>3</v>
      </c>
      <c r="E514">
        <v>2015</v>
      </c>
      <c r="F514">
        <v>27</v>
      </c>
      <c r="G514" t="s">
        <v>2866</v>
      </c>
      <c r="H514" t="s">
        <v>19</v>
      </c>
      <c r="I514" t="s">
        <v>2863</v>
      </c>
      <c r="J514" t="s">
        <v>157</v>
      </c>
    </row>
    <row r="515" spans="1:10" x14ac:dyDescent="0.35">
      <c r="A515">
        <v>514</v>
      </c>
      <c r="B515" t="s">
        <v>3544</v>
      </c>
      <c r="C515">
        <v>3</v>
      </c>
      <c r="D515">
        <v>5</v>
      </c>
      <c r="E515">
        <v>2017</v>
      </c>
      <c r="F515">
        <v>49</v>
      </c>
      <c r="G515" t="s">
        <v>2929</v>
      </c>
      <c r="H515" t="s">
        <v>2930</v>
      </c>
      <c r="I515" t="s">
        <v>2885</v>
      </c>
      <c r="J515" t="s">
        <v>231</v>
      </c>
    </row>
    <row r="516" spans="1:10" x14ac:dyDescent="0.35">
      <c r="A516">
        <v>515</v>
      </c>
      <c r="B516" t="s">
        <v>3545</v>
      </c>
      <c r="C516">
        <v>0</v>
      </c>
      <c r="D516">
        <v>6</v>
      </c>
      <c r="E516">
        <v>2023</v>
      </c>
      <c r="F516">
        <v>0</v>
      </c>
      <c r="G516" t="s">
        <v>2877</v>
      </c>
      <c r="H516" t="s">
        <v>19</v>
      </c>
      <c r="I516" t="s">
        <v>2863</v>
      </c>
      <c r="J516" t="s">
        <v>72</v>
      </c>
    </row>
    <row r="517" spans="1:10" x14ac:dyDescent="0.35">
      <c r="A517">
        <v>516</v>
      </c>
      <c r="B517" t="s">
        <v>3546</v>
      </c>
      <c r="C517">
        <v>0</v>
      </c>
      <c r="D517">
        <v>4</v>
      </c>
      <c r="E517">
        <v>2021</v>
      </c>
      <c r="F517">
        <v>8</v>
      </c>
      <c r="G517" t="s">
        <v>2867</v>
      </c>
      <c r="H517" t="s">
        <v>19</v>
      </c>
      <c r="I517" t="s">
        <v>2863</v>
      </c>
      <c r="J517" t="s">
        <v>72</v>
      </c>
    </row>
    <row r="518" spans="1:10" x14ac:dyDescent="0.35">
      <c r="A518">
        <v>517</v>
      </c>
      <c r="B518" t="s">
        <v>3547</v>
      </c>
      <c r="C518">
        <v>19</v>
      </c>
      <c r="D518">
        <v>29</v>
      </c>
      <c r="E518">
        <v>2020</v>
      </c>
      <c r="F518">
        <v>110</v>
      </c>
      <c r="G518" t="s">
        <v>2867</v>
      </c>
      <c r="H518" t="s">
        <v>19</v>
      </c>
      <c r="I518" t="s">
        <v>2863</v>
      </c>
      <c r="J518" t="s">
        <v>231</v>
      </c>
    </row>
    <row r="519" spans="1:10" x14ac:dyDescent="0.35">
      <c r="A519">
        <v>518</v>
      </c>
      <c r="B519" t="s">
        <v>3548</v>
      </c>
      <c r="C519">
        <v>0</v>
      </c>
      <c r="D519">
        <v>6</v>
      </c>
      <c r="E519">
        <v>2019</v>
      </c>
      <c r="F519">
        <v>31</v>
      </c>
      <c r="G519" t="s">
        <v>2877</v>
      </c>
      <c r="H519" t="s">
        <v>19</v>
      </c>
      <c r="I519" t="s">
        <v>2863</v>
      </c>
      <c r="J519" t="s">
        <v>48</v>
      </c>
    </row>
    <row r="520" spans="1:10" x14ac:dyDescent="0.35">
      <c r="A520">
        <v>519</v>
      </c>
      <c r="B520" t="s">
        <v>3549</v>
      </c>
      <c r="C520">
        <v>0</v>
      </c>
      <c r="D520">
        <v>2</v>
      </c>
      <c r="E520">
        <v>2014</v>
      </c>
      <c r="F520">
        <v>15</v>
      </c>
      <c r="G520" t="s">
        <v>2923</v>
      </c>
      <c r="H520" t="s">
        <v>2884</v>
      </c>
      <c r="I520" t="s">
        <v>2885</v>
      </c>
      <c r="J520" t="s">
        <v>72</v>
      </c>
    </row>
    <row r="521" spans="1:10" x14ac:dyDescent="0.35">
      <c r="A521">
        <v>520</v>
      </c>
      <c r="B521" t="s">
        <v>3550</v>
      </c>
      <c r="C521">
        <v>3</v>
      </c>
      <c r="D521">
        <v>3</v>
      </c>
      <c r="E521">
        <v>2022</v>
      </c>
      <c r="F521">
        <v>4</v>
      </c>
      <c r="G521" t="s">
        <v>2984</v>
      </c>
      <c r="H521" t="s">
        <v>2892</v>
      </c>
      <c r="I521" t="s">
        <v>2893</v>
      </c>
      <c r="J521" t="s">
        <v>45</v>
      </c>
    </row>
    <row r="522" spans="1:10" x14ac:dyDescent="0.35">
      <c r="A522">
        <v>521</v>
      </c>
      <c r="B522" t="s">
        <v>3551</v>
      </c>
      <c r="C522">
        <v>0</v>
      </c>
      <c r="D522">
        <v>4</v>
      </c>
      <c r="E522">
        <v>2019</v>
      </c>
      <c r="F522">
        <v>8</v>
      </c>
      <c r="G522" t="s">
        <v>2867</v>
      </c>
      <c r="H522" t="s">
        <v>19</v>
      </c>
      <c r="I522" t="s">
        <v>2863</v>
      </c>
      <c r="J522" t="s">
        <v>72</v>
      </c>
    </row>
    <row r="523" spans="1:10" x14ac:dyDescent="0.35">
      <c r="A523">
        <v>522</v>
      </c>
      <c r="B523" t="s">
        <v>3552</v>
      </c>
      <c r="C523">
        <v>0</v>
      </c>
      <c r="D523">
        <v>2</v>
      </c>
      <c r="E523">
        <v>2020</v>
      </c>
      <c r="F523">
        <v>39</v>
      </c>
      <c r="G523" t="s">
        <v>2867</v>
      </c>
      <c r="H523" t="s">
        <v>19</v>
      </c>
      <c r="I523" t="s">
        <v>2863</v>
      </c>
      <c r="J523" t="s">
        <v>72</v>
      </c>
    </row>
    <row r="524" spans="1:10" x14ac:dyDescent="0.35">
      <c r="A524">
        <v>523</v>
      </c>
      <c r="B524" t="s">
        <v>3553</v>
      </c>
      <c r="C524">
        <v>0</v>
      </c>
      <c r="D524">
        <v>5</v>
      </c>
      <c r="E524">
        <v>2017</v>
      </c>
      <c r="F524">
        <v>18</v>
      </c>
      <c r="G524" t="s">
        <v>2866</v>
      </c>
      <c r="H524" t="s">
        <v>19</v>
      </c>
      <c r="I524" t="s">
        <v>2863</v>
      </c>
      <c r="J524" t="s">
        <v>72</v>
      </c>
    </row>
    <row r="525" spans="1:10" x14ac:dyDescent="0.35">
      <c r="A525">
        <v>524</v>
      </c>
      <c r="B525" t="s">
        <v>3554</v>
      </c>
      <c r="C525">
        <v>0</v>
      </c>
      <c r="D525">
        <v>5</v>
      </c>
      <c r="E525">
        <v>2016</v>
      </c>
      <c r="F525">
        <v>12</v>
      </c>
      <c r="G525" t="s">
        <v>3003</v>
      </c>
      <c r="H525" t="s">
        <v>19</v>
      </c>
      <c r="I525" t="s">
        <v>2863</v>
      </c>
      <c r="J525" t="s">
        <v>72</v>
      </c>
    </row>
    <row r="526" spans="1:10" x14ac:dyDescent="0.35">
      <c r="A526">
        <v>525</v>
      </c>
      <c r="B526" t="s">
        <v>3555</v>
      </c>
      <c r="C526">
        <v>0</v>
      </c>
      <c r="D526">
        <v>4</v>
      </c>
      <c r="E526">
        <v>2023</v>
      </c>
      <c r="F526">
        <v>0</v>
      </c>
      <c r="G526" t="s">
        <v>2964</v>
      </c>
      <c r="H526" t="s">
        <v>2897</v>
      </c>
      <c r="I526" t="s">
        <v>2874</v>
      </c>
      <c r="J526" t="s">
        <v>2094</v>
      </c>
    </row>
    <row r="527" spans="1:10" x14ac:dyDescent="0.35">
      <c r="A527">
        <v>526</v>
      </c>
      <c r="B527" t="s">
        <v>3556</v>
      </c>
      <c r="C527">
        <v>12</v>
      </c>
      <c r="D527">
        <v>12</v>
      </c>
      <c r="E527">
        <v>2021</v>
      </c>
      <c r="F527">
        <v>3</v>
      </c>
      <c r="G527" t="s">
        <v>2866</v>
      </c>
      <c r="H527" t="s">
        <v>19</v>
      </c>
      <c r="I527" t="s">
        <v>2863</v>
      </c>
      <c r="J527" t="s">
        <v>101</v>
      </c>
    </row>
    <row r="528" spans="1:10" x14ac:dyDescent="0.35">
      <c r="A528">
        <v>527</v>
      </c>
      <c r="B528" t="s">
        <v>3557</v>
      </c>
      <c r="C528">
        <v>0</v>
      </c>
      <c r="D528">
        <v>6</v>
      </c>
      <c r="E528">
        <v>2019</v>
      </c>
      <c r="F528">
        <v>15</v>
      </c>
      <c r="G528" t="s">
        <v>2866</v>
      </c>
      <c r="H528" t="s">
        <v>19</v>
      </c>
      <c r="I528" t="s">
        <v>2863</v>
      </c>
      <c r="J528" t="s">
        <v>72</v>
      </c>
    </row>
    <row r="529" spans="1:10" x14ac:dyDescent="0.35">
      <c r="A529">
        <v>528</v>
      </c>
      <c r="B529" t="s">
        <v>3558</v>
      </c>
      <c r="C529">
        <v>1</v>
      </c>
      <c r="D529">
        <v>2</v>
      </c>
      <c r="E529">
        <v>2022</v>
      </c>
      <c r="F529">
        <v>29</v>
      </c>
      <c r="G529" t="s">
        <v>2866</v>
      </c>
      <c r="H529" t="s">
        <v>19</v>
      </c>
      <c r="I529" t="s">
        <v>2863</v>
      </c>
      <c r="J529" t="s">
        <v>517</v>
      </c>
    </row>
    <row r="530" spans="1:10" x14ac:dyDescent="0.35">
      <c r="A530">
        <v>529</v>
      </c>
      <c r="B530" t="s">
        <v>3559</v>
      </c>
      <c r="C530">
        <v>0</v>
      </c>
      <c r="D530">
        <v>4</v>
      </c>
      <c r="E530">
        <v>2017</v>
      </c>
      <c r="F530">
        <v>1</v>
      </c>
      <c r="G530" t="s">
        <v>2991</v>
      </c>
      <c r="H530" t="s">
        <v>2884</v>
      </c>
      <c r="I530" t="s">
        <v>2885</v>
      </c>
      <c r="J530" t="s">
        <v>72</v>
      </c>
    </row>
    <row r="531" spans="1:10" x14ac:dyDescent="0.35">
      <c r="A531">
        <v>530</v>
      </c>
      <c r="B531" t="s">
        <v>3560</v>
      </c>
      <c r="C531">
        <v>0</v>
      </c>
      <c r="D531">
        <v>3</v>
      </c>
      <c r="E531">
        <v>2015</v>
      </c>
      <c r="F531">
        <v>66</v>
      </c>
      <c r="G531" t="s">
        <v>2877</v>
      </c>
      <c r="H531" t="s">
        <v>19</v>
      </c>
      <c r="I531" t="s">
        <v>2863</v>
      </c>
      <c r="J531" t="s">
        <v>19</v>
      </c>
    </row>
    <row r="532" spans="1:10" x14ac:dyDescent="0.35">
      <c r="A532">
        <v>531</v>
      </c>
      <c r="B532" t="s">
        <v>3561</v>
      </c>
      <c r="C532">
        <v>0</v>
      </c>
      <c r="D532">
        <v>5</v>
      </c>
      <c r="E532">
        <v>2022</v>
      </c>
      <c r="F532">
        <v>1</v>
      </c>
      <c r="G532" t="s">
        <v>2969</v>
      </c>
      <c r="H532" t="s">
        <v>2880</v>
      </c>
      <c r="I532" t="s">
        <v>2874</v>
      </c>
      <c r="J532" t="s">
        <v>72</v>
      </c>
    </row>
    <row r="533" spans="1:10" x14ac:dyDescent="0.35">
      <c r="A533">
        <v>532</v>
      </c>
      <c r="B533" t="s">
        <v>3562</v>
      </c>
      <c r="C533">
        <v>4</v>
      </c>
      <c r="D533">
        <v>4</v>
      </c>
      <c r="E533">
        <v>2020</v>
      </c>
      <c r="F533">
        <v>5</v>
      </c>
      <c r="G533" t="s">
        <v>2906</v>
      </c>
      <c r="H533" t="s">
        <v>2907</v>
      </c>
      <c r="I533" t="s">
        <v>2908</v>
      </c>
      <c r="J533" t="s">
        <v>101</v>
      </c>
    </row>
    <row r="534" spans="1:10" x14ac:dyDescent="0.35">
      <c r="A534">
        <v>533</v>
      </c>
      <c r="B534" t="s">
        <v>3563</v>
      </c>
      <c r="C534">
        <v>0</v>
      </c>
      <c r="D534">
        <v>5</v>
      </c>
      <c r="E534">
        <v>2016</v>
      </c>
      <c r="F534">
        <v>44</v>
      </c>
      <c r="G534" t="s">
        <v>3004</v>
      </c>
      <c r="H534" t="s">
        <v>19</v>
      </c>
      <c r="I534" t="s">
        <v>2863</v>
      </c>
      <c r="J534" t="s">
        <v>19</v>
      </c>
    </row>
    <row r="535" spans="1:10" x14ac:dyDescent="0.35">
      <c r="A535">
        <v>534</v>
      </c>
      <c r="B535" t="s">
        <v>3564</v>
      </c>
      <c r="C535">
        <v>0</v>
      </c>
      <c r="D535">
        <v>3</v>
      </c>
      <c r="E535">
        <v>2021</v>
      </c>
      <c r="F535">
        <v>11</v>
      </c>
      <c r="G535" t="s">
        <v>2867</v>
      </c>
      <c r="H535" t="s">
        <v>19</v>
      </c>
      <c r="I535" t="s">
        <v>2863</v>
      </c>
      <c r="J535" t="s">
        <v>72</v>
      </c>
    </row>
    <row r="536" spans="1:10" x14ac:dyDescent="0.35">
      <c r="A536">
        <v>535</v>
      </c>
      <c r="B536" t="s">
        <v>3565</v>
      </c>
      <c r="C536">
        <v>0</v>
      </c>
      <c r="D536">
        <v>3</v>
      </c>
      <c r="E536">
        <v>2017</v>
      </c>
      <c r="F536">
        <v>194</v>
      </c>
      <c r="G536" t="s">
        <v>2877</v>
      </c>
      <c r="H536" t="s">
        <v>19</v>
      </c>
      <c r="I536" t="s">
        <v>2863</v>
      </c>
      <c r="J536" t="s">
        <v>19</v>
      </c>
    </row>
    <row r="537" spans="1:10" x14ac:dyDescent="0.35">
      <c r="A537">
        <v>536</v>
      </c>
      <c r="B537" t="s">
        <v>3566</v>
      </c>
      <c r="C537">
        <v>0</v>
      </c>
      <c r="D537">
        <v>1</v>
      </c>
      <c r="E537">
        <v>2022</v>
      </c>
      <c r="F537">
        <v>3</v>
      </c>
      <c r="G537" t="s">
        <v>2926</v>
      </c>
      <c r="H537" t="s">
        <v>2873</v>
      </c>
      <c r="I537" t="s">
        <v>2874</v>
      </c>
      <c r="J537" t="s">
        <v>35</v>
      </c>
    </row>
    <row r="538" spans="1:10" x14ac:dyDescent="0.35">
      <c r="A538">
        <v>537</v>
      </c>
      <c r="B538" t="s">
        <v>3567</v>
      </c>
      <c r="C538">
        <v>0</v>
      </c>
      <c r="D538">
        <v>6</v>
      </c>
      <c r="E538">
        <v>2022</v>
      </c>
      <c r="F538">
        <v>27</v>
      </c>
      <c r="G538" t="s">
        <v>3005</v>
      </c>
      <c r="H538" t="s">
        <v>2884</v>
      </c>
      <c r="I538" t="s">
        <v>2885</v>
      </c>
      <c r="J538" t="s">
        <v>25</v>
      </c>
    </row>
    <row r="539" spans="1:10" x14ac:dyDescent="0.35">
      <c r="A539">
        <v>538</v>
      </c>
      <c r="B539" t="s">
        <v>3568</v>
      </c>
      <c r="C539">
        <v>0</v>
      </c>
      <c r="D539">
        <v>4</v>
      </c>
      <c r="E539">
        <v>2021</v>
      </c>
      <c r="F539">
        <v>14</v>
      </c>
      <c r="G539" t="s">
        <v>2954</v>
      </c>
      <c r="H539" t="s">
        <v>93</v>
      </c>
      <c r="I539" t="s">
        <v>2865</v>
      </c>
      <c r="J539" t="s">
        <v>25</v>
      </c>
    </row>
    <row r="540" spans="1:10" x14ac:dyDescent="0.35">
      <c r="A540">
        <v>539</v>
      </c>
      <c r="B540" t="s">
        <v>3569</v>
      </c>
      <c r="C540">
        <v>4</v>
      </c>
      <c r="D540">
        <v>4</v>
      </c>
      <c r="E540">
        <v>2021</v>
      </c>
      <c r="F540">
        <v>6</v>
      </c>
      <c r="G540" t="s">
        <v>2942</v>
      </c>
      <c r="H540" t="s">
        <v>2902</v>
      </c>
      <c r="I540" t="s">
        <v>2885</v>
      </c>
      <c r="J540" t="s">
        <v>189</v>
      </c>
    </row>
    <row r="541" spans="1:10" x14ac:dyDescent="0.35">
      <c r="A541">
        <v>540</v>
      </c>
      <c r="B541" t="s">
        <v>3570</v>
      </c>
      <c r="C541">
        <v>5</v>
      </c>
      <c r="D541">
        <v>5</v>
      </c>
      <c r="E541">
        <v>2021</v>
      </c>
      <c r="F541">
        <v>4</v>
      </c>
      <c r="G541" t="s">
        <v>2894</v>
      </c>
      <c r="H541" t="s">
        <v>2895</v>
      </c>
      <c r="I541" t="s">
        <v>2874</v>
      </c>
      <c r="J541" t="s">
        <v>189</v>
      </c>
    </row>
    <row r="542" spans="1:10" x14ac:dyDescent="0.35">
      <c r="A542">
        <v>541</v>
      </c>
      <c r="B542" t="s">
        <v>3571</v>
      </c>
      <c r="C542">
        <v>0</v>
      </c>
      <c r="D542">
        <v>4</v>
      </c>
      <c r="E542">
        <v>2019</v>
      </c>
      <c r="F542">
        <v>7</v>
      </c>
      <c r="G542" t="s">
        <v>3006</v>
      </c>
      <c r="H542" t="s">
        <v>93</v>
      </c>
      <c r="I542" t="s">
        <v>2865</v>
      </c>
      <c r="J542" t="s">
        <v>164</v>
      </c>
    </row>
    <row r="543" spans="1:10" x14ac:dyDescent="0.35">
      <c r="A543">
        <v>542</v>
      </c>
      <c r="B543" t="s">
        <v>3572</v>
      </c>
      <c r="C543">
        <v>0</v>
      </c>
      <c r="D543">
        <v>3</v>
      </c>
      <c r="E543">
        <v>2019</v>
      </c>
      <c r="F543">
        <v>16</v>
      </c>
      <c r="G543" t="s">
        <v>2928</v>
      </c>
      <c r="H543" t="s">
        <v>19</v>
      </c>
      <c r="I543" t="s">
        <v>2863</v>
      </c>
      <c r="J543" t="s">
        <v>517</v>
      </c>
    </row>
    <row r="544" spans="1:10" x14ac:dyDescent="0.35">
      <c r="A544">
        <v>543</v>
      </c>
      <c r="B544" t="s">
        <v>3573</v>
      </c>
      <c r="C544">
        <v>0</v>
      </c>
      <c r="D544">
        <v>2</v>
      </c>
      <c r="E544">
        <v>2022</v>
      </c>
      <c r="F544">
        <v>0</v>
      </c>
      <c r="G544" t="s">
        <v>2901</v>
      </c>
      <c r="H544" t="s">
        <v>2902</v>
      </c>
      <c r="I544" t="s">
        <v>2885</v>
      </c>
      <c r="J544" t="s">
        <v>16</v>
      </c>
    </row>
    <row r="545" spans="1:10" x14ac:dyDescent="0.35">
      <c r="A545">
        <v>544</v>
      </c>
      <c r="B545" t="s">
        <v>3574</v>
      </c>
      <c r="C545">
        <v>5</v>
      </c>
      <c r="D545">
        <v>23</v>
      </c>
      <c r="E545">
        <v>2018</v>
      </c>
      <c r="F545">
        <v>4</v>
      </c>
      <c r="G545" t="s">
        <v>2947</v>
      </c>
      <c r="H545" t="s">
        <v>19</v>
      </c>
      <c r="I545" t="s">
        <v>2863</v>
      </c>
      <c r="J545" t="s">
        <v>16</v>
      </c>
    </row>
    <row r="546" spans="1:10" x14ac:dyDescent="0.35">
      <c r="A546">
        <v>545</v>
      </c>
      <c r="B546" t="s">
        <v>3575</v>
      </c>
      <c r="C546">
        <v>0</v>
      </c>
      <c r="D546">
        <v>2</v>
      </c>
      <c r="E546">
        <v>2021</v>
      </c>
      <c r="F546">
        <v>2</v>
      </c>
      <c r="G546" t="s">
        <v>2901</v>
      </c>
      <c r="H546" t="s">
        <v>2902</v>
      </c>
      <c r="I546" t="s">
        <v>2885</v>
      </c>
      <c r="J546" t="s">
        <v>16</v>
      </c>
    </row>
    <row r="547" spans="1:10" x14ac:dyDescent="0.35">
      <c r="A547">
        <v>546</v>
      </c>
      <c r="B547" t="s">
        <v>3576</v>
      </c>
      <c r="C547">
        <v>0</v>
      </c>
      <c r="D547">
        <v>1</v>
      </c>
      <c r="E547">
        <v>2020</v>
      </c>
      <c r="F547">
        <v>5</v>
      </c>
      <c r="G547" t="s">
        <v>2886</v>
      </c>
      <c r="H547" t="s">
        <v>2880</v>
      </c>
      <c r="I547" t="s">
        <v>2874</v>
      </c>
      <c r="J547" t="s">
        <v>245</v>
      </c>
    </row>
    <row r="548" spans="1:10" x14ac:dyDescent="0.35">
      <c r="A548">
        <v>547</v>
      </c>
      <c r="B548" t="s">
        <v>3577</v>
      </c>
      <c r="C548">
        <v>0</v>
      </c>
      <c r="D548">
        <v>3</v>
      </c>
      <c r="E548">
        <v>2016</v>
      </c>
      <c r="F548">
        <v>103</v>
      </c>
      <c r="G548" t="s">
        <v>2872</v>
      </c>
      <c r="H548" t="s">
        <v>2873</v>
      </c>
      <c r="I548" t="s">
        <v>2874</v>
      </c>
      <c r="J548" t="s">
        <v>56</v>
      </c>
    </row>
    <row r="549" spans="1:10" x14ac:dyDescent="0.35">
      <c r="A549">
        <v>548</v>
      </c>
      <c r="B549" t="s">
        <v>3578</v>
      </c>
      <c r="C549">
        <v>0</v>
      </c>
      <c r="D549">
        <v>6</v>
      </c>
      <c r="E549">
        <v>2017</v>
      </c>
      <c r="F549">
        <v>17</v>
      </c>
      <c r="G549" t="s">
        <v>2862</v>
      </c>
      <c r="H549" t="s">
        <v>19</v>
      </c>
      <c r="I549" t="s">
        <v>2863</v>
      </c>
      <c r="J549" t="s">
        <v>72</v>
      </c>
    </row>
    <row r="550" spans="1:10" x14ac:dyDescent="0.35">
      <c r="A550">
        <v>549</v>
      </c>
      <c r="B550" t="s">
        <v>3579</v>
      </c>
      <c r="C550">
        <v>3</v>
      </c>
      <c r="D550">
        <v>3</v>
      </c>
      <c r="E550">
        <v>2023</v>
      </c>
      <c r="F550">
        <v>1</v>
      </c>
      <c r="G550" t="s">
        <v>2871</v>
      </c>
      <c r="H550" t="s">
        <v>19</v>
      </c>
      <c r="I550" t="s">
        <v>2863</v>
      </c>
      <c r="J550" t="s">
        <v>231</v>
      </c>
    </row>
    <row r="551" spans="1:10" x14ac:dyDescent="0.35">
      <c r="A551">
        <v>550</v>
      </c>
      <c r="B551" t="s">
        <v>3580</v>
      </c>
      <c r="C551">
        <v>3</v>
      </c>
      <c r="D551">
        <v>9</v>
      </c>
      <c r="E551">
        <v>2022</v>
      </c>
      <c r="F551">
        <v>7</v>
      </c>
      <c r="G551" t="s">
        <v>2894</v>
      </c>
      <c r="H551" t="s">
        <v>2895</v>
      </c>
      <c r="I551" t="s">
        <v>2874</v>
      </c>
      <c r="J551" t="s">
        <v>972</v>
      </c>
    </row>
    <row r="552" spans="1:10" x14ac:dyDescent="0.35">
      <c r="A552">
        <v>551</v>
      </c>
      <c r="B552" t="s">
        <v>3581</v>
      </c>
      <c r="C552">
        <v>0</v>
      </c>
      <c r="D552">
        <v>1</v>
      </c>
      <c r="E552">
        <v>2019</v>
      </c>
      <c r="F552">
        <v>7</v>
      </c>
      <c r="G552" t="s">
        <v>2931</v>
      </c>
      <c r="H552" t="s">
        <v>2897</v>
      </c>
      <c r="I552" t="s">
        <v>2874</v>
      </c>
      <c r="J552" t="s">
        <v>19</v>
      </c>
    </row>
    <row r="553" spans="1:10" x14ac:dyDescent="0.35">
      <c r="A553">
        <v>552</v>
      </c>
      <c r="B553" t="s">
        <v>3582</v>
      </c>
      <c r="C553">
        <v>0</v>
      </c>
      <c r="D553">
        <v>12</v>
      </c>
      <c r="E553">
        <v>2023</v>
      </c>
      <c r="F553">
        <v>3</v>
      </c>
      <c r="G553" t="s">
        <v>2919</v>
      </c>
      <c r="H553" t="s">
        <v>19</v>
      </c>
      <c r="I553" t="s">
        <v>2863</v>
      </c>
      <c r="J553" t="s">
        <v>19</v>
      </c>
    </row>
    <row r="554" spans="1:10" x14ac:dyDescent="0.35">
      <c r="A554">
        <v>553</v>
      </c>
      <c r="B554" t="s">
        <v>3583</v>
      </c>
      <c r="C554">
        <v>3</v>
      </c>
      <c r="D554">
        <v>6</v>
      </c>
      <c r="E554">
        <v>2016</v>
      </c>
      <c r="F554">
        <v>15</v>
      </c>
      <c r="G554" t="s">
        <v>2877</v>
      </c>
      <c r="H554" t="s">
        <v>19</v>
      </c>
      <c r="I554" t="s">
        <v>2863</v>
      </c>
      <c r="J554" t="s">
        <v>189</v>
      </c>
    </row>
    <row r="555" spans="1:10" x14ac:dyDescent="0.35">
      <c r="A555">
        <v>554</v>
      </c>
      <c r="B555" t="s">
        <v>3584</v>
      </c>
      <c r="C555">
        <v>3</v>
      </c>
      <c r="D555">
        <v>6</v>
      </c>
      <c r="E555">
        <v>2022</v>
      </c>
      <c r="F555">
        <v>1</v>
      </c>
      <c r="G555" t="s">
        <v>2942</v>
      </c>
      <c r="H555" t="s">
        <v>2902</v>
      </c>
      <c r="I555" t="s">
        <v>2885</v>
      </c>
      <c r="J555" t="s">
        <v>5</v>
      </c>
    </row>
    <row r="556" spans="1:10" x14ac:dyDescent="0.35">
      <c r="A556">
        <v>555</v>
      </c>
      <c r="B556" t="s">
        <v>3585</v>
      </c>
      <c r="C556">
        <v>1</v>
      </c>
      <c r="D556">
        <v>3</v>
      </c>
      <c r="E556">
        <v>2015</v>
      </c>
      <c r="F556">
        <v>23</v>
      </c>
      <c r="G556" t="s">
        <v>2888</v>
      </c>
      <c r="H556" t="s">
        <v>2873</v>
      </c>
      <c r="I556" t="s">
        <v>2874</v>
      </c>
      <c r="J556" t="s">
        <v>25</v>
      </c>
    </row>
    <row r="557" spans="1:10" x14ac:dyDescent="0.35">
      <c r="A557">
        <v>556</v>
      </c>
      <c r="B557" t="s">
        <v>3586</v>
      </c>
      <c r="C557">
        <v>3</v>
      </c>
      <c r="D557">
        <v>3</v>
      </c>
      <c r="E557">
        <v>2023</v>
      </c>
      <c r="F557">
        <v>4</v>
      </c>
      <c r="G557" t="s">
        <v>2926</v>
      </c>
      <c r="H557" t="s">
        <v>2873</v>
      </c>
      <c r="I557" t="s">
        <v>2874</v>
      </c>
      <c r="J557" t="s">
        <v>189</v>
      </c>
    </row>
    <row r="558" spans="1:10" x14ac:dyDescent="0.35">
      <c r="A558">
        <v>557</v>
      </c>
      <c r="B558" t="s">
        <v>3587</v>
      </c>
      <c r="C558">
        <v>3</v>
      </c>
      <c r="D558">
        <v>6</v>
      </c>
      <c r="E558">
        <v>2021</v>
      </c>
      <c r="F558">
        <v>3</v>
      </c>
      <c r="G558" t="s">
        <v>2921</v>
      </c>
      <c r="H558" t="s">
        <v>93</v>
      </c>
      <c r="I558" t="s">
        <v>2865</v>
      </c>
      <c r="J558" t="s">
        <v>189</v>
      </c>
    </row>
    <row r="559" spans="1:10" x14ac:dyDescent="0.35">
      <c r="A559">
        <v>558</v>
      </c>
      <c r="B559" t="s">
        <v>3588</v>
      </c>
      <c r="C559">
        <v>0</v>
      </c>
      <c r="D559">
        <v>2</v>
      </c>
      <c r="E559">
        <v>2014</v>
      </c>
      <c r="F559">
        <v>14</v>
      </c>
      <c r="G559" t="s">
        <v>2869</v>
      </c>
      <c r="H559" t="s">
        <v>93</v>
      </c>
      <c r="I559" t="s">
        <v>2865</v>
      </c>
      <c r="J559" t="s">
        <v>35</v>
      </c>
    </row>
    <row r="560" spans="1:10" x14ac:dyDescent="0.35">
      <c r="A560">
        <v>559</v>
      </c>
      <c r="B560" t="s">
        <v>3589</v>
      </c>
      <c r="C560">
        <v>0</v>
      </c>
      <c r="D560">
        <v>1</v>
      </c>
      <c r="E560">
        <v>2022</v>
      </c>
      <c r="F560">
        <v>2</v>
      </c>
      <c r="G560" t="s">
        <v>2867</v>
      </c>
      <c r="H560" t="s">
        <v>19</v>
      </c>
      <c r="I560" t="s">
        <v>2863</v>
      </c>
      <c r="J560" t="s">
        <v>25</v>
      </c>
    </row>
    <row r="561" spans="1:10" x14ac:dyDescent="0.35">
      <c r="A561">
        <v>560</v>
      </c>
      <c r="B561" t="s">
        <v>3590</v>
      </c>
      <c r="C561">
        <v>0</v>
      </c>
      <c r="D561">
        <v>6</v>
      </c>
      <c r="E561">
        <v>2022</v>
      </c>
      <c r="F561">
        <v>16</v>
      </c>
      <c r="G561" t="s">
        <v>2872</v>
      </c>
      <c r="H561" t="s">
        <v>2873</v>
      </c>
      <c r="I561" t="s">
        <v>2874</v>
      </c>
      <c r="J561" t="s">
        <v>72</v>
      </c>
    </row>
    <row r="562" spans="1:10" x14ac:dyDescent="0.35">
      <c r="A562">
        <v>561</v>
      </c>
      <c r="B562" t="s">
        <v>3591</v>
      </c>
      <c r="C562">
        <v>0</v>
      </c>
      <c r="D562">
        <v>6</v>
      </c>
      <c r="E562">
        <v>2019</v>
      </c>
      <c r="F562">
        <v>21</v>
      </c>
      <c r="G562" t="s">
        <v>2877</v>
      </c>
      <c r="H562" t="s">
        <v>19</v>
      </c>
      <c r="I562" t="s">
        <v>2863</v>
      </c>
      <c r="J562" t="s">
        <v>72</v>
      </c>
    </row>
    <row r="563" spans="1:10" x14ac:dyDescent="0.35">
      <c r="A563">
        <v>562</v>
      </c>
      <c r="B563" t="s">
        <v>3592</v>
      </c>
      <c r="C563">
        <v>2</v>
      </c>
      <c r="D563">
        <v>2</v>
      </c>
      <c r="E563">
        <v>2014</v>
      </c>
      <c r="F563">
        <v>2</v>
      </c>
      <c r="G563" t="s">
        <v>2871</v>
      </c>
      <c r="H563" t="s">
        <v>19</v>
      </c>
      <c r="I563" t="s">
        <v>2863</v>
      </c>
      <c r="J563" t="s">
        <v>5</v>
      </c>
    </row>
    <row r="564" spans="1:10" x14ac:dyDescent="0.35">
      <c r="A564">
        <v>563</v>
      </c>
      <c r="B564" t="s">
        <v>3593</v>
      </c>
      <c r="C564">
        <v>2</v>
      </c>
      <c r="D564">
        <v>4</v>
      </c>
      <c r="E564">
        <v>2023</v>
      </c>
      <c r="F564">
        <v>0</v>
      </c>
      <c r="G564" t="s">
        <v>2882</v>
      </c>
      <c r="H564" t="s">
        <v>19</v>
      </c>
      <c r="I564" t="s">
        <v>2863</v>
      </c>
      <c r="J564" t="s">
        <v>16</v>
      </c>
    </row>
    <row r="565" spans="1:10" x14ac:dyDescent="0.35">
      <c r="A565">
        <v>564</v>
      </c>
      <c r="B565" t="s">
        <v>3594</v>
      </c>
      <c r="C565">
        <v>0</v>
      </c>
      <c r="D565">
        <v>9</v>
      </c>
      <c r="E565">
        <v>2016</v>
      </c>
      <c r="F565">
        <v>137</v>
      </c>
      <c r="G565" t="s">
        <v>2969</v>
      </c>
      <c r="H565" t="s">
        <v>2880</v>
      </c>
      <c r="I565" t="s">
        <v>2874</v>
      </c>
      <c r="J565" t="s">
        <v>72</v>
      </c>
    </row>
    <row r="566" spans="1:10" x14ac:dyDescent="0.35">
      <c r="A566">
        <v>565</v>
      </c>
      <c r="B566" t="s">
        <v>3595</v>
      </c>
      <c r="C566">
        <v>0</v>
      </c>
      <c r="D566">
        <v>5</v>
      </c>
      <c r="E566">
        <v>2016</v>
      </c>
      <c r="F566">
        <v>11</v>
      </c>
      <c r="G566" t="s">
        <v>2932</v>
      </c>
      <c r="H566" t="s">
        <v>2884</v>
      </c>
      <c r="I566" t="s">
        <v>2885</v>
      </c>
      <c r="J566" t="s">
        <v>72</v>
      </c>
    </row>
    <row r="567" spans="1:10" x14ac:dyDescent="0.35">
      <c r="A567">
        <v>566</v>
      </c>
      <c r="B567" t="s">
        <v>3596</v>
      </c>
      <c r="C567">
        <v>0</v>
      </c>
      <c r="D567">
        <v>6</v>
      </c>
      <c r="E567">
        <v>2019</v>
      </c>
      <c r="F567">
        <v>49</v>
      </c>
      <c r="G567" t="s">
        <v>2867</v>
      </c>
      <c r="H567" t="s">
        <v>19</v>
      </c>
      <c r="I567" t="s">
        <v>2863</v>
      </c>
      <c r="J567" t="s">
        <v>72</v>
      </c>
    </row>
    <row r="568" spans="1:10" x14ac:dyDescent="0.35">
      <c r="A568">
        <v>567</v>
      </c>
      <c r="B568" t="s">
        <v>3597</v>
      </c>
      <c r="C568">
        <v>0</v>
      </c>
      <c r="D568">
        <v>3</v>
      </c>
      <c r="E568">
        <v>2021</v>
      </c>
      <c r="F568">
        <v>5</v>
      </c>
      <c r="G568" t="s">
        <v>2866</v>
      </c>
      <c r="H568" t="s">
        <v>19</v>
      </c>
      <c r="I568" t="s">
        <v>2863</v>
      </c>
      <c r="J568" t="s">
        <v>517</v>
      </c>
    </row>
    <row r="569" spans="1:10" x14ac:dyDescent="0.35">
      <c r="A569">
        <v>568</v>
      </c>
      <c r="B569" t="s">
        <v>3598</v>
      </c>
      <c r="C569">
        <v>0</v>
      </c>
      <c r="D569">
        <v>2</v>
      </c>
      <c r="E569">
        <v>2014</v>
      </c>
      <c r="F569">
        <v>138</v>
      </c>
      <c r="G569" t="s">
        <v>2894</v>
      </c>
      <c r="H569" t="s">
        <v>2895</v>
      </c>
      <c r="I569" t="s">
        <v>2874</v>
      </c>
      <c r="J569" t="s">
        <v>19</v>
      </c>
    </row>
    <row r="570" spans="1:10" x14ac:dyDescent="0.35">
      <c r="A570">
        <v>569</v>
      </c>
      <c r="B570" t="s">
        <v>3599</v>
      </c>
      <c r="C570">
        <v>0</v>
      </c>
      <c r="D570">
        <v>3</v>
      </c>
      <c r="E570">
        <v>2021</v>
      </c>
      <c r="F570">
        <v>3</v>
      </c>
      <c r="G570" t="s">
        <v>2866</v>
      </c>
      <c r="H570" t="s">
        <v>19</v>
      </c>
      <c r="I570" t="s">
        <v>2863</v>
      </c>
      <c r="J570" t="s">
        <v>72</v>
      </c>
    </row>
    <row r="571" spans="1:10" x14ac:dyDescent="0.35">
      <c r="A571">
        <v>570</v>
      </c>
      <c r="B571" t="s">
        <v>3600</v>
      </c>
      <c r="C571">
        <v>0</v>
      </c>
      <c r="D571">
        <v>3</v>
      </c>
      <c r="E571">
        <v>2016</v>
      </c>
      <c r="F571">
        <v>43</v>
      </c>
      <c r="G571" t="s">
        <v>2877</v>
      </c>
      <c r="H571" t="s">
        <v>19</v>
      </c>
      <c r="I571" t="s">
        <v>2863</v>
      </c>
      <c r="J571" t="s">
        <v>19</v>
      </c>
    </row>
    <row r="572" spans="1:10" x14ac:dyDescent="0.35">
      <c r="A572">
        <v>571</v>
      </c>
      <c r="B572" t="s">
        <v>3601</v>
      </c>
      <c r="C572">
        <v>2</v>
      </c>
      <c r="D572">
        <v>2</v>
      </c>
      <c r="E572">
        <v>2018</v>
      </c>
      <c r="F572">
        <v>17</v>
      </c>
      <c r="G572" t="s">
        <v>2866</v>
      </c>
      <c r="H572" t="s">
        <v>19</v>
      </c>
      <c r="I572" t="s">
        <v>2863</v>
      </c>
      <c r="J572" t="s">
        <v>157</v>
      </c>
    </row>
    <row r="573" spans="1:10" x14ac:dyDescent="0.35">
      <c r="A573">
        <v>572</v>
      </c>
      <c r="B573" t="s">
        <v>3602</v>
      </c>
      <c r="C573">
        <v>1</v>
      </c>
      <c r="D573">
        <v>5</v>
      </c>
      <c r="E573">
        <v>2021</v>
      </c>
      <c r="F573">
        <v>2</v>
      </c>
      <c r="G573" t="s">
        <v>2921</v>
      </c>
      <c r="H573" t="s">
        <v>93</v>
      </c>
      <c r="I573" t="s">
        <v>2865</v>
      </c>
      <c r="J573" t="s">
        <v>261</v>
      </c>
    </row>
    <row r="574" spans="1:10" x14ac:dyDescent="0.35">
      <c r="A574">
        <v>573</v>
      </c>
      <c r="B574" t="s">
        <v>3603</v>
      </c>
      <c r="C574">
        <v>4</v>
      </c>
      <c r="D574">
        <v>4</v>
      </c>
      <c r="E574">
        <v>2021</v>
      </c>
      <c r="F574">
        <v>19</v>
      </c>
      <c r="G574" t="s">
        <v>2871</v>
      </c>
      <c r="H574" t="s">
        <v>19</v>
      </c>
      <c r="I574" t="s">
        <v>2863</v>
      </c>
      <c r="J574" t="s">
        <v>231</v>
      </c>
    </row>
    <row r="575" spans="1:10" x14ac:dyDescent="0.35">
      <c r="A575">
        <v>574</v>
      </c>
      <c r="B575" t="s">
        <v>3604</v>
      </c>
      <c r="C575">
        <v>0</v>
      </c>
      <c r="D575">
        <v>4</v>
      </c>
      <c r="E575">
        <v>2022</v>
      </c>
      <c r="F575">
        <v>1</v>
      </c>
      <c r="G575" t="s">
        <v>2894</v>
      </c>
      <c r="H575" t="s">
        <v>2895</v>
      </c>
      <c r="I575" t="s">
        <v>2874</v>
      </c>
      <c r="J575" t="s">
        <v>72</v>
      </c>
    </row>
    <row r="576" spans="1:10" x14ac:dyDescent="0.35">
      <c r="A576">
        <v>575</v>
      </c>
      <c r="B576" t="s">
        <v>3605</v>
      </c>
      <c r="C576">
        <v>0</v>
      </c>
      <c r="D576">
        <v>2</v>
      </c>
      <c r="E576">
        <v>2017</v>
      </c>
      <c r="F576">
        <v>7</v>
      </c>
      <c r="G576" t="s">
        <v>2866</v>
      </c>
      <c r="H576" t="s">
        <v>19</v>
      </c>
      <c r="I576" t="s">
        <v>2863</v>
      </c>
      <c r="J576" t="s">
        <v>19</v>
      </c>
    </row>
    <row r="577" spans="1:10" x14ac:dyDescent="0.35">
      <c r="A577">
        <v>576</v>
      </c>
      <c r="B577" t="s">
        <v>3606</v>
      </c>
      <c r="C577">
        <v>2</v>
      </c>
      <c r="D577">
        <v>4</v>
      </c>
      <c r="E577">
        <v>2019</v>
      </c>
      <c r="F577">
        <v>22</v>
      </c>
      <c r="G577" t="s">
        <v>2894</v>
      </c>
      <c r="H577" t="s">
        <v>2895</v>
      </c>
      <c r="I577" t="s">
        <v>2874</v>
      </c>
      <c r="J577" t="s">
        <v>2261</v>
      </c>
    </row>
    <row r="578" spans="1:10" x14ac:dyDescent="0.35">
      <c r="A578">
        <v>577</v>
      </c>
      <c r="B578" t="s">
        <v>3607</v>
      </c>
      <c r="C578">
        <v>5</v>
      </c>
      <c r="D578">
        <v>6</v>
      </c>
      <c r="E578">
        <v>2023</v>
      </c>
      <c r="F578">
        <v>6</v>
      </c>
      <c r="G578" t="s">
        <v>2926</v>
      </c>
      <c r="H578" t="s">
        <v>2873</v>
      </c>
      <c r="I578" t="s">
        <v>2874</v>
      </c>
      <c r="J578" t="s">
        <v>231</v>
      </c>
    </row>
    <row r="579" spans="1:10" x14ac:dyDescent="0.35">
      <c r="A579">
        <v>578</v>
      </c>
      <c r="B579" t="s">
        <v>3608</v>
      </c>
      <c r="C579">
        <v>0</v>
      </c>
      <c r="D579">
        <v>5</v>
      </c>
      <c r="E579">
        <v>2018</v>
      </c>
      <c r="F579">
        <v>1</v>
      </c>
      <c r="G579" t="s">
        <v>3007</v>
      </c>
      <c r="H579" t="s">
        <v>2884</v>
      </c>
      <c r="I579" t="s">
        <v>2885</v>
      </c>
      <c r="J579" t="s">
        <v>72</v>
      </c>
    </row>
    <row r="580" spans="1:10" x14ac:dyDescent="0.35">
      <c r="A580">
        <v>579</v>
      </c>
      <c r="B580" t="s">
        <v>3609</v>
      </c>
      <c r="C580">
        <v>5</v>
      </c>
      <c r="D580">
        <v>5</v>
      </c>
      <c r="E580">
        <v>2018</v>
      </c>
      <c r="F580">
        <v>21</v>
      </c>
      <c r="G580" t="s">
        <v>2894</v>
      </c>
      <c r="H580" t="s">
        <v>2895</v>
      </c>
      <c r="I580" t="s">
        <v>2874</v>
      </c>
      <c r="J580" t="s">
        <v>231</v>
      </c>
    </row>
    <row r="581" spans="1:10" x14ac:dyDescent="0.35">
      <c r="A581">
        <v>580</v>
      </c>
      <c r="B581" t="s">
        <v>3610</v>
      </c>
      <c r="C581">
        <v>3</v>
      </c>
      <c r="D581">
        <v>4</v>
      </c>
      <c r="E581">
        <v>2014</v>
      </c>
      <c r="F581">
        <v>5</v>
      </c>
      <c r="G581" t="s">
        <v>2887</v>
      </c>
      <c r="H581" t="s">
        <v>19</v>
      </c>
      <c r="I581" t="s">
        <v>2863</v>
      </c>
      <c r="J581" t="s">
        <v>153</v>
      </c>
    </row>
    <row r="582" spans="1:10" x14ac:dyDescent="0.35">
      <c r="A582">
        <v>581</v>
      </c>
      <c r="B582" t="s">
        <v>3611</v>
      </c>
      <c r="C582">
        <v>3</v>
      </c>
      <c r="D582">
        <v>3</v>
      </c>
      <c r="E582">
        <v>2014</v>
      </c>
      <c r="F582">
        <v>156</v>
      </c>
      <c r="G582" t="s">
        <v>2894</v>
      </c>
      <c r="H582" t="s">
        <v>2895</v>
      </c>
      <c r="I582" t="s">
        <v>2874</v>
      </c>
      <c r="J582" t="s">
        <v>231</v>
      </c>
    </row>
    <row r="583" spans="1:10" x14ac:dyDescent="0.35">
      <c r="A583">
        <v>582</v>
      </c>
      <c r="B583" t="s">
        <v>3612</v>
      </c>
      <c r="C583">
        <v>0</v>
      </c>
      <c r="D583">
        <v>3</v>
      </c>
      <c r="E583">
        <v>2015</v>
      </c>
      <c r="F583">
        <v>12</v>
      </c>
      <c r="G583" t="s">
        <v>2866</v>
      </c>
      <c r="H583" t="s">
        <v>19</v>
      </c>
      <c r="I583" t="s">
        <v>2863</v>
      </c>
      <c r="J583" t="s">
        <v>2285</v>
      </c>
    </row>
    <row r="584" spans="1:10" x14ac:dyDescent="0.35">
      <c r="A584">
        <v>583</v>
      </c>
      <c r="B584" t="s">
        <v>3613</v>
      </c>
      <c r="C584">
        <v>0</v>
      </c>
      <c r="D584">
        <v>4</v>
      </c>
      <c r="E584">
        <v>2023</v>
      </c>
      <c r="F584">
        <v>2</v>
      </c>
      <c r="G584" t="s">
        <v>2969</v>
      </c>
      <c r="H584" t="s">
        <v>2880</v>
      </c>
      <c r="I584" t="s">
        <v>2874</v>
      </c>
      <c r="J584" t="s">
        <v>72</v>
      </c>
    </row>
    <row r="585" spans="1:10" x14ac:dyDescent="0.35">
      <c r="A585">
        <v>584</v>
      </c>
      <c r="B585" t="s">
        <v>3614</v>
      </c>
      <c r="C585">
        <v>1</v>
      </c>
      <c r="D585">
        <v>4</v>
      </c>
      <c r="E585">
        <v>2018</v>
      </c>
      <c r="F585">
        <v>44</v>
      </c>
      <c r="G585" t="s">
        <v>2867</v>
      </c>
      <c r="H585" t="s">
        <v>19</v>
      </c>
      <c r="I585" t="s">
        <v>2863</v>
      </c>
      <c r="J585" t="s">
        <v>164</v>
      </c>
    </row>
    <row r="586" spans="1:10" x14ac:dyDescent="0.35">
      <c r="A586">
        <v>585</v>
      </c>
      <c r="B586" t="s">
        <v>3615</v>
      </c>
      <c r="C586">
        <v>1</v>
      </c>
      <c r="D586">
        <v>6</v>
      </c>
      <c r="E586">
        <v>2021</v>
      </c>
      <c r="F586">
        <v>21</v>
      </c>
      <c r="G586" t="s">
        <v>2922</v>
      </c>
      <c r="H586" t="s">
        <v>2873</v>
      </c>
      <c r="I586" t="s">
        <v>2874</v>
      </c>
      <c r="J586" t="s">
        <v>56</v>
      </c>
    </row>
    <row r="587" spans="1:10" x14ac:dyDescent="0.35">
      <c r="A587">
        <v>586</v>
      </c>
      <c r="B587" t="s">
        <v>3616</v>
      </c>
      <c r="C587">
        <v>0</v>
      </c>
      <c r="D587">
        <v>4</v>
      </c>
      <c r="E587">
        <v>2021</v>
      </c>
      <c r="F587">
        <v>11</v>
      </c>
      <c r="G587" t="s">
        <v>3008</v>
      </c>
      <c r="H587" t="s">
        <v>2880</v>
      </c>
      <c r="I587" t="s">
        <v>2874</v>
      </c>
      <c r="J587" t="s">
        <v>93</v>
      </c>
    </row>
    <row r="588" spans="1:10" x14ac:dyDescent="0.35">
      <c r="A588">
        <v>587</v>
      </c>
      <c r="B588" t="s">
        <v>3617</v>
      </c>
      <c r="C588">
        <v>0</v>
      </c>
      <c r="D588">
        <v>4</v>
      </c>
      <c r="E588">
        <v>2020</v>
      </c>
      <c r="F588">
        <v>6</v>
      </c>
      <c r="G588" t="s">
        <v>2932</v>
      </c>
      <c r="H588" t="s">
        <v>2884</v>
      </c>
      <c r="I588" t="s">
        <v>2885</v>
      </c>
      <c r="J588" t="s">
        <v>72</v>
      </c>
    </row>
    <row r="589" spans="1:10" x14ac:dyDescent="0.35">
      <c r="A589">
        <v>588</v>
      </c>
      <c r="B589" t="s">
        <v>3618</v>
      </c>
      <c r="C589">
        <v>3</v>
      </c>
      <c r="D589">
        <v>4</v>
      </c>
      <c r="E589">
        <v>2022</v>
      </c>
      <c r="F589">
        <v>9</v>
      </c>
      <c r="G589" t="s">
        <v>2915</v>
      </c>
      <c r="H589" t="s">
        <v>2916</v>
      </c>
      <c r="I589" t="s">
        <v>2908</v>
      </c>
      <c r="J589" t="s">
        <v>45</v>
      </c>
    </row>
    <row r="590" spans="1:10" x14ac:dyDescent="0.35">
      <c r="A590">
        <v>589</v>
      </c>
      <c r="B590" t="s">
        <v>3619</v>
      </c>
      <c r="C590">
        <v>0</v>
      </c>
      <c r="D590">
        <v>6</v>
      </c>
      <c r="E590">
        <v>2016</v>
      </c>
      <c r="F590">
        <v>25</v>
      </c>
      <c r="G590" t="s">
        <v>2958</v>
      </c>
      <c r="H590" t="s">
        <v>19</v>
      </c>
      <c r="I590" t="s">
        <v>2863</v>
      </c>
      <c r="J590" t="s">
        <v>72</v>
      </c>
    </row>
    <row r="591" spans="1:10" x14ac:dyDescent="0.35">
      <c r="A591">
        <v>590</v>
      </c>
      <c r="B591" t="s">
        <v>3620</v>
      </c>
      <c r="C591">
        <v>5</v>
      </c>
      <c r="D591">
        <v>6</v>
      </c>
      <c r="E591">
        <v>2022</v>
      </c>
      <c r="F591">
        <v>10</v>
      </c>
      <c r="G591" t="s">
        <v>2894</v>
      </c>
      <c r="H591" t="s">
        <v>2895</v>
      </c>
      <c r="I591" t="s">
        <v>2874</v>
      </c>
      <c r="J591" t="s">
        <v>45</v>
      </c>
    </row>
    <row r="592" spans="1:10" x14ac:dyDescent="0.35">
      <c r="A592">
        <v>591</v>
      </c>
      <c r="B592" t="s">
        <v>3621</v>
      </c>
      <c r="C592">
        <v>0</v>
      </c>
      <c r="D592">
        <v>3</v>
      </c>
      <c r="E592">
        <v>2014</v>
      </c>
      <c r="F592">
        <v>13</v>
      </c>
      <c r="G592" t="s">
        <v>3009</v>
      </c>
      <c r="H592" t="s">
        <v>93</v>
      </c>
      <c r="I592" t="s">
        <v>2865</v>
      </c>
      <c r="J592" t="s">
        <v>93</v>
      </c>
    </row>
    <row r="593" spans="1:10" x14ac:dyDescent="0.35">
      <c r="A593">
        <v>592</v>
      </c>
      <c r="B593" t="s">
        <v>3622</v>
      </c>
      <c r="C593">
        <v>4</v>
      </c>
      <c r="D593">
        <v>5</v>
      </c>
      <c r="E593">
        <v>2022</v>
      </c>
      <c r="F593">
        <v>1</v>
      </c>
      <c r="G593" t="s">
        <v>2965</v>
      </c>
      <c r="H593" t="s">
        <v>2966</v>
      </c>
      <c r="I593" t="s">
        <v>2940</v>
      </c>
      <c r="J593" t="s">
        <v>45</v>
      </c>
    </row>
    <row r="594" spans="1:10" x14ac:dyDescent="0.35">
      <c r="A594">
        <v>593</v>
      </c>
      <c r="B594" t="s">
        <v>3623</v>
      </c>
      <c r="C594">
        <v>0</v>
      </c>
      <c r="D594">
        <v>2</v>
      </c>
      <c r="E594">
        <v>2020</v>
      </c>
      <c r="F594">
        <v>12</v>
      </c>
      <c r="G594" t="s">
        <v>3006</v>
      </c>
      <c r="H594" t="s">
        <v>93</v>
      </c>
      <c r="I594" t="s">
        <v>2865</v>
      </c>
      <c r="J594" t="s">
        <v>261</v>
      </c>
    </row>
    <row r="595" spans="1:10" x14ac:dyDescent="0.35">
      <c r="A595">
        <v>594</v>
      </c>
      <c r="B595" t="s">
        <v>3624</v>
      </c>
      <c r="C595">
        <v>0</v>
      </c>
      <c r="D595">
        <v>8</v>
      </c>
      <c r="E595">
        <v>2014</v>
      </c>
      <c r="F595">
        <v>57</v>
      </c>
      <c r="G595" t="s">
        <v>2958</v>
      </c>
      <c r="H595" t="s">
        <v>19</v>
      </c>
      <c r="I595" t="s">
        <v>2863</v>
      </c>
      <c r="J595" t="s">
        <v>19</v>
      </c>
    </row>
    <row r="596" spans="1:10" x14ac:dyDescent="0.35">
      <c r="A596">
        <v>595</v>
      </c>
      <c r="B596" t="s">
        <v>3625</v>
      </c>
      <c r="C596">
        <v>2</v>
      </c>
      <c r="D596">
        <v>2</v>
      </c>
      <c r="E596">
        <v>2018</v>
      </c>
      <c r="F596">
        <v>6</v>
      </c>
      <c r="G596" t="s">
        <v>2964</v>
      </c>
      <c r="H596" t="s">
        <v>2897</v>
      </c>
      <c r="I596" t="s">
        <v>2874</v>
      </c>
      <c r="J596" t="s">
        <v>45</v>
      </c>
    </row>
    <row r="597" spans="1:10" x14ac:dyDescent="0.35">
      <c r="A597">
        <v>596</v>
      </c>
      <c r="B597" t="s">
        <v>3626</v>
      </c>
      <c r="C597">
        <v>4</v>
      </c>
      <c r="D597">
        <v>7</v>
      </c>
      <c r="E597">
        <v>2018</v>
      </c>
      <c r="F597">
        <v>13</v>
      </c>
      <c r="G597" t="s">
        <v>2866</v>
      </c>
      <c r="H597" t="s">
        <v>19</v>
      </c>
      <c r="I597" t="s">
        <v>2863</v>
      </c>
      <c r="J597" t="s">
        <v>157</v>
      </c>
    </row>
    <row r="598" spans="1:10" x14ac:dyDescent="0.35">
      <c r="A598">
        <v>597</v>
      </c>
      <c r="B598" t="s">
        <v>3627</v>
      </c>
      <c r="C598">
        <v>0</v>
      </c>
      <c r="D598">
        <v>6</v>
      </c>
      <c r="E598">
        <v>2019</v>
      </c>
      <c r="F598">
        <v>21</v>
      </c>
      <c r="G598" t="s">
        <v>3010</v>
      </c>
      <c r="H598" t="s">
        <v>19</v>
      </c>
      <c r="I598" t="s">
        <v>2863</v>
      </c>
      <c r="J598" t="s">
        <v>72</v>
      </c>
    </row>
    <row r="599" spans="1:10" x14ac:dyDescent="0.35">
      <c r="A599">
        <v>598</v>
      </c>
      <c r="B599" t="s">
        <v>3628</v>
      </c>
      <c r="C599">
        <v>5</v>
      </c>
      <c r="D599">
        <v>8</v>
      </c>
      <c r="E599">
        <v>2021</v>
      </c>
      <c r="F599">
        <v>2</v>
      </c>
      <c r="G599" t="s">
        <v>2915</v>
      </c>
      <c r="H599" t="s">
        <v>2916</v>
      </c>
      <c r="I599" t="s">
        <v>2908</v>
      </c>
      <c r="J599" t="s">
        <v>45</v>
      </c>
    </row>
    <row r="600" spans="1:10" x14ac:dyDescent="0.35">
      <c r="A600">
        <v>599</v>
      </c>
      <c r="B600" t="s">
        <v>3629</v>
      </c>
      <c r="C600">
        <v>0</v>
      </c>
      <c r="D600">
        <v>7</v>
      </c>
      <c r="E600">
        <v>2018</v>
      </c>
      <c r="F600">
        <v>38</v>
      </c>
      <c r="G600" t="s">
        <v>2927</v>
      </c>
      <c r="H600" t="s">
        <v>2880</v>
      </c>
      <c r="I600" t="s">
        <v>2874</v>
      </c>
      <c r="J600" t="s">
        <v>35</v>
      </c>
    </row>
    <row r="601" spans="1:10" x14ac:dyDescent="0.35">
      <c r="A601">
        <v>600</v>
      </c>
      <c r="B601" t="s">
        <v>3630</v>
      </c>
      <c r="C601">
        <v>7</v>
      </c>
      <c r="D601">
        <v>7</v>
      </c>
      <c r="E601">
        <v>2022</v>
      </c>
      <c r="F601">
        <v>0</v>
      </c>
      <c r="G601" t="s">
        <v>3011</v>
      </c>
      <c r="H601" t="s">
        <v>3012</v>
      </c>
      <c r="I601" t="s">
        <v>3013</v>
      </c>
      <c r="J601" t="s">
        <v>189</v>
      </c>
    </row>
    <row r="602" spans="1:10" x14ac:dyDescent="0.35">
      <c r="A602">
        <v>601</v>
      </c>
      <c r="B602" t="s">
        <v>3631</v>
      </c>
      <c r="C602">
        <v>0</v>
      </c>
      <c r="D602">
        <v>4</v>
      </c>
      <c r="E602">
        <v>2019</v>
      </c>
      <c r="F602">
        <v>15</v>
      </c>
      <c r="G602" t="s">
        <v>2969</v>
      </c>
      <c r="H602" t="s">
        <v>2880</v>
      </c>
      <c r="I602" t="s">
        <v>2874</v>
      </c>
      <c r="J602" t="s">
        <v>72</v>
      </c>
    </row>
    <row r="603" spans="1:10" x14ac:dyDescent="0.35">
      <c r="A603">
        <v>602</v>
      </c>
      <c r="B603" t="s">
        <v>3632</v>
      </c>
      <c r="C603">
        <v>1</v>
      </c>
      <c r="D603">
        <v>4</v>
      </c>
      <c r="E603">
        <v>2019</v>
      </c>
      <c r="F603">
        <v>13</v>
      </c>
      <c r="G603" t="s">
        <v>2871</v>
      </c>
      <c r="H603" t="s">
        <v>19</v>
      </c>
      <c r="I603" t="s">
        <v>2863</v>
      </c>
      <c r="J603" t="s">
        <v>261</v>
      </c>
    </row>
    <row r="604" spans="1:10" x14ac:dyDescent="0.35">
      <c r="A604">
        <v>603</v>
      </c>
      <c r="B604" t="s">
        <v>3633</v>
      </c>
      <c r="C604">
        <v>0</v>
      </c>
      <c r="D604">
        <v>3</v>
      </c>
      <c r="E604">
        <v>2016</v>
      </c>
      <c r="F604">
        <v>20</v>
      </c>
      <c r="G604" t="s">
        <v>2877</v>
      </c>
      <c r="H604" t="s">
        <v>19</v>
      </c>
      <c r="I604" t="s">
        <v>2863</v>
      </c>
      <c r="J604" t="s">
        <v>19</v>
      </c>
    </row>
    <row r="605" spans="1:10" x14ac:dyDescent="0.35">
      <c r="A605">
        <v>604</v>
      </c>
      <c r="B605" t="s">
        <v>3634</v>
      </c>
      <c r="C605">
        <v>0</v>
      </c>
      <c r="D605">
        <v>30</v>
      </c>
      <c r="E605">
        <v>2015</v>
      </c>
      <c r="F605">
        <v>37</v>
      </c>
      <c r="G605" t="s">
        <v>2905</v>
      </c>
      <c r="H605" t="s">
        <v>2880</v>
      </c>
      <c r="I605" t="s">
        <v>2874</v>
      </c>
      <c r="J605" t="s">
        <v>98</v>
      </c>
    </row>
    <row r="606" spans="1:10" x14ac:dyDescent="0.35">
      <c r="A606">
        <v>605</v>
      </c>
      <c r="B606" t="s">
        <v>3635</v>
      </c>
      <c r="C606">
        <v>4</v>
      </c>
      <c r="D606">
        <v>8</v>
      </c>
      <c r="E606">
        <v>2023</v>
      </c>
      <c r="F606">
        <v>8</v>
      </c>
      <c r="G606" t="s">
        <v>2926</v>
      </c>
      <c r="H606" t="s">
        <v>2873</v>
      </c>
      <c r="I606" t="s">
        <v>2874</v>
      </c>
      <c r="J606" t="s">
        <v>5</v>
      </c>
    </row>
    <row r="607" spans="1:10" x14ac:dyDescent="0.35">
      <c r="A607">
        <v>606</v>
      </c>
      <c r="B607" t="s">
        <v>3636</v>
      </c>
      <c r="C607">
        <v>1</v>
      </c>
      <c r="D607">
        <v>6</v>
      </c>
      <c r="E607">
        <v>2023</v>
      </c>
      <c r="F607">
        <v>8</v>
      </c>
      <c r="G607" t="s">
        <v>2943</v>
      </c>
      <c r="H607" t="s">
        <v>19</v>
      </c>
      <c r="I607" t="s">
        <v>2863</v>
      </c>
      <c r="J607" t="s">
        <v>72</v>
      </c>
    </row>
    <row r="608" spans="1:10" x14ac:dyDescent="0.35">
      <c r="A608">
        <v>607</v>
      </c>
      <c r="B608" t="s">
        <v>3637</v>
      </c>
      <c r="C608">
        <v>1</v>
      </c>
      <c r="D608">
        <v>12</v>
      </c>
      <c r="E608">
        <v>2018</v>
      </c>
      <c r="F608">
        <v>27</v>
      </c>
      <c r="G608" t="s">
        <v>2922</v>
      </c>
      <c r="H608" t="s">
        <v>2873</v>
      </c>
      <c r="I608" t="s">
        <v>2874</v>
      </c>
      <c r="J608" t="s">
        <v>93</v>
      </c>
    </row>
    <row r="609" spans="1:10" x14ac:dyDescent="0.35">
      <c r="A609">
        <v>608</v>
      </c>
      <c r="B609" t="s">
        <v>3638</v>
      </c>
      <c r="C609">
        <v>0</v>
      </c>
      <c r="D609">
        <v>10</v>
      </c>
      <c r="E609">
        <v>2014</v>
      </c>
      <c r="F609">
        <v>521</v>
      </c>
      <c r="G609" t="s">
        <v>2928</v>
      </c>
      <c r="H609" t="s">
        <v>19</v>
      </c>
      <c r="I609" t="s">
        <v>2863</v>
      </c>
      <c r="J609" t="s">
        <v>352</v>
      </c>
    </row>
    <row r="610" spans="1:10" x14ac:dyDescent="0.35">
      <c r="A610">
        <v>609</v>
      </c>
      <c r="B610" t="s">
        <v>3639</v>
      </c>
      <c r="C610">
        <v>0</v>
      </c>
      <c r="D610">
        <v>4</v>
      </c>
      <c r="E610">
        <v>2019</v>
      </c>
      <c r="F610">
        <v>36</v>
      </c>
      <c r="G610" t="s">
        <v>2871</v>
      </c>
      <c r="H610" t="s">
        <v>19</v>
      </c>
      <c r="I610" t="s">
        <v>2863</v>
      </c>
      <c r="J610" t="s">
        <v>56</v>
      </c>
    </row>
    <row r="611" spans="1:10" x14ac:dyDescent="0.35">
      <c r="A611">
        <v>610</v>
      </c>
      <c r="B611" t="s">
        <v>3640</v>
      </c>
      <c r="C611">
        <v>9</v>
      </c>
      <c r="D611">
        <v>9</v>
      </c>
      <c r="E611">
        <v>2023</v>
      </c>
      <c r="F611">
        <v>3</v>
      </c>
      <c r="G611" t="s">
        <v>2871</v>
      </c>
      <c r="H611" t="s">
        <v>19</v>
      </c>
      <c r="I611" t="s">
        <v>2863</v>
      </c>
      <c r="J611" t="s">
        <v>189</v>
      </c>
    </row>
    <row r="612" spans="1:10" x14ac:dyDescent="0.35">
      <c r="A612">
        <v>611</v>
      </c>
      <c r="B612" t="s">
        <v>3641</v>
      </c>
      <c r="C612">
        <v>12</v>
      </c>
      <c r="D612">
        <v>12</v>
      </c>
      <c r="E612">
        <v>2022</v>
      </c>
      <c r="F612">
        <v>12</v>
      </c>
      <c r="G612" t="s">
        <v>2876</v>
      </c>
      <c r="H612" t="s">
        <v>2873</v>
      </c>
      <c r="I612" t="s">
        <v>2874</v>
      </c>
      <c r="J612" t="s">
        <v>231</v>
      </c>
    </row>
    <row r="613" spans="1:10" x14ac:dyDescent="0.35">
      <c r="A613">
        <v>612</v>
      </c>
      <c r="B613" t="s">
        <v>3642</v>
      </c>
      <c r="C613">
        <v>1</v>
      </c>
      <c r="D613">
        <v>2</v>
      </c>
      <c r="E613">
        <v>2020</v>
      </c>
      <c r="F613">
        <v>29</v>
      </c>
      <c r="G613" t="s">
        <v>2953</v>
      </c>
      <c r="H613" t="s">
        <v>19</v>
      </c>
      <c r="I613" t="s">
        <v>2863</v>
      </c>
      <c r="J613" t="s">
        <v>157</v>
      </c>
    </row>
    <row r="614" spans="1:10" x14ac:dyDescent="0.35">
      <c r="A614">
        <v>613</v>
      </c>
      <c r="B614" t="s">
        <v>3643</v>
      </c>
      <c r="C614">
        <v>0</v>
      </c>
      <c r="D614">
        <v>3</v>
      </c>
      <c r="E614">
        <v>2018</v>
      </c>
      <c r="F614">
        <v>3</v>
      </c>
      <c r="G614" t="s">
        <v>2928</v>
      </c>
      <c r="H614" t="s">
        <v>19</v>
      </c>
      <c r="I614" t="s">
        <v>2863</v>
      </c>
      <c r="J614" t="s">
        <v>19</v>
      </c>
    </row>
    <row r="615" spans="1:10" x14ac:dyDescent="0.35">
      <c r="A615">
        <v>614</v>
      </c>
      <c r="B615" t="s">
        <v>3644</v>
      </c>
      <c r="C615">
        <v>2</v>
      </c>
      <c r="D615">
        <v>2</v>
      </c>
      <c r="E615">
        <v>2015</v>
      </c>
      <c r="F615">
        <v>6</v>
      </c>
      <c r="G615" t="s">
        <v>2886</v>
      </c>
      <c r="H615" t="s">
        <v>2880</v>
      </c>
      <c r="I615" t="s">
        <v>2874</v>
      </c>
      <c r="J615" t="s">
        <v>5</v>
      </c>
    </row>
    <row r="616" spans="1:10" x14ac:dyDescent="0.35">
      <c r="A616">
        <v>615</v>
      </c>
      <c r="B616" t="s">
        <v>3645</v>
      </c>
      <c r="C616">
        <v>5</v>
      </c>
      <c r="D616">
        <v>6</v>
      </c>
      <c r="E616">
        <v>2022</v>
      </c>
      <c r="F616">
        <v>5</v>
      </c>
      <c r="G616" t="s">
        <v>2926</v>
      </c>
      <c r="H616" t="s">
        <v>2873</v>
      </c>
      <c r="I616" t="s">
        <v>2874</v>
      </c>
      <c r="J616" t="s">
        <v>189</v>
      </c>
    </row>
    <row r="617" spans="1:10" x14ac:dyDescent="0.35">
      <c r="A617">
        <v>616</v>
      </c>
      <c r="B617" t="s">
        <v>3646</v>
      </c>
      <c r="C617">
        <v>2</v>
      </c>
      <c r="D617">
        <v>13</v>
      </c>
      <c r="E617">
        <v>2022</v>
      </c>
      <c r="F617">
        <v>8</v>
      </c>
      <c r="G617" t="s">
        <v>2866</v>
      </c>
      <c r="H617" t="s">
        <v>19</v>
      </c>
      <c r="I617" t="s">
        <v>2863</v>
      </c>
      <c r="J617" t="s">
        <v>56</v>
      </c>
    </row>
    <row r="618" spans="1:10" x14ac:dyDescent="0.35">
      <c r="A618">
        <v>617</v>
      </c>
      <c r="B618" t="s">
        <v>3647</v>
      </c>
      <c r="C618" t="s">
        <v>3762</v>
      </c>
    </row>
    <row r="619" spans="1:10" x14ac:dyDescent="0.35">
      <c r="A619">
        <v>618</v>
      </c>
      <c r="B619" t="s">
        <v>3648</v>
      </c>
      <c r="C619">
        <v>1</v>
      </c>
      <c r="D619">
        <v>3</v>
      </c>
      <c r="E619">
        <v>2019</v>
      </c>
      <c r="F619">
        <v>28</v>
      </c>
      <c r="G619" t="s">
        <v>2867</v>
      </c>
      <c r="H619" t="s">
        <v>19</v>
      </c>
      <c r="I619" t="s">
        <v>2863</v>
      </c>
      <c r="J619" t="s">
        <v>157</v>
      </c>
    </row>
    <row r="620" spans="1:10" x14ac:dyDescent="0.35">
      <c r="A620">
        <v>619</v>
      </c>
      <c r="B620" t="s">
        <v>3649</v>
      </c>
      <c r="C620">
        <v>2</v>
      </c>
      <c r="D620">
        <v>2</v>
      </c>
      <c r="E620">
        <v>2014</v>
      </c>
      <c r="F620">
        <v>27</v>
      </c>
      <c r="G620" t="s">
        <v>2872</v>
      </c>
      <c r="H620" t="s">
        <v>2873</v>
      </c>
      <c r="I620" t="s">
        <v>2874</v>
      </c>
      <c r="J620" t="s">
        <v>157</v>
      </c>
    </row>
    <row r="621" spans="1:10" x14ac:dyDescent="0.35">
      <c r="A621">
        <v>620</v>
      </c>
      <c r="B621" t="s">
        <v>3650</v>
      </c>
      <c r="C621">
        <v>0</v>
      </c>
      <c r="D621">
        <v>2</v>
      </c>
      <c r="E621">
        <v>2021</v>
      </c>
      <c r="F621">
        <v>1</v>
      </c>
      <c r="G621" t="s">
        <v>2964</v>
      </c>
      <c r="H621" t="s">
        <v>2897</v>
      </c>
      <c r="I621" t="s">
        <v>2874</v>
      </c>
      <c r="J621" t="s">
        <v>2450</v>
      </c>
    </row>
    <row r="622" spans="1:10" x14ac:dyDescent="0.35">
      <c r="A622">
        <v>621</v>
      </c>
      <c r="B622" t="s">
        <v>3651</v>
      </c>
      <c r="C622">
        <v>1</v>
      </c>
      <c r="D622">
        <v>2</v>
      </c>
      <c r="E622">
        <v>2022</v>
      </c>
      <c r="F622">
        <v>1</v>
      </c>
      <c r="G622" t="s">
        <v>2882</v>
      </c>
      <c r="H622" t="s">
        <v>19</v>
      </c>
      <c r="I622" t="s">
        <v>2863</v>
      </c>
      <c r="J622" t="s">
        <v>157</v>
      </c>
    </row>
    <row r="623" spans="1:10" x14ac:dyDescent="0.35">
      <c r="A623">
        <v>622</v>
      </c>
      <c r="B623" t="s">
        <v>3652</v>
      </c>
      <c r="C623">
        <v>0</v>
      </c>
      <c r="D623">
        <v>3</v>
      </c>
      <c r="E623">
        <v>2016</v>
      </c>
      <c r="F623">
        <v>30</v>
      </c>
      <c r="G623" t="s">
        <v>2867</v>
      </c>
      <c r="H623" t="s">
        <v>19</v>
      </c>
      <c r="I623" t="s">
        <v>2863</v>
      </c>
      <c r="J623" t="s">
        <v>72</v>
      </c>
    </row>
    <row r="624" spans="1:10" x14ac:dyDescent="0.35">
      <c r="A624">
        <v>623</v>
      </c>
      <c r="B624" t="s">
        <v>3653</v>
      </c>
      <c r="C624">
        <v>0</v>
      </c>
      <c r="D624">
        <v>3</v>
      </c>
      <c r="E624">
        <v>2021</v>
      </c>
      <c r="F624">
        <v>39</v>
      </c>
      <c r="G624" t="s">
        <v>2866</v>
      </c>
      <c r="H624" t="s">
        <v>19</v>
      </c>
      <c r="I624" t="s">
        <v>2863</v>
      </c>
      <c r="J624" t="s">
        <v>48</v>
      </c>
    </row>
    <row r="625" spans="1:10" x14ac:dyDescent="0.35">
      <c r="A625">
        <v>624</v>
      </c>
      <c r="B625" t="s">
        <v>3654</v>
      </c>
      <c r="C625">
        <v>0</v>
      </c>
      <c r="D625">
        <v>4</v>
      </c>
      <c r="E625">
        <v>2019</v>
      </c>
      <c r="F625">
        <v>23</v>
      </c>
      <c r="G625" t="s">
        <v>2877</v>
      </c>
      <c r="H625" t="s">
        <v>19</v>
      </c>
      <c r="I625" t="s">
        <v>2863</v>
      </c>
      <c r="J625" t="s">
        <v>72</v>
      </c>
    </row>
    <row r="626" spans="1:10" x14ac:dyDescent="0.35">
      <c r="A626">
        <v>625</v>
      </c>
      <c r="B626" t="s">
        <v>3655</v>
      </c>
      <c r="C626">
        <v>0</v>
      </c>
      <c r="D626">
        <v>3</v>
      </c>
      <c r="E626">
        <v>2019</v>
      </c>
      <c r="F626">
        <v>38</v>
      </c>
      <c r="G626" t="s">
        <v>2990</v>
      </c>
      <c r="H626" t="s">
        <v>2873</v>
      </c>
      <c r="I626" t="s">
        <v>2874</v>
      </c>
      <c r="J626" t="s">
        <v>98</v>
      </c>
    </row>
    <row r="627" spans="1:10" x14ac:dyDescent="0.35">
      <c r="A627">
        <v>626</v>
      </c>
      <c r="B627" t="s">
        <v>3656</v>
      </c>
      <c r="C627">
        <v>0</v>
      </c>
      <c r="D627">
        <v>2</v>
      </c>
      <c r="E627">
        <v>2022</v>
      </c>
      <c r="F627">
        <v>2</v>
      </c>
      <c r="G627" t="s">
        <v>2872</v>
      </c>
      <c r="H627" t="s">
        <v>2873</v>
      </c>
      <c r="I627" t="s">
        <v>2874</v>
      </c>
      <c r="J627" t="s">
        <v>72</v>
      </c>
    </row>
    <row r="628" spans="1:10" x14ac:dyDescent="0.35">
      <c r="A628">
        <v>627</v>
      </c>
      <c r="B628" t="s">
        <v>3657</v>
      </c>
      <c r="C628">
        <v>0</v>
      </c>
      <c r="D628">
        <v>5</v>
      </c>
      <c r="E628">
        <v>2022</v>
      </c>
      <c r="F628">
        <v>23</v>
      </c>
      <c r="G628" t="s">
        <v>2867</v>
      </c>
      <c r="H628" t="s">
        <v>19</v>
      </c>
      <c r="I628" t="s">
        <v>2863</v>
      </c>
      <c r="J628" t="s">
        <v>72</v>
      </c>
    </row>
    <row r="629" spans="1:10" x14ac:dyDescent="0.35">
      <c r="A629">
        <v>628</v>
      </c>
      <c r="B629" t="s">
        <v>3658</v>
      </c>
      <c r="C629">
        <v>0</v>
      </c>
      <c r="D629">
        <v>2</v>
      </c>
      <c r="E629">
        <v>2019</v>
      </c>
      <c r="F629">
        <v>7</v>
      </c>
      <c r="G629" t="s">
        <v>2866</v>
      </c>
      <c r="H629" t="s">
        <v>19</v>
      </c>
      <c r="I629" t="s">
        <v>2863</v>
      </c>
      <c r="J629" t="s">
        <v>72</v>
      </c>
    </row>
    <row r="630" spans="1:10" x14ac:dyDescent="0.35">
      <c r="A630">
        <v>629</v>
      </c>
      <c r="B630" t="s">
        <v>3659</v>
      </c>
      <c r="C630">
        <v>0</v>
      </c>
      <c r="D630">
        <v>17</v>
      </c>
      <c r="E630">
        <v>2022</v>
      </c>
      <c r="F630">
        <v>12</v>
      </c>
      <c r="G630" t="s">
        <v>2867</v>
      </c>
      <c r="H630" t="s">
        <v>19</v>
      </c>
      <c r="I630" t="s">
        <v>2863</v>
      </c>
      <c r="J630" t="s">
        <v>93</v>
      </c>
    </row>
    <row r="631" spans="1:10" x14ac:dyDescent="0.35">
      <c r="A631">
        <v>630</v>
      </c>
      <c r="B631" t="s">
        <v>3660</v>
      </c>
      <c r="C631">
        <v>0</v>
      </c>
      <c r="D631">
        <v>3</v>
      </c>
      <c r="E631">
        <v>2014</v>
      </c>
      <c r="F631">
        <v>47</v>
      </c>
      <c r="G631" t="s">
        <v>2969</v>
      </c>
      <c r="H631" t="s">
        <v>2880</v>
      </c>
      <c r="I631" t="s">
        <v>2874</v>
      </c>
      <c r="J631" t="s">
        <v>72</v>
      </c>
    </row>
    <row r="632" spans="1:10" x14ac:dyDescent="0.35">
      <c r="A632">
        <v>631</v>
      </c>
      <c r="B632" t="s">
        <v>3661</v>
      </c>
      <c r="C632">
        <v>0</v>
      </c>
      <c r="D632">
        <v>5</v>
      </c>
      <c r="E632">
        <v>2016</v>
      </c>
      <c r="F632">
        <v>12</v>
      </c>
      <c r="G632" t="s">
        <v>2877</v>
      </c>
      <c r="H632" t="s">
        <v>19</v>
      </c>
      <c r="I632" t="s">
        <v>2863</v>
      </c>
      <c r="J632" t="s">
        <v>56</v>
      </c>
    </row>
    <row r="633" spans="1:10" x14ac:dyDescent="0.35">
      <c r="A633">
        <v>632</v>
      </c>
      <c r="B633" t="s">
        <v>3662</v>
      </c>
      <c r="C633">
        <v>0</v>
      </c>
      <c r="D633">
        <v>2</v>
      </c>
      <c r="E633">
        <v>2022</v>
      </c>
      <c r="F633">
        <v>5</v>
      </c>
      <c r="G633" t="s">
        <v>2866</v>
      </c>
      <c r="H633" t="s">
        <v>19</v>
      </c>
      <c r="I633" t="s">
        <v>2863</v>
      </c>
      <c r="J633" t="s">
        <v>72</v>
      </c>
    </row>
    <row r="634" spans="1:10" x14ac:dyDescent="0.35">
      <c r="A634">
        <v>633</v>
      </c>
      <c r="B634" t="s">
        <v>3663</v>
      </c>
      <c r="C634">
        <v>0</v>
      </c>
      <c r="D634">
        <v>11</v>
      </c>
      <c r="E634">
        <v>2021</v>
      </c>
      <c r="F634">
        <v>31</v>
      </c>
      <c r="G634" t="s">
        <v>2946</v>
      </c>
      <c r="H634" t="s">
        <v>2873</v>
      </c>
      <c r="I634" t="s">
        <v>2874</v>
      </c>
      <c r="J634" t="s">
        <v>25</v>
      </c>
    </row>
    <row r="635" spans="1:10" x14ac:dyDescent="0.35">
      <c r="A635">
        <v>634</v>
      </c>
      <c r="B635" t="s">
        <v>3664</v>
      </c>
      <c r="C635">
        <v>0</v>
      </c>
      <c r="D635">
        <v>9</v>
      </c>
      <c r="E635">
        <v>2014</v>
      </c>
      <c r="F635">
        <v>189</v>
      </c>
      <c r="G635" t="s">
        <v>2877</v>
      </c>
      <c r="H635" t="s">
        <v>19</v>
      </c>
      <c r="I635" t="s">
        <v>2863</v>
      </c>
      <c r="J635" t="s">
        <v>19</v>
      </c>
    </row>
    <row r="636" spans="1:10" x14ac:dyDescent="0.35">
      <c r="A636">
        <v>635</v>
      </c>
      <c r="B636" t="s">
        <v>3665</v>
      </c>
      <c r="C636">
        <v>0</v>
      </c>
      <c r="D636">
        <v>4</v>
      </c>
      <c r="E636">
        <v>2023</v>
      </c>
      <c r="F636">
        <v>9</v>
      </c>
      <c r="G636" t="s">
        <v>2862</v>
      </c>
      <c r="H636" t="s">
        <v>19</v>
      </c>
      <c r="I636" t="s">
        <v>2863</v>
      </c>
      <c r="J636" t="s">
        <v>72</v>
      </c>
    </row>
    <row r="637" spans="1:10" x14ac:dyDescent="0.35">
      <c r="A637">
        <v>636</v>
      </c>
      <c r="B637" t="s">
        <v>3666</v>
      </c>
      <c r="C637">
        <v>0</v>
      </c>
      <c r="D637">
        <v>4</v>
      </c>
      <c r="E637">
        <v>2019</v>
      </c>
      <c r="F637">
        <v>8</v>
      </c>
      <c r="G637" t="s">
        <v>2867</v>
      </c>
      <c r="H637" t="s">
        <v>19</v>
      </c>
      <c r="I637" t="s">
        <v>2863</v>
      </c>
      <c r="J637" t="s">
        <v>72</v>
      </c>
    </row>
    <row r="638" spans="1:10" x14ac:dyDescent="0.35">
      <c r="A638">
        <v>637</v>
      </c>
      <c r="B638" t="s">
        <v>3667</v>
      </c>
      <c r="C638">
        <v>2</v>
      </c>
      <c r="D638">
        <v>8</v>
      </c>
      <c r="E638">
        <v>2023</v>
      </c>
      <c r="F638">
        <v>5</v>
      </c>
      <c r="G638" t="s">
        <v>2867</v>
      </c>
      <c r="H638" t="s">
        <v>19</v>
      </c>
      <c r="I638" t="s">
        <v>2863</v>
      </c>
      <c r="J638" t="s">
        <v>72</v>
      </c>
    </row>
    <row r="639" spans="1:10" x14ac:dyDescent="0.35">
      <c r="A639">
        <v>638</v>
      </c>
      <c r="B639" t="s">
        <v>3668</v>
      </c>
      <c r="C639">
        <v>0</v>
      </c>
      <c r="D639">
        <v>4</v>
      </c>
      <c r="E639">
        <v>2022</v>
      </c>
      <c r="F639">
        <v>2</v>
      </c>
      <c r="G639" t="s">
        <v>2894</v>
      </c>
      <c r="H639" t="s">
        <v>2895</v>
      </c>
      <c r="I639" t="s">
        <v>2874</v>
      </c>
      <c r="J639" t="s">
        <v>2261</v>
      </c>
    </row>
    <row r="640" spans="1:10" x14ac:dyDescent="0.35">
      <c r="A640">
        <v>639</v>
      </c>
      <c r="B640" t="s">
        <v>3669</v>
      </c>
      <c r="C640">
        <v>0</v>
      </c>
      <c r="D640">
        <v>1</v>
      </c>
      <c r="E640">
        <v>2020</v>
      </c>
      <c r="F640">
        <v>10</v>
      </c>
      <c r="G640" t="s">
        <v>2872</v>
      </c>
      <c r="H640" t="s">
        <v>2873</v>
      </c>
      <c r="I640" t="s">
        <v>2874</v>
      </c>
      <c r="J640" t="s">
        <v>56</v>
      </c>
    </row>
    <row r="641" spans="1:10" x14ac:dyDescent="0.35">
      <c r="A641">
        <v>640</v>
      </c>
      <c r="B641" t="s">
        <v>3670</v>
      </c>
      <c r="C641">
        <v>2</v>
      </c>
      <c r="D641">
        <v>4</v>
      </c>
      <c r="E641">
        <v>2018</v>
      </c>
      <c r="F641">
        <v>31</v>
      </c>
      <c r="G641" t="s">
        <v>2931</v>
      </c>
      <c r="H641" t="s">
        <v>2897</v>
      </c>
      <c r="I641" t="s">
        <v>2874</v>
      </c>
      <c r="J641" t="s">
        <v>517</v>
      </c>
    </row>
    <row r="642" spans="1:10" x14ac:dyDescent="0.35">
      <c r="A642">
        <v>641</v>
      </c>
      <c r="B642" t="s">
        <v>3671</v>
      </c>
      <c r="C642">
        <v>0</v>
      </c>
      <c r="D642">
        <v>3</v>
      </c>
      <c r="E642">
        <v>2017</v>
      </c>
      <c r="F642">
        <v>68</v>
      </c>
      <c r="G642" t="s">
        <v>2866</v>
      </c>
      <c r="H642" t="s">
        <v>19</v>
      </c>
      <c r="I642" t="s">
        <v>2863</v>
      </c>
      <c r="J642" t="s">
        <v>1744</v>
      </c>
    </row>
    <row r="643" spans="1:10" x14ac:dyDescent="0.35">
      <c r="A643">
        <v>642</v>
      </c>
      <c r="B643" t="s">
        <v>3672</v>
      </c>
      <c r="C643">
        <v>0</v>
      </c>
      <c r="D643">
        <v>4</v>
      </c>
      <c r="E643">
        <v>2023</v>
      </c>
      <c r="F643">
        <v>3</v>
      </c>
      <c r="G643" t="s">
        <v>2910</v>
      </c>
      <c r="H643" t="s">
        <v>2897</v>
      </c>
      <c r="I643" t="s">
        <v>2874</v>
      </c>
      <c r="J643" t="s">
        <v>25</v>
      </c>
    </row>
    <row r="644" spans="1:10" x14ac:dyDescent="0.35">
      <c r="A644">
        <v>643</v>
      </c>
      <c r="B644" t="s">
        <v>3673</v>
      </c>
      <c r="C644">
        <v>0</v>
      </c>
      <c r="D644">
        <v>4</v>
      </c>
      <c r="E644">
        <v>2020</v>
      </c>
      <c r="F644">
        <v>12</v>
      </c>
      <c r="G644" t="s">
        <v>2969</v>
      </c>
      <c r="H644" t="s">
        <v>2880</v>
      </c>
      <c r="I644" t="s">
        <v>2874</v>
      </c>
      <c r="J644" t="s">
        <v>19</v>
      </c>
    </row>
    <row r="645" spans="1:10" x14ac:dyDescent="0.35">
      <c r="A645">
        <v>644</v>
      </c>
      <c r="B645" t="s">
        <v>3674</v>
      </c>
      <c r="C645">
        <v>0</v>
      </c>
      <c r="D645">
        <v>2</v>
      </c>
      <c r="E645">
        <v>2018</v>
      </c>
      <c r="F645">
        <v>12</v>
      </c>
      <c r="G645" t="s">
        <v>2866</v>
      </c>
      <c r="H645" t="s">
        <v>19</v>
      </c>
      <c r="I645" t="s">
        <v>2863</v>
      </c>
      <c r="J645" t="s">
        <v>72</v>
      </c>
    </row>
    <row r="646" spans="1:10" x14ac:dyDescent="0.35">
      <c r="A646">
        <v>645</v>
      </c>
      <c r="B646" t="s">
        <v>3675</v>
      </c>
      <c r="C646">
        <v>0</v>
      </c>
      <c r="D646">
        <v>4</v>
      </c>
      <c r="E646">
        <v>2019</v>
      </c>
      <c r="F646">
        <v>12</v>
      </c>
      <c r="G646" t="s">
        <v>2866</v>
      </c>
      <c r="H646" t="s">
        <v>19</v>
      </c>
      <c r="I646" t="s">
        <v>2863</v>
      </c>
      <c r="J646" t="s">
        <v>72</v>
      </c>
    </row>
    <row r="647" spans="1:10" x14ac:dyDescent="0.35">
      <c r="A647">
        <v>646</v>
      </c>
      <c r="B647" t="s">
        <v>3676</v>
      </c>
      <c r="C647">
        <v>2</v>
      </c>
      <c r="D647">
        <v>5</v>
      </c>
      <c r="E647">
        <v>2020</v>
      </c>
      <c r="F647">
        <v>1</v>
      </c>
      <c r="G647" t="s">
        <v>3014</v>
      </c>
      <c r="H647" t="s">
        <v>19</v>
      </c>
      <c r="I647" t="s">
        <v>2863</v>
      </c>
      <c r="J647" t="s">
        <v>19</v>
      </c>
    </row>
    <row r="648" spans="1:10" x14ac:dyDescent="0.35">
      <c r="A648">
        <v>647</v>
      </c>
      <c r="B648" t="s">
        <v>3677</v>
      </c>
      <c r="C648">
        <v>0</v>
      </c>
      <c r="D648">
        <v>4</v>
      </c>
      <c r="E648">
        <v>2021</v>
      </c>
      <c r="F648">
        <v>3</v>
      </c>
      <c r="G648" t="s">
        <v>2905</v>
      </c>
      <c r="H648" t="s">
        <v>2880</v>
      </c>
      <c r="I648" t="s">
        <v>2874</v>
      </c>
      <c r="J648" t="s">
        <v>93</v>
      </c>
    </row>
    <row r="649" spans="1:10" x14ac:dyDescent="0.35">
      <c r="A649">
        <v>648</v>
      </c>
      <c r="B649" t="s">
        <v>3678</v>
      </c>
      <c r="C649">
        <v>0</v>
      </c>
      <c r="D649">
        <v>2</v>
      </c>
      <c r="E649">
        <v>2019</v>
      </c>
      <c r="F649">
        <v>14</v>
      </c>
      <c r="G649" t="s">
        <v>2969</v>
      </c>
      <c r="H649" t="s">
        <v>2880</v>
      </c>
      <c r="I649" t="s">
        <v>2874</v>
      </c>
      <c r="J649" t="s">
        <v>72</v>
      </c>
    </row>
    <row r="650" spans="1:10" x14ac:dyDescent="0.35">
      <c r="A650">
        <v>649</v>
      </c>
      <c r="B650" t="s">
        <v>3679</v>
      </c>
      <c r="C650">
        <v>0</v>
      </c>
      <c r="D650">
        <v>2</v>
      </c>
      <c r="E650">
        <v>2014</v>
      </c>
      <c r="F650">
        <v>19</v>
      </c>
      <c r="G650" t="s">
        <v>2867</v>
      </c>
      <c r="H650" t="s">
        <v>19</v>
      </c>
      <c r="I650" t="s">
        <v>2863</v>
      </c>
      <c r="J650" t="s">
        <v>19</v>
      </c>
    </row>
    <row r="651" spans="1:10" x14ac:dyDescent="0.35">
      <c r="A651">
        <v>650</v>
      </c>
      <c r="B651" t="s">
        <v>3680</v>
      </c>
      <c r="C651">
        <v>0</v>
      </c>
      <c r="D651">
        <v>3</v>
      </c>
      <c r="E651">
        <v>2016</v>
      </c>
      <c r="F651">
        <v>32</v>
      </c>
      <c r="G651" t="s">
        <v>2867</v>
      </c>
      <c r="H651" t="s">
        <v>19</v>
      </c>
      <c r="I651" t="s">
        <v>2863</v>
      </c>
      <c r="J651" t="s">
        <v>72</v>
      </c>
    </row>
    <row r="652" spans="1:10" x14ac:dyDescent="0.35">
      <c r="A652">
        <v>651</v>
      </c>
      <c r="B652" t="s">
        <v>3681</v>
      </c>
      <c r="C652">
        <v>0</v>
      </c>
      <c r="D652">
        <v>4</v>
      </c>
      <c r="E652">
        <v>2023</v>
      </c>
      <c r="F652">
        <v>2</v>
      </c>
      <c r="G652" t="s">
        <v>2862</v>
      </c>
      <c r="H652" t="s">
        <v>19</v>
      </c>
      <c r="I652" t="s">
        <v>2863</v>
      </c>
      <c r="J652" t="s">
        <v>72</v>
      </c>
    </row>
    <row r="653" spans="1:10" x14ac:dyDescent="0.35">
      <c r="A653">
        <v>652</v>
      </c>
      <c r="B653" t="s">
        <v>3682</v>
      </c>
      <c r="C653">
        <v>0</v>
      </c>
      <c r="D653">
        <v>3</v>
      </c>
      <c r="E653">
        <v>2017</v>
      </c>
      <c r="F653">
        <v>32</v>
      </c>
      <c r="G653" t="s">
        <v>2877</v>
      </c>
      <c r="H653" t="s">
        <v>19</v>
      </c>
      <c r="I653" t="s">
        <v>2863</v>
      </c>
      <c r="J653" t="s">
        <v>19</v>
      </c>
    </row>
    <row r="654" spans="1:10" x14ac:dyDescent="0.35">
      <c r="A654">
        <v>653</v>
      </c>
      <c r="B654" t="s">
        <v>3683</v>
      </c>
      <c r="C654">
        <v>0</v>
      </c>
      <c r="D654">
        <v>5</v>
      </c>
      <c r="E654">
        <v>2017</v>
      </c>
      <c r="F654">
        <v>29</v>
      </c>
      <c r="G654" t="s">
        <v>3015</v>
      </c>
      <c r="H654" t="s">
        <v>2873</v>
      </c>
      <c r="I654" t="s">
        <v>2874</v>
      </c>
      <c r="J654" t="s">
        <v>48</v>
      </c>
    </row>
    <row r="655" spans="1:10" x14ac:dyDescent="0.35">
      <c r="A655">
        <v>654</v>
      </c>
      <c r="B655" t="s">
        <v>3684</v>
      </c>
      <c r="C655">
        <v>0</v>
      </c>
      <c r="D655">
        <v>4</v>
      </c>
      <c r="E655">
        <v>2015</v>
      </c>
      <c r="F655">
        <v>100</v>
      </c>
      <c r="G655" t="s">
        <v>2877</v>
      </c>
      <c r="H655" t="s">
        <v>19</v>
      </c>
      <c r="I655" t="s">
        <v>2863</v>
      </c>
      <c r="J655" t="s">
        <v>72</v>
      </c>
    </row>
    <row r="656" spans="1:10" x14ac:dyDescent="0.35">
      <c r="A656">
        <v>655</v>
      </c>
      <c r="B656" t="s">
        <v>3685</v>
      </c>
      <c r="C656">
        <v>0</v>
      </c>
      <c r="D656">
        <v>5</v>
      </c>
      <c r="E656">
        <v>2019</v>
      </c>
      <c r="F656">
        <v>73</v>
      </c>
      <c r="G656" t="s">
        <v>2931</v>
      </c>
      <c r="H656" t="s">
        <v>2897</v>
      </c>
      <c r="I656" t="s">
        <v>2874</v>
      </c>
      <c r="J656" t="s">
        <v>16</v>
      </c>
    </row>
    <row r="657" spans="1:10" x14ac:dyDescent="0.35">
      <c r="A657">
        <v>656</v>
      </c>
      <c r="B657" t="s">
        <v>3686</v>
      </c>
      <c r="C657">
        <v>5</v>
      </c>
      <c r="D657">
        <v>11</v>
      </c>
      <c r="E657">
        <v>2019</v>
      </c>
      <c r="F657">
        <v>12</v>
      </c>
      <c r="G657" t="s">
        <v>2924</v>
      </c>
      <c r="H657" t="s">
        <v>19</v>
      </c>
      <c r="I657" t="s">
        <v>2863</v>
      </c>
      <c r="J657" t="s">
        <v>157</v>
      </c>
    </row>
    <row r="658" spans="1:10" x14ac:dyDescent="0.35">
      <c r="A658">
        <v>657</v>
      </c>
      <c r="B658" t="s">
        <v>3687</v>
      </c>
      <c r="C658">
        <v>1</v>
      </c>
      <c r="D658">
        <v>5</v>
      </c>
      <c r="E658">
        <v>2017</v>
      </c>
      <c r="F658">
        <v>32</v>
      </c>
      <c r="G658" t="s">
        <v>2866</v>
      </c>
      <c r="H658" t="s">
        <v>19</v>
      </c>
      <c r="I658" t="s">
        <v>2863</v>
      </c>
      <c r="J658" t="s">
        <v>35</v>
      </c>
    </row>
    <row r="659" spans="1:10" x14ac:dyDescent="0.35">
      <c r="A659">
        <v>658</v>
      </c>
      <c r="B659" t="s">
        <v>3688</v>
      </c>
      <c r="C659">
        <v>10</v>
      </c>
      <c r="D659">
        <v>14</v>
      </c>
      <c r="E659">
        <v>2017</v>
      </c>
      <c r="F659">
        <v>22</v>
      </c>
      <c r="G659" t="s">
        <v>2962</v>
      </c>
      <c r="H659" t="s">
        <v>19</v>
      </c>
      <c r="I659" t="s">
        <v>2863</v>
      </c>
      <c r="J659" t="s">
        <v>45</v>
      </c>
    </row>
    <row r="660" spans="1:10" x14ac:dyDescent="0.35">
      <c r="A660">
        <v>659</v>
      </c>
      <c r="B660" t="s">
        <v>3689</v>
      </c>
      <c r="C660">
        <v>0</v>
      </c>
      <c r="D660">
        <v>5</v>
      </c>
      <c r="E660">
        <v>2017</v>
      </c>
      <c r="F660">
        <v>22</v>
      </c>
      <c r="G660" t="s">
        <v>2900</v>
      </c>
      <c r="H660" t="s">
        <v>2880</v>
      </c>
      <c r="I660" t="s">
        <v>2874</v>
      </c>
      <c r="J660" t="s">
        <v>35</v>
      </c>
    </row>
    <row r="661" spans="1:10" x14ac:dyDescent="0.35">
      <c r="A661">
        <v>660</v>
      </c>
      <c r="B661" t="s">
        <v>3690</v>
      </c>
      <c r="C661">
        <v>0</v>
      </c>
      <c r="D661">
        <v>7</v>
      </c>
      <c r="E661">
        <v>2023</v>
      </c>
      <c r="F661">
        <v>17</v>
      </c>
      <c r="G661" t="s">
        <v>2872</v>
      </c>
      <c r="H661" t="s">
        <v>2873</v>
      </c>
      <c r="I661" t="s">
        <v>2874</v>
      </c>
      <c r="J661" t="s">
        <v>72</v>
      </c>
    </row>
    <row r="662" spans="1:10" x14ac:dyDescent="0.35">
      <c r="A662">
        <v>661</v>
      </c>
      <c r="B662" t="s">
        <v>3691</v>
      </c>
      <c r="C662">
        <v>0</v>
      </c>
      <c r="D662">
        <v>4</v>
      </c>
      <c r="E662">
        <v>2022</v>
      </c>
      <c r="F662">
        <v>4</v>
      </c>
      <c r="G662" t="s">
        <v>3016</v>
      </c>
      <c r="H662" t="s">
        <v>3017</v>
      </c>
      <c r="I662" t="s">
        <v>2987</v>
      </c>
      <c r="J662" t="s">
        <v>2593</v>
      </c>
    </row>
    <row r="663" spans="1:10" x14ac:dyDescent="0.35">
      <c r="A663">
        <v>662</v>
      </c>
      <c r="B663" t="s">
        <v>3692</v>
      </c>
      <c r="C663">
        <v>0</v>
      </c>
      <c r="D663">
        <v>9</v>
      </c>
      <c r="E663">
        <v>2023</v>
      </c>
      <c r="F663">
        <v>9</v>
      </c>
      <c r="G663" t="s">
        <v>3018</v>
      </c>
      <c r="H663" t="s">
        <v>19</v>
      </c>
      <c r="I663" t="s">
        <v>2863</v>
      </c>
      <c r="J663" t="s">
        <v>72</v>
      </c>
    </row>
    <row r="664" spans="1:10" x14ac:dyDescent="0.35">
      <c r="A664">
        <v>663</v>
      </c>
      <c r="B664" t="s">
        <v>3693</v>
      </c>
      <c r="C664">
        <v>1</v>
      </c>
      <c r="D664">
        <v>6</v>
      </c>
      <c r="E664">
        <v>2023</v>
      </c>
      <c r="F664">
        <v>5</v>
      </c>
      <c r="G664" t="s">
        <v>2872</v>
      </c>
      <c r="H664" t="s">
        <v>2873</v>
      </c>
      <c r="I664" t="s">
        <v>2874</v>
      </c>
      <c r="J664" t="s">
        <v>72</v>
      </c>
    </row>
    <row r="665" spans="1:10" x14ac:dyDescent="0.35">
      <c r="A665">
        <v>664</v>
      </c>
      <c r="B665" t="s">
        <v>3694</v>
      </c>
      <c r="C665">
        <v>0</v>
      </c>
      <c r="D665">
        <v>9</v>
      </c>
      <c r="E665">
        <v>2022</v>
      </c>
      <c r="F665">
        <v>16</v>
      </c>
      <c r="G665" t="s">
        <v>2872</v>
      </c>
      <c r="H665" t="s">
        <v>2873</v>
      </c>
      <c r="I665" t="s">
        <v>2874</v>
      </c>
      <c r="J665" t="s">
        <v>72</v>
      </c>
    </row>
    <row r="666" spans="1:10" x14ac:dyDescent="0.35">
      <c r="A666">
        <v>665</v>
      </c>
      <c r="B666" t="s">
        <v>3695</v>
      </c>
      <c r="C666">
        <v>2</v>
      </c>
      <c r="D666">
        <v>9</v>
      </c>
      <c r="E666">
        <v>2022</v>
      </c>
      <c r="F666">
        <v>0</v>
      </c>
      <c r="G666" t="s">
        <v>2928</v>
      </c>
      <c r="H666" t="s">
        <v>19</v>
      </c>
      <c r="I666" t="s">
        <v>2863</v>
      </c>
      <c r="J666" t="s">
        <v>261</v>
      </c>
    </row>
    <row r="667" spans="1:10" x14ac:dyDescent="0.35">
      <c r="A667">
        <v>666</v>
      </c>
      <c r="B667" t="s">
        <v>3696</v>
      </c>
      <c r="C667">
        <v>3</v>
      </c>
      <c r="D667">
        <v>3</v>
      </c>
      <c r="E667">
        <v>2023</v>
      </c>
      <c r="F667">
        <v>0</v>
      </c>
      <c r="G667" t="s">
        <v>2951</v>
      </c>
      <c r="H667" t="s">
        <v>2873</v>
      </c>
      <c r="I667" t="s">
        <v>2874</v>
      </c>
      <c r="J667" t="s">
        <v>231</v>
      </c>
    </row>
    <row r="668" spans="1:10" x14ac:dyDescent="0.35">
      <c r="A668">
        <v>667</v>
      </c>
      <c r="B668" t="s">
        <v>3697</v>
      </c>
      <c r="C668">
        <v>0</v>
      </c>
      <c r="D668">
        <v>6</v>
      </c>
      <c r="E668">
        <v>2019</v>
      </c>
      <c r="F668">
        <v>31</v>
      </c>
      <c r="G668" t="s">
        <v>2949</v>
      </c>
      <c r="H668" t="s">
        <v>93</v>
      </c>
      <c r="I668" t="s">
        <v>2865</v>
      </c>
      <c r="J668" t="s">
        <v>93</v>
      </c>
    </row>
    <row r="669" spans="1:10" x14ac:dyDescent="0.35">
      <c r="A669">
        <v>668</v>
      </c>
      <c r="B669" t="s">
        <v>3698</v>
      </c>
      <c r="C669">
        <v>4</v>
      </c>
      <c r="D669">
        <v>4</v>
      </c>
      <c r="E669">
        <v>2015</v>
      </c>
      <c r="F669">
        <v>12</v>
      </c>
      <c r="G669" t="s">
        <v>2866</v>
      </c>
      <c r="H669" t="s">
        <v>19</v>
      </c>
      <c r="I669" t="s">
        <v>2863</v>
      </c>
      <c r="J669" t="s">
        <v>231</v>
      </c>
    </row>
    <row r="670" spans="1:10" x14ac:dyDescent="0.35">
      <c r="A670">
        <v>669</v>
      </c>
      <c r="B670" t="s">
        <v>3699</v>
      </c>
      <c r="C670">
        <v>0</v>
      </c>
      <c r="D670">
        <v>6</v>
      </c>
      <c r="E670">
        <v>2018</v>
      </c>
      <c r="F670">
        <v>12</v>
      </c>
      <c r="G670" t="s">
        <v>2954</v>
      </c>
      <c r="H670" t="s">
        <v>93</v>
      </c>
      <c r="I670" t="s">
        <v>2865</v>
      </c>
      <c r="J670" t="s">
        <v>25</v>
      </c>
    </row>
    <row r="671" spans="1:10" x14ac:dyDescent="0.35">
      <c r="A671">
        <v>670</v>
      </c>
      <c r="B671" t="s">
        <v>3700</v>
      </c>
      <c r="C671">
        <v>3</v>
      </c>
      <c r="D671">
        <v>6</v>
      </c>
      <c r="E671">
        <v>2016</v>
      </c>
      <c r="F671">
        <v>14</v>
      </c>
      <c r="G671" t="s">
        <v>2886</v>
      </c>
      <c r="H671" t="s">
        <v>2880</v>
      </c>
      <c r="I671" t="s">
        <v>2874</v>
      </c>
      <c r="J671" t="s">
        <v>2261</v>
      </c>
    </row>
    <row r="672" spans="1:10" x14ac:dyDescent="0.35">
      <c r="A672">
        <v>671</v>
      </c>
      <c r="B672" t="s">
        <v>3701</v>
      </c>
      <c r="C672">
        <v>2</v>
      </c>
      <c r="D672">
        <v>2</v>
      </c>
      <c r="E672">
        <v>2015</v>
      </c>
      <c r="F672">
        <v>26</v>
      </c>
      <c r="G672" t="s">
        <v>2894</v>
      </c>
      <c r="H672" t="s">
        <v>2895</v>
      </c>
      <c r="I672" t="s">
        <v>2874</v>
      </c>
      <c r="J672" t="s">
        <v>231</v>
      </c>
    </row>
    <row r="673" spans="1:10" x14ac:dyDescent="0.35">
      <c r="A673">
        <v>672</v>
      </c>
      <c r="B673" t="s">
        <v>3702</v>
      </c>
      <c r="C673">
        <v>0</v>
      </c>
      <c r="D673">
        <v>7</v>
      </c>
      <c r="E673">
        <v>2021</v>
      </c>
      <c r="F673">
        <v>8</v>
      </c>
      <c r="G673" t="s">
        <v>2867</v>
      </c>
      <c r="H673" t="s">
        <v>19</v>
      </c>
      <c r="I673" t="s">
        <v>2863</v>
      </c>
      <c r="J673" t="s">
        <v>72</v>
      </c>
    </row>
    <row r="674" spans="1:10" x14ac:dyDescent="0.35">
      <c r="A674">
        <v>673</v>
      </c>
      <c r="B674" t="s">
        <v>3703</v>
      </c>
      <c r="C674">
        <v>0</v>
      </c>
      <c r="D674">
        <v>2</v>
      </c>
      <c r="E674">
        <v>2015</v>
      </c>
      <c r="F674">
        <v>1</v>
      </c>
      <c r="G674" t="s">
        <v>3019</v>
      </c>
      <c r="H674" t="s">
        <v>2880</v>
      </c>
      <c r="I674" t="s">
        <v>2874</v>
      </c>
      <c r="J674" t="s">
        <v>517</v>
      </c>
    </row>
    <row r="675" spans="1:10" x14ac:dyDescent="0.35">
      <c r="A675">
        <v>674</v>
      </c>
      <c r="B675" t="s">
        <v>3704</v>
      </c>
      <c r="C675">
        <v>0</v>
      </c>
      <c r="D675">
        <v>2</v>
      </c>
      <c r="E675">
        <v>2022</v>
      </c>
      <c r="F675">
        <v>8</v>
      </c>
      <c r="G675" t="s">
        <v>3020</v>
      </c>
      <c r="H675" t="s">
        <v>2873</v>
      </c>
      <c r="I675" t="s">
        <v>2874</v>
      </c>
      <c r="J675" t="s">
        <v>261</v>
      </c>
    </row>
    <row r="676" spans="1:10" x14ac:dyDescent="0.35">
      <c r="A676">
        <v>675</v>
      </c>
      <c r="B676" t="s">
        <v>3705</v>
      </c>
      <c r="C676">
        <v>0</v>
      </c>
      <c r="D676">
        <v>3</v>
      </c>
      <c r="E676">
        <v>2014</v>
      </c>
      <c r="F676">
        <v>47</v>
      </c>
      <c r="G676" t="s">
        <v>2867</v>
      </c>
      <c r="H676" t="s">
        <v>19</v>
      </c>
      <c r="I676" t="s">
        <v>2863</v>
      </c>
      <c r="J676" t="s">
        <v>72</v>
      </c>
    </row>
    <row r="677" spans="1:10" x14ac:dyDescent="0.35">
      <c r="A677">
        <v>676</v>
      </c>
      <c r="B677" t="s">
        <v>3706</v>
      </c>
      <c r="C677">
        <v>0</v>
      </c>
      <c r="D677">
        <v>6</v>
      </c>
      <c r="E677">
        <v>2020</v>
      </c>
      <c r="F677">
        <v>10</v>
      </c>
      <c r="G677" t="s">
        <v>2862</v>
      </c>
      <c r="H677" t="s">
        <v>19</v>
      </c>
      <c r="I677" t="s">
        <v>2863</v>
      </c>
      <c r="J677" t="s">
        <v>72</v>
      </c>
    </row>
    <row r="678" spans="1:10" x14ac:dyDescent="0.35">
      <c r="A678">
        <v>677</v>
      </c>
      <c r="B678" t="s">
        <v>3707</v>
      </c>
      <c r="C678">
        <v>1</v>
      </c>
      <c r="D678">
        <v>4</v>
      </c>
      <c r="E678">
        <v>2021</v>
      </c>
      <c r="F678">
        <v>4</v>
      </c>
      <c r="G678" t="s">
        <v>2919</v>
      </c>
      <c r="H678" t="s">
        <v>19</v>
      </c>
      <c r="I678" t="s">
        <v>2863</v>
      </c>
      <c r="J678" t="s">
        <v>56</v>
      </c>
    </row>
    <row r="679" spans="1:10" x14ac:dyDescent="0.35">
      <c r="A679">
        <v>678</v>
      </c>
      <c r="B679" t="s">
        <v>3708</v>
      </c>
      <c r="C679">
        <v>0</v>
      </c>
      <c r="D679">
        <v>3</v>
      </c>
      <c r="E679">
        <v>2019</v>
      </c>
      <c r="F679">
        <v>30</v>
      </c>
      <c r="G679" t="s">
        <v>2989</v>
      </c>
      <c r="H679" t="s">
        <v>19</v>
      </c>
      <c r="I679" t="s">
        <v>2863</v>
      </c>
      <c r="J679" t="s">
        <v>16</v>
      </c>
    </row>
    <row r="680" spans="1:10" x14ac:dyDescent="0.35">
      <c r="A680">
        <v>679</v>
      </c>
      <c r="B680" t="s">
        <v>3709</v>
      </c>
      <c r="C680">
        <v>0</v>
      </c>
      <c r="D680">
        <v>4</v>
      </c>
      <c r="E680">
        <v>2015</v>
      </c>
      <c r="F680">
        <v>0</v>
      </c>
      <c r="G680" t="s">
        <v>2894</v>
      </c>
      <c r="H680" t="s">
        <v>2895</v>
      </c>
      <c r="I680" t="s">
        <v>2874</v>
      </c>
      <c r="J680" t="s">
        <v>22</v>
      </c>
    </row>
    <row r="681" spans="1:10" x14ac:dyDescent="0.35">
      <c r="A681">
        <v>680</v>
      </c>
      <c r="B681" t="s">
        <v>3710</v>
      </c>
      <c r="C681">
        <v>0</v>
      </c>
      <c r="D681">
        <v>6</v>
      </c>
      <c r="E681">
        <v>2014</v>
      </c>
      <c r="F681">
        <v>39</v>
      </c>
      <c r="G681" t="s">
        <v>2867</v>
      </c>
      <c r="H681" t="s">
        <v>19</v>
      </c>
      <c r="I681" t="s">
        <v>2863</v>
      </c>
      <c r="J681" t="s">
        <v>48</v>
      </c>
    </row>
    <row r="682" spans="1:10" x14ac:dyDescent="0.35">
      <c r="A682">
        <v>681</v>
      </c>
      <c r="B682" t="s">
        <v>3711</v>
      </c>
      <c r="C682">
        <v>1</v>
      </c>
      <c r="D682">
        <v>4</v>
      </c>
      <c r="E682">
        <v>2016</v>
      </c>
      <c r="F682">
        <v>26</v>
      </c>
      <c r="G682" t="s">
        <v>2867</v>
      </c>
      <c r="H682" t="s">
        <v>19</v>
      </c>
      <c r="I682" t="s">
        <v>2863</v>
      </c>
      <c r="J682" t="s">
        <v>19</v>
      </c>
    </row>
    <row r="683" spans="1:10" x14ac:dyDescent="0.35">
      <c r="A683">
        <v>682</v>
      </c>
      <c r="B683" t="s">
        <v>3712</v>
      </c>
      <c r="C683">
        <v>0</v>
      </c>
      <c r="D683">
        <v>4</v>
      </c>
      <c r="E683">
        <v>2015</v>
      </c>
      <c r="F683">
        <v>12</v>
      </c>
      <c r="G683" t="s">
        <v>2867</v>
      </c>
      <c r="H683" t="s">
        <v>19</v>
      </c>
      <c r="I683" t="s">
        <v>2863</v>
      </c>
      <c r="J683" t="s">
        <v>56</v>
      </c>
    </row>
    <row r="684" spans="1:10" x14ac:dyDescent="0.35">
      <c r="A684">
        <v>683</v>
      </c>
      <c r="B684" t="s">
        <v>3713</v>
      </c>
      <c r="C684">
        <v>0</v>
      </c>
      <c r="D684">
        <v>3</v>
      </c>
      <c r="E684">
        <v>2022</v>
      </c>
      <c r="F684">
        <v>5</v>
      </c>
      <c r="G684" t="s">
        <v>2901</v>
      </c>
      <c r="H684" t="s">
        <v>2902</v>
      </c>
      <c r="I684" t="s">
        <v>2885</v>
      </c>
      <c r="J684" t="s">
        <v>56</v>
      </c>
    </row>
    <row r="685" spans="1:10" x14ac:dyDescent="0.35">
      <c r="A685">
        <v>684</v>
      </c>
      <c r="B685" t="s">
        <v>3714</v>
      </c>
      <c r="C685">
        <v>0</v>
      </c>
      <c r="D685">
        <v>6</v>
      </c>
      <c r="E685">
        <v>2016</v>
      </c>
      <c r="F685">
        <v>76</v>
      </c>
      <c r="G685" t="s">
        <v>2922</v>
      </c>
      <c r="H685" t="s">
        <v>2873</v>
      </c>
      <c r="I685" t="s">
        <v>2874</v>
      </c>
      <c r="J685" t="s">
        <v>517</v>
      </c>
    </row>
    <row r="686" spans="1:10" x14ac:dyDescent="0.35">
      <c r="A686">
        <v>685</v>
      </c>
      <c r="B686" t="s">
        <v>3715</v>
      </c>
      <c r="C686">
        <v>0</v>
      </c>
      <c r="D686">
        <v>3</v>
      </c>
      <c r="E686">
        <v>2021</v>
      </c>
      <c r="F686">
        <v>2</v>
      </c>
      <c r="G686" t="s">
        <v>2877</v>
      </c>
      <c r="H686" t="s">
        <v>19</v>
      </c>
      <c r="I686" t="s">
        <v>2863</v>
      </c>
      <c r="J686" t="s">
        <v>72</v>
      </c>
    </row>
    <row r="687" spans="1:10" x14ac:dyDescent="0.35">
      <c r="A687">
        <v>686</v>
      </c>
      <c r="B687" t="s">
        <v>3716</v>
      </c>
      <c r="C687">
        <v>1</v>
      </c>
      <c r="D687">
        <v>6</v>
      </c>
      <c r="E687">
        <v>2016</v>
      </c>
      <c r="F687">
        <v>59</v>
      </c>
      <c r="G687" t="s">
        <v>2866</v>
      </c>
      <c r="H687" t="s">
        <v>19</v>
      </c>
      <c r="I687" t="s">
        <v>2863</v>
      </c>
      <c r="J687" t="s">
        <v>189</v>
      </c>
    </row>
    <row r="688" spans="1:10" x14ac:dyDescent="0.35">
      <c r="A688">
        <v>687</v>
      </c>
      <c r="B688" t="s">
        <v>3717</v>
      </c>
      <c r="C688">
        <v>0</v>
      </c>
      <c r="D688">
        <v>2</v>
      </c>
      <c r="E688">
        <v>2022</v>
      </c>
      <c r="F688">
        <v>16</v>
      </c>
      <c r="G688" t="s">
        <v>2867</v>
      </c>
      <c r="H688" t="s">
        <v>19</v>
      </c>
      <c r="I688" t="s">
        <v>2863</v>
      </c>
      <c r="J688" t="s">
        <v>19</v>
      </c>
    </row>
    <row r="689" spans="1:10" x14ac:dyDescent="0.35">
      <c r="A689">
        <v>688</v>
      </c>
      <c r="B689" t="s">
        <v>3718</v>
      </c>
      <c r="C689">
        <v>0</v>
      </c>
      <c r="D689">
        <v>6</v>
      </c>
      <c r="E689">
        <v>2023</v>
      </c>
      <c r="F689">
        <v>4</v>
      </c>
      <c r="G689" t="s">
        <v>2877</v>
      </c>
      <c r="H689" t="s">
        <v>19</v>
      </c>
      <c r="I689" t="s">
        <v>2863</v>
      </c>
      <c r="J689" t="s">
        <v>72</v>
      </c>
    </row>
    <row r="690" spans="1:10" x14ac:dyDescent="0.35">
      <c r="A690">
        <v>689</v>
      </c>
      <c r="B690" t="s">
        <v>3719</v>
      </c>
      <c r="C690">
        <v>0</v>
      </c>
      <c r="D690">
        <v>3</v>
      </c>
      <c r="E690">
        <v>2016</v>
      </c>
      <c r="F690">
        <v>6</v>
      </c>
      <c r="G690" t="s">
        <v>3021</v>
      </c>
      <c r="H690" t="s">
        <v>3022</v>
      </c>
      <c r="I690" t="s">
        <v>3023</v>
      </c>
      <c r="J690" t="s">
        <v>164</v>
      </c>
    </row>
    <row r="691" spans="1:10" x14ac:dyDescent="0.35">
      <c r="A691">
        <v>690</v>
      </c>
      <c r="B691" t="s">
        <v>3720</v>
      </c>
      <c r="C691">
        <v>0</v>
      </c>
      <c r="D691">
        <v>3</v>
      </c>
      <c r="E691">
        <v>2018</v>
      </c>
      <c r="F691">
        <v>13</v>
      </c>
      <c r="G691" t="s">
        <v>2969</v>
      </c>
      <c r="H691" t="s">
        <v>2880</v>
      </c>
      <c r="I691" t="s">
        <v>2874</v>
      </c>
      <c r="J691" t="s">
        <v>72</v>
      </c>
    </row>
    <row r="692" spans="1:10" x14ac:dyDescent="0.35">
      <c r="A692">
        <v>691</v>
      </c>
      <c r="B692" t="s">
        <v>3721</v>
      </c>
      <c r="C692">
        <v>0</v>
      </c>
      <c r="D692">
        <v>10</v>
      </c>
      <c r="E692">
        <v>2016</v>
      </c>
      <c r="F692">
        <v>94</v>
      </c>
      <c r="G692" t="s">
        <v>2990</v>
      </c>
      <c r="H692" t="s">
        <v>2873</v>
      </c>
      <c r="I692" t="s">
        <v>2874</v>
      </c>
      <c r="J692" t="s">
        <v>72</v>
      </c>
    </row>
    <row r="693" spans="1:10" x14ac:dyDescent="0.35">
      <c r="A693">
        <v>692</v>
      </c>
      <c r="B693" t="s">
        <v>3722</v>
      </c>
      <c r="C693">
        <v>0</v>
      </c>
      <c r="D693">
        <v>4</v>
      </c>
      <c r="E693">
        <v>2020</v>
      </c>
      <c r="F693">
        <v>17</v>
      </c>
      <c r="G693" t="s">
        <v>2872</v>
      </c>
      <c r="H693" t="s">
        <v>2873</v>
      </c>
      <c r="I693" t="s">
        <v>2874</v>
      </c>
      <c r="J693" t="s">
        <v>72</v>
      </c>
    </row>
    <row r="694" spans="1:10" x14ac:dyDescent="0.35">
      <c r="A694">
        <v>693</v>
      </c>
      <c r="B694" t="s">
        <v>3723</v>
      </c>
      <c r="C694">
        <v>0</v>
      </c>
      <c r="D694">
        <v>8</v>
      </c>
      <c r="E694">
        <v>2018</v>
      </c>
      <c r="F694">
        <v>8</v>
      </c>
      <c r="G694" t="s">
        <v>2922</v>
      </c>
      <c r="H694" t="s">
        <v>2873</v>
      </c>
      <c r="I694" t="s">
        <v>2874</v>
      </c>
      <c r="J694" t="s">
        <v>93</v>
      </c>
    </row>
    <row r="695" spans="1:10" x14ac:dyDescent="0.35">
      <c r="A695">
        <v>694</v>
      </c>
      <c r="B695" t="s">
        <v>3724</v>
      </c>
      <c r="C695">
        <v>0</v>
      </c>
      <c r="D695">
        <v>10</v>
      </c>
      <c r="E695">
        <v>2016</v>
      </c>
      <c r="F695">
        <v>60</v>
      </c>
      <c r="G695" t="s">
        <v>2928</v>
      </c>
      <c r="H695" t="s">
        <v>19</v>
      </c>
      <c r="I695" t="s">
        <v>2863</v>
      </c>
      <c r="J695" t="s">
        <v>19</v>
      </c>
    </row>
    <row r="696" spans="1:10" x14ac:dyDescent="0.35">
      <c r="A696">
        <v>695</v>
      </c>
      <c r="B696" t="s">
        <v>3725</v>
      </c>
      <c r="C696">
        <v>0</v>
      </c>
      <c r="D696">
        <v>3</v>
      </c>
      <c r="E696">
        <v>2021</v>
      </c>
      <c r="F696">
        <v>15</v>
      </c>
      <c r="G696" t="s">
        <v>2882</v>
      </c>
      <c r="H696" t="s">
        <v>19</v>
      </c>
      <c r="I696" t="s">
        <v>2863</v>
      </c>
      <c r="J696" t="s">
        <v>19</v>
      </c>
    </row>
    <row r="697" spans="1:10" x14ac:dyDescent="0.35">
      <c r="A697">
        <v>696</v>
      </c>
      <c r="B697" t="s">
        <v>3726</v>
      </c>
      <c r="C697">
        <v>1</v>
      </c>
      <c r="D697">
        <v>5</v>
      </c>
      <c r="E697">
        <v>2022</v>
      </c>
      <c r="F697">
        <v>24</v>
      </c>
      <c r="G697" t="s">
        <v>2872</v>
      </c>
      <c r="H697" t="s">
        <v>2873</v>
      </c>
      <c r="I697" t="s">
        <v>2874</v>
      </c>
      <c r="J697" t="s">
        <v>72</v>
      </c>
    </row>
    <row r="698" spans="1:10" x14ac:dyDescent="0.35">
      <c r="A698">
        <v>697</v>
      </c>
      <c r="B698" t="s">
        <v>3727</v>
      </c>
      <c r="C698">
        <v>1</v>
      </c>
      <c r="D698">
        <v>7</v>
      </c>
      <c r="E698">
        <v>2023</v>
      </c>
      <c r="F698">
        <v>24</v>
      </c>
      <c r="G698" t="s">
        <v>2872</v>
      </c>
      <c r="H698" t="s">
        <v>2873</v>
      </c>
      <c r="I698" t="s">
        <v>2874</v>
      </c>
      <c r="J698" t="s">
        <v>72</v>
      </c>
    </row>
    <row r="699" spans="1:10" x14ac:dyDescent="0.35">
      <c r="A699">
        <v>698</v>
      </c>
      <c r="B699" t="s">
        <v>3728</v>
      </c>
      <c r="C699">
        <v>4</v>
      </c>
      <c r="D699">
        <v>4</v>
      </c>
      <c r="E699">
        <v>2016</v>
      </c>
      <c r="F699">
        <v>15</v>
      </c>
      <c r="G699" t="s">
        <v>2938</v>
      </c>
      <c r="H699" t="s">
        <v>2939</v>
      </c>
      <c r="I699" t="s">
        <v>2940</v>
      </c>
      <c r="J699" t="s">
        <v>231</v>
      </c>
    </row>
    <row r="700" spans="1:10" x14ac:dyDescent="0.35">
      <c r="A700">
        <v>699</v>
      </c>
      <c r="B700" t="s">
        <v>3729</v>
      </c>
      <c r="C700">
        <v>0</v>
      </c>
      <c r="D700">
        <v>7</v>
      </c>
      <c r="E700">
        <v>2021</v>
      </c>
      <c r="F700">
        <v>33</v>
      </c>
      <c r="G700" t="s">
        <v>2888</v>
      </c>
      <c r="H700" t="s">
        <v>2873</v>
      </c>
      <c r="I700" t="s">
        <v>2874</v>
      </c>
      <c r="J700" t="s">
        <v>19</v>
      </c>
    </row>
    <row r="701" spans="1:10" x14ac:dyDescent="0.35">
      <c r="A701">
        <v>700</v>
      </c>
      <c r="B701" t="s">
        <v>3730</v>
      </c>
      <c r="C701">
        <v>0</v>
      </c>
      <c r="D701">
        <v>4</v>
      </c>
      <c r="E701">
        <v>2019</v>
      </c>
      <c r="F701">
        <v>3</v>
      </c>
      <c r="G701" t="s">
        <v>3024</v>
      </c>
      <c r="H701" t="s">
        <v>19</v>
      </c>
      <c r="I701" t="s">
        <v>2863</v>
      </c>
      <c r="J701" t="s">
        <v>16</v>
      </c>
    </row>
    <row r="702" spans="1:10" x14ac:dyDescent="0.35">
      <c r="A702">
        <v>701</v>
      </c>
      <c r="B702" t="s">
        <v>3731</v>
      </c>
      <c r="C702">
        <v>0</v>
      </c>
      <c r="D702">
        <v>5</v>
      </c>
      <c r="E702">
        <v>2018</v>
      </c>
      <c r="F702">
        <v>16</v>
      </c>
      <c r="G702" t="s">
        <v>2867</v>
      </c>
      <c r="H702" t="s">
        <v>19</v>
      </c>
      <c r="I702" t="s">
        <v>2863</v>
      </c>
      <c r="J702" t="s">
        <v>72</v>
      </c>
    </row>
    <row r="703" spans="1:10" x14ac:dyDescent="0.35">
      <c r="A703">
        <v>702</v>
      </c>
      <c r="B703" t="s">
        <v>3732</v>
      </c>
      <c r="C703">
        <v>0</v>
      </c>
      <c r="D703">
        <v>4</v>
      </c>
      <c r="E703">
        <v>2017</v>
      </c>
      <c r="F703">
        <v>27</v>
      </c>
      <c r="G703" t="s">
        <v>2866</v>
      </c>
      <c r="H703" t="s">
        <v>19</v>
      </c>
      <c r="I703" t="s">
        <v>2863</v>
      </c>
      <c r="J703" t="s">
        <v>1744</v>
      </c>
    </row>
    <row r="704" spans="1:10" x14ac:dyDescent="0.35">
      <c r="A704">
        <v>703</v>
      </c>
      <c r="B704" t="s">
        <v>3733</v>
      </c>
      <c r="C704">
        <v>0</v>
      </c>
      <c r="D704">
        <v>16</v>
      </c>
      <c r="E704">
        <v>2017</v>
      </c>
      <c r="F704">
        <v>98</v>
      </c>
      <c r="G704" t="s">
        <v>2946</v>
      </c>
      <c r="H704" t="s">
        <v>2873</v>
      </c>
      <c r="I704" t="s">
        <v>2874</v>
      </c>
      <c r="J704" t="s">
        <v>72</v>
      </c>
    </row>
    <row r="705" spans="1:10" x14ac:dyDescent="0.35">
      <c r="A705">
        <v>704</v>
      </c>
      <c r="B705" t="s">
        <v>3734</v>
      </c>
      <c r="C705">
        <v>0</v>
      </c>
      <c r="D705">
        <v>3</v>
      </c>
      <c r="E705">
        <v>2023</v>
      </c>
      <c r="F705">
        <v>12</v>
      </c>
      <c r="G705" t="s">
        <v>2872</v>
      </c>
      <c r="H705" t="s">
        <v>2873</v>
      </c>
      <c r="I705" t="s">
        <v>2874</v>
      </c>
      <c r="J705" t="s">
        <v>19</v>
      </c>
    </row>
    <row r="706" spans="1:10" x14ac:dyDescent="0.35">
      <c r="A706">
        <v>705</v>
      </c>
      <c r="B706" t="s">
        <v>3735</v>
      </c>
      <c r="C706">
        <v>0</v>
      </c>
      <c r="D706">
        <v>2</v>
      </c>
      <c r="E706">
        <v>2022</v>
      </c>
      <c r="F706">
        <v>12</v>
      </c>
      <c r="G706" t="s">
        <v>2926</v>
      </c>
      <c r="H706" t="s">
        <v>2873</v>
      </c>
      <c r="I706" t="s">
        <v>2874</v>
      </c>
      <c r="J706" t="s">
        <v>16</v>
      </c>
    </row>
    <row r="707" spans="1:10" x14ac:dyDescent="0.35">
      <c r="A707">
        <v>706</v>
      </c>
      <c r="B707" t="s">
        <v>3736</v>
      </c>
      <c r="C707">
        <v>0</v>
      </c>
      <c r="D707">
        <v>8</v>
      </c>
      <c r="E707">
        <v>2021</v>
      </c>
      <c r="F707">
        <v>54</v>
      </c>
      <c r="G707" t="s">
        <v>2872</v>
      </c>
      <c r="H707" t="s">
        <v>2873</v>
      </c>
      <c r="I707" t="s">
        <v>2874</v>
      </c>
      <c r="J707" t="s">
        <v>48</v>
      </c>
    </row>
    <row r="708" spans="1:10" x14ac:dyDescent="0.35">
      <c r="A708">
        <v>707</v>
      </c>
      <c r="B708" t="s">
        <v>3737</v>
      </c>
      <c r="C708">
        <v>0</v>
      </c>
      <c r="D708">
        <v>9</v>
      </c>
      <c r="E708">
        <v>2015</v>
      </c>
      <c r="F708">
        <v>34</v>
      </c>
      <c r="G708" t="s">
        <v>3025</v>
      </c>
      <c r="H708" t="s">
        <v>93</v>
      </c>
      <c r="I708" t="s">
        <v>2865</v>
      </c>
      <c r="J708" t="s">
        <v>72</v>
      </c>
    </row>
    <row r="709" spans="1:10" x14ac:dyDescent="0.35">
      <c r="A709">
        <v>708</v>
      </c>
      <c r="B709" t="s">
        <v>3738</v>
      </c>
      <c r="C709">
        <v>0</v>
      </c>
      <c r="D709">
        <v>4</v>
      </c>
      <c r="E709">
        <v>2021</v>
      </c>
      <c r="F709">
        <v>2</v>
      </c>
      <c r="G709" t="s">
        <v>2910</v>
      </c>
      <c r="H709" t="s">
        <v>2897</v>
      </c>
      <c r="I709" t="s">
        <v>2874</v>
      </c>
      <c r="J709" t="s">
        <v>72</v>
      </c>
    </row>
    <row r="710" spans="1:10" x14ac:dyDescent="0.35">
      <c r="A710">
        <v>709</v>
      </c>
      <c r="B710" t="s">
        <v>3739</v>
      </c>
      <c r="C710">
        <v>6</v>
      </c>
      <c r="D710">
        <v>6</v>
      </c>
      <c r="E710">
        <v>2023</v>
      </c>
      <c r="F710">
        <v>7</v>
      </c>
      <c r="G710" t="s">
        <v>2894</v>
      </c>
      <c r="H710" t="s">
        <v>2895</v>
      </c>
      <c r="I710" t="s">
        <v>2874</v>
      </c>
      <c r="J710" t="s">
        <v>5</v>
      </c>
    </row>
    <row r="711" spans="1:10" x14ac:dyDescent="0.35">
      <c r="A711">
        <v>710</v>
      </c>
      <c r="B711" t="s">
        <v>3740</v>
      </c>
      <c r="C711">
        <v>0</v>
      </c>
      <c r="D711">
        <v>6</v>
      </c>
      <c r="E711">
        <v>2018</v>
      </c>
      <c r="F711">
        <v>3</v>
      </c>
      <c r="G711" t="s">
        <v>2924</v>
      </c>
      <c r="H711" t="s">
        <v>19</v>
      </c>
      <c r="I711" t="s">
        <v>2863</v>
      </c>
      <c r="J711" t="s">
        <v>517</v>
      </c>
    </row>
    <row r="712" spans="1:10" x14ac:dyDescent="0.35">
      <c r="A712">
        <v>711</v>
      </c>
      <c r="B712" t="s">
        <v>3741</v>
      </c>
      <c r="C712">
        <v>4</v>
      </c>
      <c r="D712">
        <v>4</v>
      </c>
      <c r="E712">
        <v>2021</v>
      </c>
      <c r="F712">
        <v>11</v>
      </c>
      <c r="G712" t="s">
        <v>2900</v>
      </c>
      <c r="H712" t="s">
        <v>2880</v>
      </c>
      <c r="I712" t="s">
        <v>2874</v>
      </c>
      <c r="J712" t="s">
        <v>231</v>
      </c>
    </row>
    <row r="713" spans="1:10" x14ac:dyDescent="0.35">
      <c r="A713">
        <v>712</v>
      </c>
      <c r="B713" t="s">
        <v>3742</v>
      </c>
      <c r="C713">
        <v>2</v>
      </c>
      <c r="D713">
        <v>4</v>
      </c>
      <c r="E713">
        <v>2023</v>
      </c>
      <c r="F713">
        <v>2</v>
      </c>
      <c r="G713" t="s">
        <v>2960</v>
      </c>
      <c r="H713" t="s">
        <v>2897</v>
      </c>
      <c r="I713" t="s">
        <v>2874</v>
      </c>
      <c r="J713" t="s">
        <v>48</v>
      </c>
    </row>
    <row r="714" spans="1:10" x14ac:dyDescent="0.35">
      <c r="A714">
        <v>713</v>
      </c>
      <c r="B714" t="s">
        <v>3743</v>
      </c>
      <c r="C714">
        <v>7</v>
      </c>
      <c r="D714">
        <v>10</v>
      </c>
      <c r="E714">
        <v>2021</v>
      </c>
      <c r="F714">
        <v>11</v>
      </c>
      <c r="G714" t="s">
        <v>2957</v>
      </c>
      <c r="H714" t="s">
        <v>19</v>
      </c>
      <c r="I714" t="s">
        <v>2863</v>
      </c>
      <c r="J714" t="s">
        <v>231</v>
      </c>
    </row>
    <row r="715" spans="1:10" x14ac:dyDescent="0.35">
      <c r="A715">
        <v>714</v>
      </c>
      <c r="B715" t="s">
        <v>3744</v>
      </c>
      <c r="C715">
        <v>2</v>
      </c>
      <c r="D715">
        <v>4</v>
      </c>
      <c r="E715">
        <v>2014</v>
      </c>
      <c r="F715">
        <v>12</v>
      </c>
      <c r="G715" t="s">
        <v>2894</v>
      </c>
      <c r="H715" t="s">
        <v>2895</v>
      </c>
      <c r="I715" t="s">
        <v>2874</v>
      </c>
      <c r="J715" t="s">
        <v>231</v>
      </c>
    </row>
    <row r="716" spans="1:10" x14ac:dyDescent="0.35">
      <c r="A716">
        <v>715</v>
      </c>
      <c r="B716" t="s">
        <v>3745</v>
      </c>
      <c r="C716">
        <v>3</v>
      </c>
      <c r="D716">
        <v>5</v>
      </c>
      <c r="E716">
        <v>2021</v>
      </c>
      <c r="F716">
        <v>10</v>
      </c>
      <c r="G716" t="s">
        <v>3025</v>
      </c>
      <c r="H716" t="s">
        <v>93</v>
      </c>
      <c r="I716" t="s">
        <v>2865</v>
      </c>
      <c r="J716" t="s">
        <v>2021</v>
      </c>
    </row>
    <row r="717" spans="1:10" x14ac:dyDescent="0.35">
      <c r="A717">
        <v>716</v>
      </c>
      <c r="B717" t="s">
        <v>3746</v>
      </c>
      <c r="C717">
        <v>3</v>
      </c>
      <c r="D717">
        <v>3</v>
      </c>
      <c r="E717">
        <v>2022</v>
      </c>
      <c r="F717">
        <v>1</v>
      </c>
      <c r="G717" t="s">
        <v>2959</v>
      </c>
      <c r="H717" t="s">
        <v>93</v>
      </c>
      <c r="I717" t="s">
        <v>2865</v>
      </c>
      <c r="J717" t="s">
        <v>231</v>
      </c>
    </row>
    <row r="718" spans="1:10" x14ac:dyDescent="0.35">
      <c r="A718">
        <v>717</v>
      </c>
      <c r="B718" t="s">
        <v>3747</v>
      </c>
      <c r="C718">
        <v>0</v>
      </c>
      <c r="D718">
        <v>14</v>
      </c>
      <c r="E718">
        <v>2022</v>
      </c>
      <c r="F718">
        <v>15</v>
      </c>
      <c r="G718" t="s">
        <v>2905</v>
      </c>
      <c r="H718" t="s">
        <v>2880</v>
      </c>
      <c r="I718" t="s">
        <v>2874</v>
      </c>
      <c r="J718" t="s">
        <v>98</v>
      </c>
    </row>
    <row r="719" spans="1:10" x14ac:dyDescent="0.35">
      <c r="A719">
        <v>718</v>
      </c>
      <c r="B719" t="s">
        <v>3748</v>
      </c>
      <c r="C719">
        <v>0</v>
      </c>
      <c r="D719">
        <v>7</v>
      </c>
      <c r="E719">
        <v>2018</v>
      </c>
      <c r="F719">
        <v>35</v>
      </c>
      <c r="G719" t="s">
        <v>2925</v>
      </c>
      <c r="H719" t="s">
        <v>19</v>
      </c>
      <c r="I719" t="s">
        <v>2863</v>
      </c>
      <c r="J719" t="s">
        <v>72</v>
      </c>
    </row>
    <row r="720" spans="1:10" x14ac:dyDescent="0.35">
      <c r="A720">
        <v>719</v>
      </c>
      <c r="B720" t="s">
        <v>3749</v>
      </c>
      <c r="C720">
        <v>2</v>
      </c>
      <c r="D720">
        <v>7</v>
      </c>
      <c r="E720">
        <v>2019</v>
      </c>
      <c r="F720">
        <v>33</v>
      </c>
      <c r="G720" t="s">
        <v>2867</v>
      </c>
      <c r="H720" t="s">
        <v>19</v>
      </c>
      <c r="I720" t="s">
        <v>2863</v>
      </c>
      <c r="J720" t="s">
        <v>19</v>
      </c>
    </row>
    <row r="721" spans="1:10" x14ac:dyDescent="0.35">
      <c r="A721">
        <v>720</v>
      </c>
      <c r="B721" t="s">
        <v>3750</v>
      </c>
      <c r="C721">
        <v>0</v>
      </c>
      <c r="D721">
        <v>2</v>
      </c>
      <c r="E721">
        <v>2015</v>
      </c>
      <c r="F721">
        <v>260</v>
      </c>
      <c r="G721" t="s">
        <v>2867</v>
      </c>
      <c r="H721" t="s">
        <v>19</v>
      </c>
      <c r="I721" t="s">
        <v>2863</v>
      </c>
      <c r="J721" t="s">
        <v>19</v>
      </c>
    </row>
    <row r="722" spans="1:10" x14ac:dyDescent="0.35">
      <c r="A722">
        <v>721</v>
      </c>
      <c r="B722" t="s">
        <v>3751</v>
      </c>
      <c r="C722">
        <v>0</v>
      </c>
      <c r="D722">
        <v>2</v>
      </c>
      <c r="E722">
        <v>2017</v>
      </c>
      <c r="F722">
        <v>42</v>
      </c>
      <c r="G722" t="s">
        <v>2924</v>
      </c>
      <c r="H722" t="s">
        <v>19</v>
      </c>
      <c r="I722" t="s">
        <v>2863</v>
      </c>
      <c r="J722" t="s">
        <v>19</v>
      </c>
    </row>
    <row r="723" spans="1:10" x14ac:dyDescent="0.35">
      <c r="A723">
        <v>722</v>
      </c>
      <c r="B723" t="s">
        <v>3752</v>
      </c>
      <c r="C723">
        <v>4</v>
      </c>
      <c r="D723">
        <v>7</v>
      </c>
      <c r="E723">
        <v>2019</v>
      </c>
      <c r="F723">
        <v>76</v>
      </c>
      <c r="G723" t="s">
        <v>2945</v>
      </c>
      <c r="H723" t="s">
        <v>2884</v>
      </c>
      <c r="I723" t="s">
        <v>2885</v>
      </c>
      <c r="J723" t="s">
        <v>231</v>
      </c>
    </row>
    <row r="724" spans="1:10" x14ac:dyDescent="0.35">
      <c r="A724">
        <v>723</v>
      </c>
      <c r="B724" t="s">
        <v>3753</v>
      </c>
      <c r="C724">
        <v>4</v>
      </c>
      <c r="D724">
        <v>5</v>
      </c>
      <c r="E724">
        <v>2016</v>
      </c>
      <c r="F724">
        <v>17</v>
      </c>
      <c r="G724" t="s">
        <v>3026</v>
      </c>
      <c r="H724" t="s">
        <v>2873</v>
      </c>
      <c r="I724" t="s">
        <v>2874</v>
      </c>
      <c r="J724" t="s">
        <v>157</v>
      </c>
    </row>
    <row r="725" spans="1:10" x14ac:dyDescent="0.35">
      <c r="A725">
        <v>724</v>
      </c>
      <c r="B725" t="s">
        <v>3754</v>
      </c>
      <c r="C725">
        <v>0</v>
      </c>
      <c r="D725">
        <v>2</v>
      </c>
      <c r="E725">
        <v>2015</v>
      </c>
      <c r="F725">
        <v>20</v>
      </c>
      <c r="G725" t="s">
        <v>3027</v>
      </c>
      <c r="H725" t="s">
        <v>2873</v>
      </c>
      <c r="I725" t="s">
        <v>2874</v>
      </c>
      <c r="J725" t="s">
        <v>48</v>
      </c>
    </row>
    <row r="726" spans="1:10" x14ac:dyDescent="0.35">
      <c r="A726">
        <v>725</v>
      </c>
      <c r="B726" t="s">
        <v>3755</v>
      </c>
      <c r="C726">
        <v>1</v>
      </c>
      <c r="D726">
        <v>3</v>
      </c>
      <c r="E726">
        <v>2014</v>
      </c>
      <c r="F726">
        <v>18</v>
      </c>
      <c r="G726" t="s">
        <v>2871</v>
      </c>
      <c r="H726" t="s">
        <v>19</v>
      </c>
      <c r="I726" t="s">
        <v>2863</v>
      </c>
      <c r="J726" t="s">
        <v>189</v>
      </c>
    </row>
    <row r="727" spans="1:10" x14ac:dyDescent="0.35">
      <c r="A727">
        <v>726</v>
      </c>
      <c r="B727" t="s">
        <v>3756</v>
      </c>
      <c r="C727">
        <v>1</v>
      </c>
      <c r="D727">
        <v>11</v>
      </c>
      <c r="E727">
        <v>2014</v>
      </c>
      <c r="F727">
        <v>140</v>
      </c>
      <c r="G727" t="s">
        <v>2888</v>
      </c>
      <c r="H727" t="s">
        <v>2873</v>
      </c>
      <c r="I727" t="s">
        <v>2874</v>
      </c>
      <c r="J727" t="s">
        <v>25</v>
      </c>
    </row>
    <row r="728" spans="1:10" x14ac:dyDescent="0.35">
      <c r="A728">
        <v>727</v>
      </c>
      <c r="B728" t="s">
        <v>3757</v>
      </c>
      <c r="C728">
        <v>1</v>
      </c>
      <c r="D728">
        <v>10</v>
      </c>
      <c r="E728">
        <v>2020</v>
      </c>
      <c r="F728">
        <v>12</v>
      </c>
      <c r="G728" t="s">
        <v>2878</v>
      </c>
      <c r="H728" t="s">
        <v>93</v>
      </c>
      <c r="I728" t="s">
        <v>2865</v>
      </c>
      <c r="J728" t="s">
        <v>72</v>
      </c>
    </row>
    <row r="729" spans="1:10" x14ac:dyDescent="0.35">
      <c r="A729">
        <v>728</v>
      </c>
      <c r="B729" t="s">
        <v>3758</v>
      </c>
      <c r="C729">
        <v>4</v>
      </c>
      <c r="D729">
        <v>6</v>
      </c>
      <c r="E729">
        <v>2016</v>
      </c>
      <c r="F729">
        <v>41</v>
      </c>
      <c r="G729" t="s">
        <v>2927</v>
      </c>
      <c r="H729" t="s">
        <v>2880</v>
      </c>
      <c r="I729" t="s">
        <v>2874</v>
      </c>
      <c r="J729" t="s">
        <v>5</v>
      </c>
    </row>
    <row r="730" spans="1:10" x14ac:dyDescent="0.35">
      <c r="A730">
        <v>729</v>
      </c>
      <c r="B730" t="s">
        <v>3759</v>
      </c>
      <c r="C730">
        <v>0</v>
      </c>
      <c r="D730">
        <v>5</v>
      </c>
      <c r="E730">
        <v>2018</v>
      </c>
      <c r="F730">
        <v>17</v>
      </c>
      <c r="G730" t="s">
        <v>2958</v>
      </c>
      <c r="H730" t="s">
        <v>19</v>
      </c>
      <c r="I730" t="s">
        <v>2863</v>
      </c>
      <c r="J730" t="s">
        <v>19</v>
      </c>
    </row>
    <row r="731" spans="1:10" x14ac:dyDescent="0.35">
      <c r="A731">
        <v>730</v>
      </c>
      <c r="B731" t="s">
        <v>3760</v>
      </c>
      <c r="C731">
        <v>0</v>
      </c>
      <c r="D731">
        <v>8</v>
      </c>
      <c r="E731">
        <v>2018</v>
      </c>
      <c r="F731">
        <v>212</v>
      </c>
      <c r="G731" t="s">
        <v>3028</v>
      </c>
      <c r="H731" t="s">
        <v>2880</v>
      </c>
      <c r="I731" t="s">
        <v>2874</v>
      </c>
      <c r="J731" t="s">
        <v>517</v>
      </c>
    </row>
    <row r="732" spans="1:10" x14ac:dyDescent="0.35">
      <c r="A732">
        <v>731</v>
      </c>
      <c r="B732" t="s">
        <v>3761</v>
      </c>
      <c r="C732">
        <v>0</v>
      </c>
      <c r="D732">
        <v>5</v>
      </c>
      <c r="E732">
        <v>2018</v>
      </c>
      <c r="F732">
        <v>31</v>
      </c>
      <c r="G732" t="s">
        <v>2867</v>
      </c>
      <c r="H732" t="s">
        <v>19</v>
      </c>
      <c r="I732" t="s">
        <v>2863</v>
      </c>
      <c r="J732" t="s">
        <v>72</v>
      </c>
    </row>
    <row r="733" spans="1:10" x14ac:dyDescent="0.35">
      <c r="A733">
        <v>732</v>
      </c>
      <c r="B733" t="s">
        <v>3777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69FDE-68BA-48F5-B162-3B55F578641E}">
  <dimension ref="A1:D981"/>
  <sheetViews>
    <sheetView workbookViewId="0">
      <selection activeCell="Q17" sqref="Q17"/>
    </sheetView>
  </sheetViews>
  <sheetFormatPr defaultRowHeight="14.5" x14ac:dyDescent="0.35"/>
  <cols>
    <col min="2" max="2" width="8.08984375" bestFit="1" customWidth="1"/>
    <col min="3" max="3" width="13.6328125" bestFit="1" customWidth="1"/>
    <col min="4" max="4" width="22.26953125" bestFit="1" customWidth="1"/>
  </cols>
  <sheetData>
    <row r="1" spans="1:4" x14ac:dyDescent="0.35">
      <c r="A1" t="s">
        <v>0</v>
      </c>
      <c r="B1" t="s">
        <v>3763</v>
      </c>
      <c r="C1" t="s">
        <v>3776</v>
      </c>
      <c r="D1" t="s">
        <v>3764</v>
      </c>
    </row>
    <row r="2" spans="1:4" x14ac:dyDescent="0.35">
      <c r="A2">
        <v>1</v>
      </c>
      <c r="B2">
        <v>2023</v>
      </c>
      <c r="C2" t="s">
        <v>5</v>
      </c>
      <c r="D2" t="s">
        <v>2908</v>
      </c>
    </row>
    <row r="3" spans="1:4" x14ac:dyDescent="0.35">
      <c r="A3">
        <v>2</v>
      </c>
      <c r="B3">
        <v>2023</v>
      </c>
      <c r="C3" t="s">
        <v>16</v>
      </c>
      <c r="D3" t="s">
        <v>2885</v>
      </c>
    </row>
    <row r="4" spans="1:4" x14ac:dyDescent="0.35">
      <c r="A4">
        <v>2</v>
      </c>
      <c r="B4">
        <v>2023</v>
      </c>
      <c r="C4" t="s">
        <v>12</v>
      </c>
      <c r="D4" t="s">
        <v>2893</v>
      </c>
    </row>
    <row r="5" spans="1:4" x14ac:dyDescent="0.35">
      <c r="A5">
        <v>3</v>
      </c>
      <c r="B5">
        <v>2014</v>
      </c>
      <c r="C5" t="s">
        <v>19</v>
      </c>
      <c r="D5" t="s">
        <v>2863</v>
      </c>
    </row>
    <row r="6" spans="1:4" x14ac:dyDescent="0.35">
      <c r="A6">
        <v>4</v>
      </c>
      <c r="B6">
        <v>2022</v>
      </c>
      <c r="C6" t="s">
        <v>25</v>
      </c>
      <c r="D6" t="s">
        <v>2893</v>
      </c>
    </row>
    <row r="7" spans="1:4" x14ac:dyDescent="0.35">
      <c r="A7">
        <v>4</v>
      </c>
      <c r="B7">
        <v>2022</v>
      </c>
      <c r="C7" t="s">
        <v>22</v>
      </c>
      <c r="D7" t="s">
        <v>2885</v>
      </c>
    </row>
    <row r="8" spans="1:4" x14ac:dyDescent="0.35">
      <c r="A8">
        <v>5</v>
      </c>
      <c r="B8">
        <v>2022</v>
      </c>
      <c r="C8" t="s">
        <v>3765</v>
      </c>
      <c r="D8" t="s">
        <v>3765</v>
      </c>
    </row>
    <row r="9" spans="1:4" x14ac:dyDescent="0.35">
      <c r="A9">
        <v>6</v>
      </c>
      <c r="B9">
        <v>2014</v>
      </c>
      <c r="C9" t="s">
        <v>35</v>
      </c>
      <c r="D9" t="s">
        <v>2874</v>
      </c>
    </row>
    <row r="10" spans="1:4" x14ac:dyDescent="0.35">
      <c r="A10">
        <v>7</v>
      </c>
      <c r="B10">
        <v>2016</v>
      </c>
      <c r="C10" t="s">
        <v>56</v>
      </c>
      <c r="D10" t="s">
        <v>2874</v>
      </c>
    </row>
    <row r="11" spans="1:4" x14ac:dyDescent="0.35">
      <c r="A11">
        <v>7</v>
      </c>
      <c r="B11">
        <v>2016</v>
      </c>
      <c r="C11" t="s">
        <v>40</v>
      </c>
      <c r="D11" t="s">
        <v>2865</v>
      </c>
    </row>
    <row r="12" spans="1:4" x14ac:dyDescent="0.35">
      <c r="A12">
        <v>8</v>
      </c>
      <c r="B12">
        <v>2019</v>
      </c>
      <c r="C12" t="s">
        <v>16</v>
      </c>
      <c r="D12" t="s">
        <v>2885</v>
      </c>
    </row>
    <row r="13" spans="1:4" x14ac:dyDescent="0.35">
      <c r="A13">
        <v>9</v>
      </c>
      <c r="B13">
        <v>2020</v>
      </c>
      <c r="C13" t="s">
        <v>72</v>
      </c>
      <c r="D13" t="s">
        <v>2885</v>
      </c>
    </row>
    <row r="14" spans="1:4" x14ac:dyDescent="0.35">
      <c r="A14">
        <v>10</v>
      </c>
      <c r="B14">
        <v>2020</v>
      </c>
      <c r="C14" t="s">
        <v>72</v>
      </c>
      <c r="D14" t="s">
        <v>2885</v>
      </c>
    </row>
    <row r="15" spans="1:4" x14ac:dyDescent="0.35">
      <c r="A15">
        <v>10</v>
      </c>
      <c r="B15">
        <v>2020</v>
      </c>
      <c r="C15" t="s">
        <v>93</v>
      </c>
      <c r="D15" t="s">
        <v>2865</v>
      </c>
    </row>
    <row r="16" spans="1:4" x14ac:dyDescent="0.35">
      <c r="A16">
        <v>11</v>
      </c>
      <c r="B16">
        <v>2014</v>
      </c>
      <c r="C16" t="s">
        <v>16</v>
      </c>
      <c r="D16" t="s">
        <v>2885</v>
      </c>
    </row>
    <row r="17" spans="1:4" x14ac:dyDescent="0.35">
      <c r="A17">
        <v>11</v>
      </c>
      <c r="B17">
        <v>2014</v>
      </c>
      <c r="C17" t="s">
        <v>64</v>
      </c>
      <c r="D17" t="s">
        <v>2863</v>
      </c>
    </row>
    <row r="18" spans="1:4" x14ac:dyDescent="0.35">
      <c r="A18">
        <v>12</v>
      </c>
      <c r="B18">
        <v>2021</v>
      </c>
      <c r="C18" t="s">
        <v>3765</v>
      </c>
      <c r="D18" t="s">
        <v>3765</v>
      </c>
    </row>
    <row r="19" spans="1:4" x14ac:dyDescent="0.35">
      <c r="A19">
        <v>13</v>
      </c>
      <c r="B19">
        <v>2019</v>
      </c>
      <c r="C19" t="s">
        <v>98</v>
      </c>
      <c r="D19" t="s">
        <v>2874</v>
      </c>
    </row>
    <row r="20" spans="1:4" x14ac:dyDescent="0.35">
      <c r="A20">
        <v>13</v>
      </c>
      <c r="B20">
        <v>2019</v>
      </c>
      <c r="C20" t="s">
        <v>3766</v>
      </c>
      <c r="D20" t="s">
        <v>3766</v>
      </c>
    </row>
    <row r="21" spans="1:4" x14ac:dyDescent="0.35">
      <c r="A21">
        <v>14</v>
      </c>
      <c r="B21">
        <v>2023</v>
      </c>
      <c r="C21" t="s">
        <v>72</v>
      </c>
      <c r="D21" t="s">
        <v>2885</v>
      </c>
    </row>
    <row r="22" spans="1:4" x14ac:dyDescent="0.35">
      <c r="A22">
        <v>15</v>
      </c>
      <c r="B22">
        <v>2017</v>
      </c>
      <c r="C22" t="s">
        <v>3765</v>
      </c>
      <c r="D22" t="s">
        <v>3765</v>
      </c>
    </row>
    <row r="23" spans="1:4" x14ac:dyDescent="0.35">
      <c r="A23">
        <v>16</v>
      </c>
      <c r="B23">
        <v>2023</v>
      </c>
      <c r="C23" t="s">
        <v>72</v>
      </c>
      <c r="D23" t="s">
        <v>2885</v>
      </c>
    </row>
    <row r="24" spans="1:4" x14ac:dyDescent="0.35">
      <c r="A24">
        <v>17</v>
      </c>
      <c r="B24">
        <v>2017</v>
      </c>
      <c r="C24" t="s">
        <v>72</v>
      </c>
      <c r="D24" t="s">
        <v>2885</v>
      </c>
    </row>
    <row r="25" spans="1:4" x14ac:dyDescent="0.35">
      <c r="A25">
        <v>18</v>
      </c>
      <c r="B25">
        <v>2016</v>
      </c>
      <c r="C25" t="s">
        <v>144</v>
      </c>
      <c r="D25" t="s">
        <v>3767</v>
      </c>
    </row>
    <row r="26" spans="1:4" x14ac:dyDescent="0.35">
      <c r="A26">
        <v>18</v>
      </c>
      <c r="B26">
        <v>2016</v>
      </c>
      <c r="C26" t="s">
        <v>45</v>
      </c>
      <c r="D26" t="s">
        <v>2908</v>
      </c>
    </row>
    <row r="27" spans="1:4" x14ac:dyDescent="0.35">
      <c r="A27">
        <v>19</v>
      </c>
      <c r="B27">
        <v>2017</v>
      </c>
      <c r="C27" t="s">
        <v>3765</v>
      </c>
      <c r="D27" t="s">
        <v>3765</v>
      </c>
    </row>
    <row r="28" spans="1:4" x14ac:dyDescent="0.35">
      <c r="A28">
        <v>20</v>
      </c>
      <c r="B28">
        <v>2017</v>
      </c>
      <c r="C28" t="s">
        <v>3765</v>
      </c>
      <c r="D28" t="s">
        <v>3765</v>
      </c>
    </row>
    <row r="29" spans="1:4" x14ac:dyDescent="0.35">
      <c r="A29">
        <v>21</v>
      </c>
      <c r="B29">
        <v>2018</v>
      </c>
      <c r="C29" t="s">
        <v>19</v>
      </c>
      <c r="D29" t="s">
        <v>2863</v>
      </c>
    </row>
    <row r="30" spans="1:4" x14ac:dyDescent="0.35">
      <c r="A30">
        <v>22</v>
      </c>
      <c r="B30">
        <v>2021</v>
      </c>
      <c r="C30" t="s">
        <v>157</v>
      </c>
      <c r="D30" t="s">
        <v>2908</v>
      </c>
    </row>
    <row r="31" spans="1:4" x14ac:dyDescent="0.35">
      <c r="A31">
        <v>23</v>
      </c>
      <c r="B31">
        <v>2015</v>
      </c>
      <c r="C31" t="s">
        <v>19</v>
      </c>
      <c r="D31" t="s">
        <v>2863</v>
      </c>
    </row>
    <row r="32" spans="1:4" x14ac:dyDescent="0.35">
      <c r="A32">
        <v>23</v>
      </c>
      <c r="B32">
        <v>2015</v>
      </c>
      <c r="C32" t="s">
        <v>16</v>
      </c>
      <c r="D32" t="s">
        <v>2885</v>
      </c>
    </row>
    <row r="33" spans="1:4" x14ac:dyDescent="0.35">
      <c r="A33">
        <v>24</v>
      </c>
      <c r="B33">
        <v>2020</v>
      </c>
      <c r="C33" t="s">
        <v>72</v>
      </c>
      <c r="D33" t="s">
        <v>2885</v>
      </c>
    </row>
    <row r="34" spans="1:4" x14ac:dyDescent="0.35">
      <c r="A34">
        <v>24</v>
      </c>
      <c r="B34">
        <v>2020</v>
      </c>
      <c r="C34" t="s">
        <v>5</v>
      </c>
      <c r="D34" t="s">
        <v>2908</v>
      </c>
    </row>
    <row r="35" spans="1:4" x14ac:dyDescent="0.35">
      <c r="A35">
        <v>25</v>
      </c>
      <c r="B35">
        <v>2016</v>
      </c>
      <c r="C35" t="s">
        <v>72</v>
      </c>
      <c r="D35" t="s">
        <v>2885</v>
      </c>
    </row>
    <row r="36" spans="1:4" x14ac:dyDescent="0.35">
      <c r="A36">
        <v>26</v>
      </c>
      <c r="B36">
        <v>2017</v>
      </c>
      <c r="C36" t="s">
        <v>16</v>
      </c>
      <c r="D36" t="s">
        <v>2885</v>
      </c>
    </row>
    <row r="37" spans="1:4" x14ac:dyDescent="0.35">
      <c r="A37">
        <v>27</v>
      </c>
      <c r="B37">
        <v>2019</v>
      </c>
      <c r="C37" t="s">
        <v>45</v>
      </c>
      <c r="D37" t="s">
        <v>2908</v>
      </c>
    </row>
    <row r="38" spans="1:4" x14ac:dyDescent="0.35">
      <c r="A38">
        <v>28</v>
      </c>
      <c r="B38">
        <v>2015</v>
      </c>
      <c r="C38" t="s">
        <v>19</v>
      </c>
      <c r="D38" t="s">
        <v>2863</v>
      </c>
    </row>
    <row r="39" spans="1:4" x14ac:dyDescent="0.35">
      <c r="A39">
        <v>29</v>
      </c>
      <c r="B39">
        <v>2020</v>
      </c>
      <c r="C39" t="s">
        <v>16</v>
      </c>
      <c r="D39" t="s">
        <v>2885</v>
      </c>
    </row>
    <row r="40" spans="1:4" x14ac:dyDescent="0.35">
      <c r="A40">
        <v>29</v>
      </c>
      <c r="B40">
        <v>2020</v>
      </c>
      <c r="C40" t="s">
        <v>2373</v>
      </c>
      <c r="D40" t="s">
        <v>2874</v>
      </c>
    </row>
    <row r="41" spans="1:4" x14ac:dyDescent="0.35">
      <c r="A41">
        <v>30</v>
      </c>
      <c r="B41">
        <v>2019</v>
      </c>
      <c r="C41" t="s">
        <v>19</v>
      </c>
      <c r="D41" t="s">
        <v>2863</v>
      </c>
    </row>
    <row r="42" spans="1:4" x14ac:dyDescent="0.35">
      <c r="A42">
        <v>30</v>
      </c>
      <c r="B42">
        <v>2019</v>
      </c>
      <c r="C42" t="s">
        <v>25</v>
      </c>
      <c r="D42" t="s">
        <v>2893</v>
      </c>
    </row>
    <row r="43" spans="1:4" x14ac:dyDescent="0.35">
      <c r="A43">
        <v>31</v>
      </c>
      <c r="B43">
        <v>2022</v>
      </c>
      <c r="C43" t="s">
        <v>189</v>
      </c>
      <c r="D43" t="s">
        <v>2908</v>
      </c>
    </row>
    <row r="44" spans="1:4" x14ac:dyDescent="0.35">
      <c r="A44">
        <v>31</v>
      </c>
      <c r="B44">
        <v>2022</v>
      </c>
      <c r="C44" t="s">
        <v>93</v>
      </c>
      <c r="D44" t="s">
        <v>2865</v>
      </c>
    </row>
    <row r="45" spans="1:4" x14ac:dyDescent="0.35">
      <c r="A45">
        <v>32</v>
      </c>
      <c r="B45">
        <v>2020</v>
      </c>
      <c r="C45" t="s">
        <v>25</v>
      </c>
      <c r="D45" t="s">
        <v>2893</v>
      </c>
    </row>
    <row r="46" spans="1:4" x14ac:dyDescent="0.35">
      <c r="A46">
        <v>33</v>
      </c>
      <c r="B46">
        <v>2017</v>
      </c>
      <c r="C46" t="s">
        <v>3765</v>
      </c>
      <c r="D46" t="s">
        <v>3765</v>
      </c>
    </row>
    <row r="47" spans="1:4" x14ac:dyDescent="0.35">
      <c r="A47">
        <v>34</v>
      </c>
      <c r="B47">
        <v>2016</v>
      </c>
      <c r="C47" t="s">
        <v>93</v>
      </c>
      <c r="D47" t="s">
        <v>2865</v>
      </c>
    </row>
    <row r="48" spans="1:4" x14ac:dyDescent="0.35">
      <c r="A48">
        <v>34</v>
      </c>
      <c r="B48">
        <v>2016</v>
      </c>
      <c r="C48" t="s">
        <v>153</v>
      </c>
      <c r="D48" t="s">
        <v>3768</v>
      </c>
    </row>
    <row r="49" spans="1:4" x14ac:dyDescent="0.35">
      <c r="A49">
        <v>34</v>
      </c>
      <c r="B49">
        <v>2016</v>
      </c>
      <c r="C49" t="s">
        <v>667</v>
      </c>
      <c r="D49" t="s">
        <v>2865</v>
      </c>
    </row>
    <row r="50" spans="1:4" x14ac:dyDescent="0.35">
      <c r="A50">
        <v>34</v>
      </c>
      <c r="B50">
        <v>2016</v>
      </c>
      <c r="C50" t="s">
        <v>78</v>
      </c>
      <c r="D50" t="s">
        <v>2865</v>
      </c>
    </row>
    <row r="51" spans="1:4" x14ac:dyDescent="0.35">
      <c r="A51">
        <v>35</v>
      </c>
      <c r="B51">
        <v>2022</v>
      </c>
      <c r="C51" t="s">
        <v>19</v>
      </c>
      <c r="D51" t="s">
        <v>2863</v>
      </c>
    </row>
    <row r="52" spans="1:4" x14ac:dyDescent="0.35">
      <c r="A52">
        <v>36</v>
      </c>
      <c r="B52">
        <v>2019</v>
      </c>
      <c r="C52" t="s">
        <v>25</v>
      </c>
      <c r="D52" t="s">
        <v>2893</v>
      </c>
    </row>
    <row r="53" spans="1:4" x14ac:dyDescent="0.35">
      <c r="A53">
        <v>37</v>
      </c>
      <c r="B53">
        <v>2018</v>
      </c>
      <c r="C53" t="s">
        <v>151</v>
      </c>
      <c r="D53" t="s">
        <v>2908</v>
      </c>
    </row>
    <row r="54" spans="1:4" x14ac:dyDescent="0.35">
      <c r="A54">
        <v>38</v>
      </c>
      <c r="B54">
        <v>2019</v>
      </c>
      <c r="C54" t="s">
        <v>157</v>
      </c>
      <c r="D54" t="s">
        <v>2908</v>
      </c>
    </row>
    <row r="55" spans="1:4" x14ac:dyDescent="0.35">
      <c r="A55">
        <v>39</v>
      </c>
      <c r="B55">
        <v>2020</v>
      </c>
      <c r="C55" t="s">
        <v>3766</v>
      </c>
      <c r="D55" t="s">
        <v>3766</v>
      </c>
    </row>
    <row r="56" spans="1:4" x14ac:dyDescent="0.35">
      <c r="A56">
        <v>39</v>
      </c>
      <c r="B56">
        <v>2020</v>
      </c>
      <c r="C56" t="s">
        <v>90</v>
      </c>
      <c r="D56" t="s">
        <v>2874</v>
      </c>
    </row>
    <row r="57" spans="1:4" x14ac:dyDescent="0.35">
      <c r="A57">
        <v>40</v>
      </c>
      <c r="B57">
        <v>2019</v>
      </c>
      <c r="C57" t="s">
        <v>72</v>
      </c>
      <c r="D57" t="s">
        <v>2885</v>
      </c>
    </row>
    <row r="58" spans="1:4" x14ac:dyDescent="0.35">
      <c r="A58">
        <v>41</v>
      </c>
      <c r="B58">
        <v>2017</v>
      </c>
      <c r="C58" t="s">
        <v>231</v>
      </c>
      <c r="D58" t="s">
        <v>2908</v>
      </c>
    </row>
    <row r="59" spans="1:4" x14ac:dyDescent="0.35">
      <c r="A59">
        <v>42</v>
      </c>
      <c r="B59">
        <v>2022</v>
      </c>
      <c r="C59" t="s">
        <v>72</v>
      </c>
      <c r="D59" t="s">
        <v>2885</v>
      </c>
    </row>
    <row r="60" spans="1:4" x14ac:dyDescent="0.35">
      <c r="A60">
        <v>43</v>
      </c>
      <c r="B60">
        <v>2022</v>
      </c>
      <c r="C60" t="s">
        <v>72</v>
      </c>
      <c r="D60" t="s">
        <v>2885</v>
      </c>
    </row>
    <row r="61" spans="1:4" x14ac:dyDescent="0.35">
      <c r="A61">
        <v>44</v>
      </c>
      <c r="B61">
        <v>2015</v>
      </c>
      <c r="C61" t="s">
        <v>22</v>
      </c>
      <c r="D61" t="s">
        <v>2885</v>
      </c>
    </row>
    <row r="62" spans="1:4" x14ac:dyDescent="0.35">
      <c r="A62">
        <v>45</v>
      </c>
      <c r="B62">
        <v>2023</v>
      </c>
      <c r="C62" t="s">
        <v>261</v>
      </c>
      <c r="D62" t="s">
        <v>2885</v>
      </c>
    </row>
    <row r="63" spans="1:4" x14ac:dyDescent="0.35">
      <c r="A63">
        <v>45</v>
      </c>
      <c r="B63">
        <v>2023</v>
      </c>
      <c r="C63" t="s">
        <v>45</v>
      </c>
      <c r="D63" t="s">
        <v>2908</v>
      </c>
    </row>
    <row r="64" spans="1:4" x14ac:dyDescent="0.35">
      <c r="A64">
        <v>46</v>
      </c>
      <c r="B64">
        <v>2022</v>
      </c>
      <c r="C64" t="s">
        <v>5</v>
      </c>
      <c r="D64" t="s">
        <v>2908</v>
      </c>
    </row>
    <row r="65" spans="1:4" x14ac:dyDescent="0.35">
      <c r="A65">
        <v>47</v>
      </c>
      <c r="B65">
        <v>2020</v>
      </c>
      <c r="C65" t="s">
        <v>3765</v>
      </c>
      <c r="D65" t="s">
        <v>3765</v>
      </c>
    </row>
    <row r="66" spans="1:4" x14ac:dyDescent="0.35">
      <c r="A66">
        <v>48</v>
      </c>
      <c r="B66">
        <v>2019</v>
      </c>
      <c r="C66" t="s">
        <v>2908</v>
      </c>
      <c r="D66" t="s">
        <v>2908</v>
      </c>
    </row>
    <row r="67" spans="1:4" x14ac:dyDescent="0.35">
      <c r="A67">
        <v>48</v>
      </c>
      <c r="B67">
        <v>2019</v>
      </c>
      <c r="C67" t="s">
        <v>35</v>
      </c>
      <c r="D67" t="s">
        <v>2874</v>
      </c>
    </row>
    <row r="68" spans="1:4" x14ac:dyDescent="0.35">
      <c r="A68">
        <v>49</v>
      </c>
      <c r="B68">
        <v>2016</v>
      </c>
      <c r="C68" t="s">
        <v>45</v>
      </c>
      <c r="D68" t="s">
        <v>2908</v>
      </c>
    </row>
    <row r="69" spans="1:4" x14ac:dyDescent="0.35">
      <c r="A69">
        <v>49</v>
      </c>
      <c r="B69">
        <v>2016</v>
      </c>
      <c r="C69" t="s">
        <v>16</v>
      </c>
      <c r="D69" t="s">
        <v>2885</v>
      </c>
    </row>
    <row r="70" spans="1:4" x14ac:dyDescent="0.35">
      <c r="A70">
        <v>50</v>
      </c>
      <c r="B70">
        <v>2015</v>
      </c>
      <c r="C70" t="s">
        <v>3766</v>
      </c>
      <c r="D70" t="s">
        <v>3766</v>
      </c>
    </row>
    <row r="71" spans="1:4" x14ac:dyDescent="0.35">
      <c r="A71">
        <v>51</v>
      </c>
      <c r="B71">
        <v>2023</v>
      </c>
      <c r="C71" t="s">
        <v>3765</v>
      </c>
      <c r="D71" t="s">
        <v>3765</v>
      </c>
    </row>
    <row r="72" spans="1:4" x14ac:dyDescent="0.35">
      <c r="A72">
        <v>52</v>
      </c>
      <c r="B72">
        <v>2017</v>
      </c>
      <c r="C72" t="s">
        <v>16</v>
      </c>
      <c r="D72" t="s">
        <v>2885</v>
      </c>
    </row>
    <row r="73" spans="1:4" x14ac:dyDescent="0.35">
      <c r="A73">
        <v>53</v>
      </c>
      <c r="B73">
        <v>2021</v>
      </c>
      <c r="C73" t="s">
        <v>72</v>
      </c>
      <c r="D73" t="s">
        <v>2885</v>
      </c>
    </row>
    <row r="74" spans="1:4" x14ac:dyDescent="0.35">
      <c r="A74">
        <v>54</v>
      </c>
      <c r="B74">
        <v>2019</v>
      </c>
      <c r="C74" t="s">
        <v>3765</v>
      </c>
      <c r="D74" t="s">
        <v>3765</v>
      </c>
    </row>
    <row r="75" spans="1:4" x14ac:dyDescent="0.35">
      <c r="A75">
        <v>55</v>
      </c>
      <c r="B75">
        <v>2020</v>
      </c>
      <c r="C75" t="s">
        <v>101</v>
      </c>
      <c r="D75" t="s">
        <v>2908</v>
      </c>
    </row>
    <row r="76" spans="1:4" x14ac:dyDescent="0.35">
      <c r="A76">
        <v>56</v>
      </c>
      <c r="B76">
        <v>2014</v>
      </c>
      <c r="C76" t="s">
        <v>3765</v>
      </c>
      <c r="D76" t="s">
        <v>3765</v>
      </c>
    </row>
    <row r="77" spans="1:4" x14ac:dyDescent="0.35">
      <c r="A77">
        <v>57</v>
      </c>
      <c r="B77">
        <v>2021</v>
      </c>
      <c r="C77" t="s">
        <v>3765</v>
      </c>
      <c r="D77" t="s">
        <v>3765</v>
      </c>
    </row>
    <row r="78" spans="1:4" x14ac:dyDescent="0.35">
      <c r="A78">
        <v>58</v>
      </c>
      <c r="B78">
        <v>2016</v>
      </c>
      <c r="C78" t="s">
        <v>101</v>
      </c>
      <c r="D78" t="s">
        <v>2908</v>
      </c>
    </row>
    <row r="79" spans="1:4" x14ac:dyDescent="0.35">
      <c r="A79">
        <v>59</v>
      </c>
      <c r="B79">
        <v>2021</v>
      </c>
      <c r="C79" t="s">
        <v>3765</v>
      </c>
      <c r="D79" t="s">
        <v>3765</v>
      </c>
    </row>
    <row r="80" spans="1:4" x14ac:dyDescent="0.35">
      <c r="A80">
        <v>60</v>
      </c>
      <c r="B80">
        <v>2020</v>
      </c>
      <c r="C80" t="s">
        <v>5</v>
      </c>
      <c r="D80" t="s">
        <v>2908</v>
      </c>
    </row>
    <row r="81" spans="1:4" x14ac:dyDescent="0.35">
      <c r="A81">
        <v>60</v>
      </c>
      <c r="B81">
        <v>2020</v>
      </c>
      <c r="C81" t="s">
        <v>72</v>
      </c>
      <c r="D81" t="s">
        <v>2885</v>
      </c>
    </row>
    <row r="82" spans="1:4" x14ac:dyDescent="0.35">
      <c r="A82">
        <v>61</v>
      </c>
      <c r="B82">
        <v>2018</v>
      </c>
      <c r="C82" t="s">
        <v>45</v>
      </c>
      <c r="D82" t="s">
        <v>2908</v>
      </c>
    </row>
    <row r="83" spans="1:4" x14ac:dyDescent="0.35">
      <c r="A83">
        <v>62</v>
      </c>
      <c r="B83">
        <v>2023</v>
      </c>
      <c r="C83" t="s">
        <v>3765</v>
      </c>
      <c r="D83" t="s">
        <v>3765</v>
      </c>
    </row>
    <row r="84" spans="1:4" x14ac:dyDescent="0.35">
      <c r="A84">
        <v>63</v>
      </c>
      <c r="B84">
        <v>2016</v>
      </c>
      <c r="C84" t="s">
        <v>157</v>
      </c>
      <c r="D84" t="s">
        <v>2908</v>
      </c>
    </row>
    <row r="85" spans="1:4" x14ac:dyDescent="0.35">
      <c r="A85">
        <v>64</v>
      </c>
      <c r="B85">
        <v>2023</v>
      </c>
      <c r="C85" t="s">
        <v>72</v>
      </c>
      <c r="D85" t="s">
        <v>2885</v>
      </c>
    </row>
    <row r="86" spans="1:4" x14ac:dyDescent="0.35">
      <c r="A86">
        <v>65</v>
      </c>
      <c r="B86">
        <v>2017</v>
      </c>
      <c r="C86" t="s">
        <v>3765</v>
      </c>
      <c r="D86" t="s">
        <v>3765</v>
      </c>
    </row>
    <row r="87" spans="1:4" x14ac:dyDescent="0.35">
      <c r="A87">
        <v>66</v>
      </c>
      <c r="B87">
        <v>2017</v>
      </c>
      <c r="C87" t="s">
        <v>3765</v>
      </c>
      <c r="D87" t="s">
        <v>3765</v>
      </c>
    </row>
    <row r="88" spans="1:4" x14ac:dyDescent="0.35">
      <c r="A88">
        <v>67</v>
      </c>
      <c r="B88">
        <v>2017</v>
      </c>
      <c r="C88" t="s">
        <v>72</v>
      </c>
      <c r="D88" t="s">
        <v>2885</v>
      </c>
    </row>
    <row r="89" spans="1:4" x14ac:dyDescent="0.35">
      <c r="A89">
        <v>68</v>
      </c>
      <c r="B89">
        <v>2020</v>
      </c>
      <c r="C89" t="s">
        <v>16</v>
      </c>
      <c r="D89" t="s">
        <v>2885</v>
      </c>
    </row>
    <row r="90" spans="1:4" x14ac:dyDescent="0.35">
      <c r="A90">
        <v>69</v>
      </c>
      <c r="B90">
        <v>2021</v>
      </c>
      <c r="C90" t="s">
        <v>72</v>
      </c>
      <c r="D90" t="s">
        <v>2885</v>
      </c>
    </row>
    <row r="91" spans="1:4" x14ac:dyDescent="0.35">
      <c r="A91">
        <v>69</v>
      </c>
      <c r="B91">
        <v>2021</v>
      </c>
      <c r="C91" t="s">
        <v>341</v>
      </c>
      <c r="D91" t="s">
        <v>2940</v>
      </c>
    </row>
    <row r="92" spans="1:4" x14ac:dyDescent="0.35">
      <c r="A92">
        <v>70</v>
      </c>
      <c r="B92">
        <v>2019</v>
      </c>
      <c r="C92" t="s">
        <v>16</v>
      </c>
      <c r="D92" t="s">
        <v>2885</v>
      </c>
    </row>
    <row r="93" spans="1:4" x14ac:dyDescent="0.35">
      <c r="A93">
        <v>70</v>
      </c>
      <c r="B93">
        <v>2019</v>
      </c>
      <c r="C93" t="s">
        <v>45</v>
      </c>
      <c r="D93" t="s">
        <v>2908</v>
      </c>
    </row>
    <row r="94" spans="1:4" x14ac:dyDescent="0.35">
      <c r="A94">
        <v>71</v>
      </c>
      <c r="B94">
        <v>2019</v>
      </c>
      <c r="C94" t="s">
        <v>3765</v>
      </c>
      <c r="D94" t="s">
        <v>3765</v>
      </c>
    </row>
    <row r="95" spans="1:4" x14ac:dyDescent="0.35">
      <c r="A95">
        <v>72</v>
      </c>
      <c r="B95">
        <v>2020</v>
      </c>
      <c r="C95" t="s">
        <v>231</v>
      </c>
      <c r="D95" t="s">
        <v>2908</v>
      </c>
    </row>
    <row r="96" spans="1:4" x14ac:dyDescent="0.35">
      <c r="A96">
        <v>72</v>
      </c>
      <c r="B96">
        <v>2020</v>
      </c>
      <c r="C96" t="s">
        <v>3769</v>
      </c>
      <c r="D96" t="s">
        <v>3769</v>
      </c>
    </row>
    <row r="97" spans="1:4" x14ac:dyDescent="0.35">
      <c r="A97">
        <v>73</v>
      </c>
      <c r="B97">
        <v>2016</v>
      </c>
      <c r="C97" t="s">
        <v>3765</v>
      </c>
      <c r="D97" t="s">
        <v>3765</v>
      </c>
    </row>
    <row r="98" spans="1:4" x14ac:dyDescent="0.35">
      <c r="A98">
        <v>74</v>
      </c>
      <c r="B98">
        <v>2023</v>
      </c>
      <c r="C98" t="s">
        <v>5</v>
      </c>
      <c r="D98" t="s">
        <v>2908</v>
      </c>
    </row>
    <row r="99" spans="1:4" x14ac:dyDescent="0.35">
      <c r="A99">
        <v>74</v>
      </c>
      <c r="B99">
        <v>2023</v>
      </c>
      <c r="C99" t="s">
        <v>72</v>
      </c>
      <c r="D99" t="s">
        <v>2885</v>
      </c>
    </row>
    <row r="100" spans="1:4" x14ac:dyDescent="0.35">
      <c r="A100">
        <v>75</v>
      </c>
      <c r="B100">
        <v>2015</v>
      </c>
      <c r="C100" t="s">
        <v>19</v>
      </c>
      <c r="D100" t="s">
        <v>2863</v>
      </c>
    </row>
    <row r="101" spans="1:4" x14ac:dyDescent="0.35">
      <c r="A101">
        <v>76</v>
      </c>
      <c r="B101">
        <v>2021</v>
      </c>
      <c r="C101" t="s">
        <v>72</v>
      </c>
      <c r="D101" t="s">
        <v>2885</v>
      </c>
    </row>
    <row r="102" spans="1:4" x14ac:dyDescent="0.35">
      <c r="A102">
        <v>77</v>
      </c>
      <c r="B102">
        <v>2023</v>
      </c>
      <c r="C102" t="s">
        <v>72</v>
      </c>
      <c r="D102" t="s">
        <v>2885</v>
      </c>
    </row>
    <row r="103" spans="1:4" x14ac:dyDescent="0.35">
      <c r="A103">
        <v>78</v>
      </c>
      <c r="B103">
        <v>2016</v>
      </c>
      <c r="C103" t="s">
        <v>64</v>
      </c>
      <c r="D103" t="s">
        <v>2863</v>
      </c>
    </row>
    <row r="104" spans="1:4" x14ac:dyDescent="0.35">
      <c r="A104">
        <v>78</v>
      </c>
      <c r="B104">
        <v>2016</v>
      </c>
      <c r="C104" t="s">
        <v>5</v>
      </c>
      <c r="D104" t="s">
        <v>2908</v>
      </c>
    </row>
    <row r="105" spans="1:4" x14ac:dyDescent="0.35">
      <c r="A105">
        <v>79</v>
      </c>
      <c r="B105">
        <v>2021</v>
      </c>
      <c r="C105" t="s">
        <v>16</v>
      </c>
      <c r="D105" t="s">
        <v>2885</v>
      </c>
    </row>
    <row r="106" spans="1:4" x14ac:dyDescent="0.35">
      <c r="A106">
        <v>80</v>
      </c>
      <c r="B106">
        <v>2019</v>
      </c>
      <c r="C106" t="s">
        <v>22</v>
      </c>
      <c r="D106" t="s">
        <v>2885</v>
      </c>
    </row>
    <row r="107" spans="1:4" x14ac:dyDescent="0.35">
      <c r="A107">
        <v>81</v>
      </c>
      <c r="B107">
        <v>2021</v>
      </c>
      <c r="C107" t="s">
        <v>3765</v>
      </c>
      <c r="D107" t="s">
        <v>3765</v>
      </c>
    </row>
    <row r="108" spans="1:4" x14ac:dyDescent="0.35">
      <c r="A108">
        <v>82</v>
      </c>
      <c r="B108">
        <v>2019</v>
      </c>
      <c r="C108" t="s">
        <v>3765</v>
      </c>
      <c r="D108" t="s">
        <v>3765</v>
      </c>
    </row>
    <row r="109" spans="1:4" x14ac:dyDescent="0.35">
      <c r="A109">
        <v>83</v>
      </c>
      <c r="B109">
        <v>2017</v>
      </c>
      <c r="C109" t="s">
        <v>3765</v>
      </c>
      <c r="D109" t="s">
        <v>3765</v>
      </c>
    </row>
    <row r="110" spans="1:4" x14ac:dyDescent="0.35">
      <c r="A110">
        <v>84</v>
      </c>
      <c r="B110">
        <v>2022</v>
      </c>
      <c r="C110" t="s">
        <v>22</v>
      </c>
      <c r="D110" t="s">
        <v>2885</v>
      </c>
    </row>
    <row r="111" spans="1:4" x14ac:dyDescent="0.35">
      <c r="A111">
        <v>84</v>
      </c>
      <c r="B111">
        <v>2022</v>
      </c>
      <c r="C111" t="s">
        <v>19</v>
      </c>
      <c r="D111" t="s">
        <v>2863</v>
      </c>
    </row>
    <row r="112" spans="1:4" x14ac:dyDescent="0.35">
      <c r="A112">
        <v>85</v>
      </c>
      <c r="B112">
        <v>2020</v>
      </c>
      <c r="C112" t="s">
        <v>16</v>
      </c>
      <c r="D112" t="s">
        <v>2885</v>
      </c>
    </row>
    <row r="113" spans="1:4" x14ac:dyDescent="0.35">
      <c r="A113">
        <v>85</v>
      </c>
      <c r="B113">
        <v>2020</v>
      </c>
      <c r="C113" t="s">
        <v>231</v>
      </c>
      <c r="D113" t="s">
        <v>2908</v>
      </c>
    </row>
    <row r="114" spans="1:4" x14ac:dyDescent="0.35">
      <c r="A114">
        <v>85</v>
      </c>
      <c r="B114">
        <v>2020</v>
      </c>
      <c r="C114" t="s">
        <v>3769</v>
      </c>
      <c r="D114" t="s">
        <v>3769</v>
      </c>
    </row>
    <row r="115" spans="1:4" x14ac:dyDescent="0.35">
      <c r="A115">
        <v>86</v>
      </c>
      <c r="B115">
        <v>2014</v>
      </c>
      <c r="C115" t="s">
        <v>35</v>
      </c>
      <c r="D115" t="s">
        <v>2874</v>
      </c>
    </row>
    <row r="116" spans="1:4" x14ac:dyDescent="0.35">
      <c r="A116">
        <v>87</v>
      </c>
      <c r="B116">
        <v>2018</v>
      </c>
      <c r="C116" t="s">
        <v>19</v>
      </c>
      <c r="D116" t="s">
        <v>2863</v>
      </c>
    </row>
    <row r="117" spans="1:4" x14ac:dyDescent="0.35">
      <c r="A117">
        <v>88</v>
      </c>
      <c r="B117">
        <v>2022</v>
      </c>
      <c r="C117" t="s">
        <v>3769</v>
      </c>
      <c r="D117" t="s">
        <v>3769</v>
      </c>
    </row>
    <row r="118" spans="1:4" x14ac:dyDescent="0.35">
      <c r="A118">
        <v>88</v>
      </c>
      <c r="B118">
        <v>2022</v>
      </c>
      <c r="C118" t="s">
        <v>231</v>
      </c>
      <c r="D118" t="s">
        <v>2908</v>
      </c>
    </row>
    <row r="119" spans="1:4" x14ac:dyDescent="0.35">
      <c r="A119">
        <v>88</v>
      </c>
      <c r="B119">
        <v>2022</v>
      </c>
      <c r="C119" t="s">
        <v>45</v>
      </c>
      <c r="D119" t="s">
        <v>2908</v>
      </c>
    </row>
    <row r="120" spans="1:4" x14ac:dyDescent="0.35">
      <c r="A120">
        <v>88</v>
      </c>
      <c r="B120">
        <v>2022</v>
      </c>
      <c r="C120" t="s">
        <v>101</v>
      </c>
      <c r="D120" t="s">
        <v>2908</v>
      </c>
    </row>
    <row r="121" spans="1:4" x14ac:dyDescent="0.35">
      <c r="A121">
        <v>89</v>
      </c>
      <c r="B121">
        <v>2023</v>
      </c>
      <c r="C121" t="s">
        <v>45</v>
      </c>
      <c r="D121" t="s">
        <v>2908</v>
      </c>
    </row>
    <row r="122" spans="1:4" x14ac:dyDescent="0.35">
      <c r="A122">
        <v>90</v>
      </c>
      <c r="B122">
        <v>2021</v>
      </c>
      <c r="C122" t="s">
        <v>189</v>
      </c>
      <c r="D122" t="s">
        <v>2908</v>
      </c>
    </row>
    <row r="123" spans="1:4" x14ac:dyDescent="0.35">
      <c r="A123">
        <v>90</v>
      </c>
      <c r="B123">
        <v>2021</v>
      </c>
      <c r="C123" t="s">
        <v>5</v>
      </c>
      <c r="D123" t="s">
        <v>2908</v>
      </c>
    </row>
    <row r="124" spans="1:4" x14ac:dyDescent="0.35">
      <c r="A124">
        <v>90</v>
      </c>
      <c r="B124">
        <v>2021</v>
      </c>
      <c r="C124" t="s">
        <v>231</v>
      </c>
      <c r="D124" t="s">
        <v>2908</v>
      </c>
    </row>
    <row r="125" spans="1:4" x14ac:dyDescent="0.35">
      <c r="A125">
        <v>90</v>
      </c>
      <c r="B125">
        <v>2021</v>
      </c>
      <c r="C125" t="s">
        <v>3769</v>
      </c>
      <c r="D125" t="s">
        <v>3769</v>
      </c>
    </row>
    <row r="126" spans="1:4" x14ac:dyDescent="0.35">
      <c r="A126">
        <v>90</v>
      </c>
      <c r="B126">
        <v>2021</v>
      </c>
      <c r="C126" t="s">
        <v>45</v>
      </c>
      <c r="D126" t="s">
        <v>2908</v>
      </c>
    </row>
    <row r="127" spans="1:4" x14ac:dyDescent="0.35">
      <c r="A127">
        <v>91</v>
      </c>
      <c r="B127">
        <v>2015</v>
      </c>
      <c r="C127" t="s">
        <v>16</v>
      </c>
      <c r="D127" t="s">
        <v>2885</v>
      </c>
    </row>
    <row r="128" spans="1:4" x14ac:dyDescent="0.35">
      <c r="A128">
        <v>92</v>
      </c>
      <c r="B128">
        <v>2023</v>
      </c>
      <c r="C128" t="s">
        <v>231</v>
      </c>
      <c r="D128" t="s">
        <v>2908</v>
      </c>
    </row>
    <row r="129" spans="1:4" x14ac:dyDescent="0.35">
      <c r="A129">
        <v>93</v>
      </c>
      <c r="B129">
        <v>2021</v>
      </c>
      <c r="C129" t="s">
        <v>19</v>
      </c>
      <c r="D129" t="s">
        <v>2863</v>
      </c>
    </row>
    <row r="130" spans="1:4" x14ac:dyDescent="0.35">
      <c r="A130">
        <v>94</v>
      </c>
      <c r="B130">
        <v>2019</v>
      </c>
      <c r="C130" t="s">
        <v>16</v>
      </c>
      <c r="D130" t="s">
        <v>2885</v>
      </c>
    </row>
    <row r="131" spans="1:4" x14ac:dyDescent="0.35">
      <c r="A131">
        <v>94</v>
      </c>
      <c r="B131">
        <v>2019</v>
      </c>
      <c r="C131" t="s">
        <v>45</v>
      </c>
      <c r="D131" t="s">
        <v>2908</v>
      </c>
    </row>
    <row r="132" spans="1:4" x14ac:dyDescent="0.35">
      <c r="A132">
        <v>94</v>
      </c>
      <c r="B132">
        <v>2019</v>
      </c>
      <c r="C132" t="s">
        <v>3769</v>
      </c>
      <c r="D132" t="s">
        <v>3769</v>
      </c>
    </row>
    <row r="133" spans="1:4" x14ac:dyDescent="0.35">
      <c r="A133">
        <v>94</v>
      </c>
      <c r="B133">
        <v>2019</v>
      </c>
      <c r="C133" t="s">
        <v>231</v>
      </c>
      <c r="D133" t="s">
        <v>2908</v>
      </c>
    </row>
    <row r="134" spans="1:4" x14ac:dyDescent="0.35">
      <c r="A134">
        <v>94</v>
      </c>
      <c r="B134">
        <v>2019</v>
      </c>
      <c r="C134" t="s">
        <v>101</v>
      </c>
      <c r="D134" t="s">
        <v>2908</v>
      </c>
    </row>
    <row r="135" spans="1:4" x14ac:dyDescent="0.35">
      <c r="A135">
        <v>95</v>
      </c>
      <c r="B135">
        <v>2020</v>
      </c>
      <c r="C135" t="s">
        <v>78</v>
      </c>
      <c r="D135" t="s">
        <v>2865</v>
      </c>
    </row>
    <row r="136" spans="1:4" x14ac:dyDescent="0.35">
      <c r="A136">
        <v>96</v>
      </c>
      <c r="B136">
        <v>2019</v>
      </c>
      <c r="C136" t="s">
        <v>3765</v>
      </c>
      <c r="D136" t="s">
        <v>3765</v>
      </c>
    </row>
    <row r="137" spans="1:4" x14ac:dyDescent="0.35">
      <c r="A137">
        <v>97</v>
      </c>
      <c r="B137">
        <v>2021</v>
      </c>
      <c r="C137" t="s">
        <v>157</v>
      </c>
      <c r="D137" t="s">
        <v>2908</v>
      </c>
    </row>
    <row r="138" spans="1:4" x14ac:dyDescent="0.35">
      <c r="A138">
        <v>97</v>
      </c>
      <c r="B138">
        <v>2021</v>
      </c>
      <c r="C138" t="s">
        <v>16</v>
      </c>
      <c r="D138" t="s">
        <v>2885</v>
      </c>
    </row>
    <row r="139" spans="1:4" x14ac:dyDescent="0.35">
      <c r="A139">
        <v>98</v>
      </c>
      <c r="B139">
        <v>2014</v>
      </c>
      <c r="C139" t="s">
        <v>48</v>
      </c>
      <c r="D139" t="s">
        <v>3767</v>
      </c>
    </row>
    <row r="140" spans="1:4" x14ac:dyDescent="0.35">
      <c r="A140">
        <v>99</v>
      </c>
      <c r="B140">
        <v>2018</v>
      </c>
      <c r="C140" t="s">
        <v>45</v>
      </c>
      <c r="D140" t="s">
        <v>2908</v>
      </c>
    </row>
    <row r="141" spans="1:4" x14ac:dyDescent="0.35">
      <c r="A141">
        <v>99</v>
      </c>
      <c r="B141">
        <v>2018</v>
      </c>
      <c r="C141" t="s">
        <v>35</v>
      </c>
      <c r="D141" t="s">
        <v>2874</v>
      </c>
    </row>
    <row r="142" spans="1:4" x14ac:dyDescent="0.35">
      <c r="A142">
        <v>99</v>
      </c>
      <c r="B142">
        <v>2018</v>
      </c>
      <c r="C142" t="s">
        <v>517</v>
      </c>
      <c r="D142" t="s">
        <v>2874</v>
      </c>
    </row>
    <row r="143" spans="1:4" x14ac:dyDescent="0.35">
      <c r="A143">
        <v>100</v>
      </c>
      <c r="B143">
        <v>2014</v>
      </c>
      <c r="C143" t="s">
        <v>5</v>
      </c>
      <c r="D143" t="s">
        <v>2908</v>
      </c>
    </row>
    <row r="144" spans="1:4" x14ac:dyDescent="0.35">
      <c r="A144">
        <v>100</v>
      </c>
      <c r="B144">
        <v>2014</v>
      </c>
      <c r="C144" t="s">
        <v>72</v>
      </c>
      <c r="D144" t="s">
        <v>2885</v>
      </c>
    </row>
    <row r="145" spans="1:4" x14ac:dyDescent="0.35">
      <c r="A145">
        <v>101</v>
      </c>
      <c r="B145">
        <v>2014</v>
      </c>
      <c r="C145" t="s">
        <v>144</v>
      </c>
      <c r="D145" t="s">
        <v>3767</v>
      </c>
    </row>
    <row r="146" spans="1:4" x14ac:dyDescent="0.35">
      <c r="A146">
        <v>102</v>
      </c>
      <c r="B146">
        <v>2019</v>
      </c>
      <c r="C146" t="s">
        <v>93</v>
      </c>
      <c r="D146" t="s">
        <v>2865</v>
      </c>
    </row>
    <row r="147" spans="1:4" x14ac:dyDescent="0.35">
      <c r="A147">
        <v>103</v>
      </c>
      <c r="B147">
        <v>2019</v>
      </c>
      <c r="C147" t="s">
        <v>45</v>
      </c>
      <c r="D147" t="s">
        <v>2908</v>
      </c>
    </row>
    <row r="148" spans="1:4" x14ac:dyDescent="0.35">
      <c r="A148">
        <v>104</v>
      </c>
      <c r="B148">
        <v>2014</v>
      </c>
      <c r="C148" t="s">
        <v>164</v>
      </c>
      <c r="D148" t="s">
        <v>3013</v>
      </c>
    </row>
    <row r="149" spans="1:4" x14ac:dyDescent="0.35">
      <c r="A149">
        <v>104</v>
      </c>
      <c r="B149">
        <v>2014</v>
      </c>
      <c r="C149" t="s">
        <v>101</v>
      </c>
      <c r="D149" t="s">
        <v>2908</v>
      </c>
    </row>
    <row r="150" spans="1:4" x14ac:dyDescent="0.35">
      <c r="A150">
        <v>104</v>
      </c>
      <c r="B150">
        <v>2014</v>
      </c>
      <c r="C150" t="s">
        <v>3766</v>
      </c>
      <c r="D150" t="s">
        <v>3766</v>
      </c>
    </row>
    <row r="151" spans="1:4" x14ac:dyDescent="0.35">
      <c r="A151">
        <v>105</v>
      </c>
      <c r="B151">
        <v>2021</v>
      </c>
      <c r="C151" t="s">
        <v>231</v>
      </c>
      <c r="D151" t="s">
        <v>2908</v>
      </c>
    </row>
    <row r="152" spans="1:4" x14ac:dyDescent="0.35">
      <c r="A152">
        <v>106</v>
      </c>
      <c r="B152">
        <v>2017</v>
      </c>
      <c r="C152" t="s">
        <v>16</v>
      </c>
      <c r="D152" t="s">
        <v>2885</v>
      </c>
    </row>
    <row r="153" spans="1:4" x14ac:dyDescent="0.35">
      <c r="A153">
        <v>107</v>
      </c>
      <c r="B153">
        <v>2022</v>
      </c>
      <c r="C153" t="s">
        <v>22</v>
      </c>
      <c r="D153" t="s">
        <v>2885</v>
      </c>
    </row>
    <row r="154" spans="1:4" x14ac:dyDescent="0.35">
      <c r="A154">
        <v>108</v>
      </c>
      <c r="B154">
        <v>2021</v>
      </c>
      <c r="C154" t="s">
        <v>72</v>
      </c>
      <c r="D154" t="s">
        <v>2885</v>
      </c>
    </row>
    <row r="155" spans="1:4" x14ac:dyDescent="0.35">
      <c r="A155">
        <v>109</v>
      </c>
      <c r="B155">
        <v>2015</v>
      </c>
      <c r="C155" t="s">
        <v>3769</v>
      </c>
      <c r="D155" t="s">
        <v>3769</v>
      </c>
    </row>
    <row r="156" spans="1:4" x14ac:dyDescent="0.35">
      <c r="A156">
        <v>110</v>
      </c>
      <c r="B156">
        <v>2018</v>
      </c>
      <c r="C156" t="s">
        <v>16</v>
      </c>
      <c r="D156" t="s">
        <v>2885</v>
      </c>
    </row>
    <row r="157" spans="1:4" x14ac:dyDescent="0.35">
      <c r="A157">
        <v>111</v>
      </c>
      <c r="B157">
        <v>2019</v>
      </c>
      <c r="C157" t="s">
        <v>3765</v>
      </c>
      <c r="D157" t="s">
        <v>3765</v>
      </c>
    </row>
    <row r="158" spans="1:4" x14ac:dyDescent="0.35">
      <c r="A158">
        <v>112</v>
      </c>
      <c r="B158">
        <v>2023</v>
      </c>
      <c r="C158" t="s">
        <v>72</v>
      </c>
      <c r="D158" t="s">
        <v>2885</v>
      </c>
    </row>
    <row r="159" spans="1:4" x14ac:dyDescent="0.35">
      <c r="A159">
        <v>112</v>
      </c>
      <c r="B159">
        <v>2023</v>
      </c>
      <c r="C159" t="s">
        <v>22</v>
      </c>
      <c r="D159" t="s">
        <v>2885</v>
      </c>
    </row>
    <row r="160" spans="1:4" x14ac:dyDescent="0.35">
      <c r="A160">
        <v>113</v>
      </c>
      <c r="B160">
        <v>2023</v>
      </c>
      <c r="C160" t="s">
        <v>101</v>
      </c>
      <c r="D160" t="s">
        <v>2908</v>
      </c>
    </row>
    <row r="161" spans="1:4" x14ac:dyDescent="0.35">
      <c r="A161">
        <v>114</v>
      </c>
      <c r="B161">
        <v>2017</v>
      </c>
      <c r="C161" t="s">
        <v>19</v>
      </c>
      <c r="D161" t="s">
        <v>2863</v>
      </c>
    </row>
    <row r="162" spans="1:4" x14ac:dyDescent="0.35">
      <c r="A162">
        <v>114</v>
      </c>
      <c r="B162">
        <v>2017</v>
      </c>
      <c r="C162" t="s">
        <v>3770</v>
      </c>
      <c r="D162" t="s">
        <v>3770</v>
      </c>
    </row>
    <row r="163" spans="1:4" x14ac:dyDescent="0.35">
      <c r="A163">
        <v>114</v>
      </c>
      <c r="B163">
        <v>2017</v>
      </c>
      <c r="C163" t="s">
        <v>93</v>
      </c>
      <c r="D163" t="s">
        <v>2865</v>
      </c>
    </row>
    <row r="164" spans="1:4" x14ac:dyDescent="0.35">
      <c r="A164">
        <v>115</v>
      </c>
      <c r="B164">
        <v>2020</v>
      </c>
      <c r="C164" t="s">
        <v>3766</v>
      </c>
      <c r="D164" t="s">
        <v>3766</v>
      </c>
    </row>
    <row r="165" spans="1:4" x14ac:dyDescent="0.35">
      <c r="A165">
        <v>115</v>
      </c>
      <c r="B165">
        <v>2020</v>
      </c>
      <c r="C165" t="s">
        <v>45</v>
      </c>
      <c r="D165" t="s">
        <v>2908</v>
      </c>
    </row>
    <row r="166" spans="1:4" x14ac:dyDescent="0.35">
      <c r="A166">
        <v>116</v>
      </c>
      <c r="B166">
        <v>2022</v>
      </c>
      <c r="C166" t="s">
        <v>93</v>
      </c>
      <c r="D166" t="s">
        <v>2865</v>
      </c>
    </row>
    <row r="167" spans="1:4" x14ac:dyDescent="0.35">
      <c r="A167">
        <v>117</v>
      </c>
      <c r="B167">
        <v>2022</v>
      </c>
      <c r="C167" t="s">
        <v>19</v>
      </c>
      <c r="D167" t="s">
        <v>2863</v>
      </c>
    </row>
    <row r="168" spans="1:4" x14ac:dyDescent="0.35">
      <c r="A168">
        <v>117</v>
      </c>
      <c r="B168">
        <v>2022</v>
      </c>
      <c r="C168" t="s">
        <v>3770</v>
      </c>
      <c r="D168" t="s">
        <v>3770</v>
      </c>
    </row>
    <row r="169" spans="1:4" x14ac:dyDescent="0.35">
      <c r="A169">
        <v>118</v>
      </c>
      <c r="B169">
        <v>2022</v>
      </c>
      <c r="C169" t="s">
        <v>72</v>
      </c>
      <c r="D169" t="s">
        <v>2885</v>
      </c>
    </row>
    <row r="170" spans="1:4" x14ac:dyDescent="0.35">
      <c r="A170">
        <v>119</v>
      </c>
      <c r="B170">
        <v>2022</v>
      </c>
      <c r="C170" t="s">
        <v>93</v>
      </c>
      <c r="D170" t="s">
        <v>2865</v>
      </c>
    </row>
    <row r="171" spans="1:4" x14ac:dyDescent="0.35">
      <c r="A171">
        <v>119</v>
      </c>
      <c r="B171">
        <v>2022</v>
      </c>
      <c r="C171" t="s">
        <v>189</v>
      </c>
      <c r="D171" t="s">
        <v>2908</v>
      </c>
    </row>
    <row r="172" spans="1:4" x14ac:dyDescent="0.35">
      <c r="A172">
        <v>120</v>
      </c>
      <c r="B172">
        <v>2021</v>
      </c>
      <c r="C172" t="s">
        <v>45</v>
      </c>
      <c r="D172" t="s">
        <v>2908</v>
      </c>
    </row>
    <row r="173" spans="1:4" x14ac:dyDescent="0.35">
      <c r="A173">
        <v>120</v>
      </c>
      <c r="B173">
        <v>2021</v>
      </c>
      <c r="C173" t="s">
        <v>3769</v>
      </c>
      <c r="D173" t="s">
        <v>3769</v>
      </c>
    </row>
    <row r="174" spans="1:4" x14ac:dyDescent="0.35">
      <c r="A174">
        <v>120</v>
      </c>
      <c r="B174">
        <v>2021</v>
      </c>
      <c r="C174" t="s">
        <v>231</v>
      </c>
      <c r="D174" t="s">
        <v>2908</v>
      </c>
    </row>
    <row r="175" spans="1:4" x14ac:dyDescent="0.35">
      <c r="A175">
        <v>120</v>
      </c>
      <c r="B175">
        <v>2021</v>
      </c>
      <c r="C175" t="s">
        <v>101</v>
      </c>
      <c r="D175" t="s">
        <v>2908</v>
      </c>
    </row>
    <row r="176" spans="1:4" x14ac:dyDescent="0.35">
      <c r="A176">
        <v>121</v>
      </c>
      <c r="B176">
        <v>2020</v>
      </c>
      <c r="C176" t="s">
        <v>16</v>
      </c>
      <c r="D176" t="s">
        <v>2885</v>
      </c>
    </row>
    <row r="177" spans="1:4" x14ac:dyDescent="0.35">
      <c r="A177">
        <v>122</v>
      </c>
      <c r="B177">
        <v>2021</v>
      </c>
      <c r="C177" t="s">
        <v>3765</v>
      </c>
      <c r="D177" t="s">
        <v>3765</v>
      </c>
    </row>
    <row r="178" spans="1:4" x14ac:dyDescent="0.35">
      <c r="A178">
        <v>123</v>
      </c>
      <c r="B178">
        <v>2020</v>
      </c>
      <c r="C178" t="s">
        <v>19</v>
      </c>
      <c r="D178" t="s">
        <v>2863</v>
      </c>
    </row>
    <row r="179" spans="1:4" x14ac:dyDescent="0.35">
      <c r="A179">
        <v>124</v>
      </c>
      <c r="B179">
        <v>2017</v>
      </c>
      <c r="C179" t="s">
        <v>16</v>
      </c>
      <c r="D179" t="s">
        <v>2885</v>
      </c>
    </row>
    <row r="180" spans="1:4" x14ac:dyDescent="0.35">
      <c r="A180">
        <v>125</v>
      </c>
      <c r="B180">
        <v>2020</v>
      </c>
      <c r="C180" t="s">
        <v>189</v>
      </c>
      <c r="D180" t="s">
        <v>2908</v>
      </c>
    </row>
    <row r="181" spans="1:4" x14ac:dyDescent="0.35">
      <c r="A181">
        <v>125</v>
      </c>
      <c r="B181">
        <v>2020</v>
      </c>
      <c r="C181" t="s">
        <v>16</v>
      </c>
      <c r="D181" t="s">
        <v>2885</v>
      </c>
    </row>
    <row r="182" spans="1:4" x14ac:dyDescent="0.35">
      <c r="A182">
        <v>126</v>
      </c>
      <c r="B182">
        <v>2017</v>
      </c>
      <c r="C182" t="s">
        <v>231</v>
      </c>
      <c r="D182" t="s">
        <v>2908</v>
      </c>
    </row>
    <row r="183" spans="1:4" x14ac:dyDescent="0.35">
      <c r="A183">
        <v>126</v>
      </c>
      <c r="B183">
        <v>2017</v>
      </c>
      <c r="C183" t="s">
        <v>3769</v>
      </c>
      <c r="D183" t="s">
        <v>3769</v>
      </c>
    </row>
    <row r="184" spans="1:4" x14ac:dyDescent="0.35">
      <c r="A184">
        <v>127</v>
      </c>
      <c r="B184">
        <v>2020</v>
      </c>
      <c r="C184" t="s">
        <v>101</v>
      </c>
      <c r="D184" t="s">
        <v>2908</v>
      </c>
    </row>
    <row r="185" spans="1:4" x14ac:dyDescent="0.35">
      <c r="A185">
        <v>128</v>
      </c>
      <c r="B185">
        <v>2014</v>
      </c>
      <c r="C185" t="s">
        <v>72</v>
      </c>
      <c r="D185" t="s">
        <v>2885</v>
      </c>
    </row>
    <row r="186" spans="1:4" x14ac:dyDescent="0.35">
      <c r="A186">
        <v>129</v>
      </c>
      <c r="B186">
        <v>2014</v>
      </c>
      <c r="C186" t="s">
        <v>16</v>
      </c>
      <c r="D186" t="s">
        <v>2885</v>
      </c>
    </row>
    <row r="187" spans="1:4" x14ac:dyDescent="0.35">
      <c r="A187">
        <v>130</v>
      </c>
      <c r="B187">
        <v>2014</v>
      </c>
      <c r="C187" t="s">
        <v>72</v>
      </c>
      <c r="D187" t="s">
        <v>2885</v>
      </c>
    </row>
    <row r="188" spans="1:4" x14ac:dyDescent="0.35">
      <c r="A188">
        <v>131</v>
      </c>
      <c r="B188">
        <v>2021</v>
      </c>
      <c r="C188" t="s">
        <v>101</v>
      </c>
      <c r="D188" t="s">
        <v>2908</v>
      </c>
    </row>
    <row r="189" spans="1:4" x14ac:dyDescent="0.35">
      <c r="A189">
        <v>131</v>
      </c>
      <c r="B189">
        <v>2021</v>
      </c>
      <c r="C189" t="s">
        <v>19</v>
      </c>
      <c r="D189" t="s">
        <v>2863</v>
      </c>
    </row>
    <row r="190" spans="1:4" x14ac:dyDescent="0.35">
      <c r="A190">
        <v>132</v>
      </c>
      <c r="B190">
        <v>2020</v>
      </c>
      <c r="C190" t="s">
        <v>45</v>
      </c>
      <c r="D190" t="s">
        <v>2908</v>
      </c>
    </row>
    <row r="191" spans="1:4" x14ac:dyDescent="0.35">
      <c r="A191">
        <v>132</v>
      </c>
      <c r="B191">
        <v>2020</v>
      </c>
      <c r="C191" t="s">
        <v>562</v>
      </c>
      <c r="D191" t="s">
        <v>2865</v>
      </c>
    </row>
    <row r="192" spans="1:4" x14ac:dyDescent="0.35">
      <c r="A192">
        <v>133</v>
      </c>
      <c r="B192">
        <v>2016</v>
      </c>
      <c r="C192" t="s">
        <v>157</v>
      </c>
      <c r="D192" t="s">
        <v>2908</v>
      </c>
    </row>
    <row r="193" spans="1:4" x14ac:dyDescent="0.35">
      <c r="A193">
        <v>134</v>
      </c>
      <c r="B193">
        <v>2017</v>
      </c>
      <c r="C193" t="s">
        <v>22</v>
      </c>
      <c r="D193" t="s">
        <v>2885</v>
      </c>
    </row>
    <row r="194" spans="1:4" x14ac:dyDescent="0.35">
      <c r="A194">
        <v>135</v>
      </c>
      <c r="B194">
        <v>2023</v>
      </c>
      <c r="C194" t="s">
        <v>16</v>
      </c>
      <c r="D194" t="s">
        <v>2885</v>
      </c>
    </row>
    <row r="195" spans="1:4" x14ac:dyDescent="0.35">
      <c r="A195">
        <v>136</v>
      </c>
      <c r="B195">
        <v>2020</v>
      </c>
      <c r="C195" t="s">
        <v>231</v>
      </c>
      <c r="D195" t="s">
        <v>2908</v>
      </c>
    </row>
    <row r="196" spans="1:4" x14ac:dyDescent="0.35">
      <c r="A196">
        <v>137</v>
      </c>
      <c r="B196">
        <v>2018</v>
      </c>
      <c r="C196" t="s">
        <v>3765</v>
      </c>
      <c r="D196" t="s">
        <v>3765</v>
      </c>
    </row>
    <row r="197" spans="1:4" x14ac:dyDescent="0.35">
      <c r="A197">
        <v>138</v>
      </c>
      <c r="B197">
        <v>2022</v>
      </c>
      <c r="C197" t="s">
        <v>231</v>
      </c>
      <c r="D197" t="s">
        <v>2908</v>
      </c>
    </row>
    <row r="198" spans="1:4" x14ac:dyDescent="0.35">
      <c r="A198">
        <v>139</v>
      </c>
      <c r="B198">
        <v>2023</v>
      </c>
      <c r="C198" t="s">
        <v>22</v>
      </c>
      <c r="D198" t="s">
        <v>2885</v>
      </c>
    </row>
    <row r="199" spans="1:4" x14ac:dyDescent="0.35">
      <c r="A199">
        <v>140</v>
      </c>
      <c r="B199">
        <v>2021</v>
      </c>
      <c r="C199" t="s">
        <v>144</v>
      </c>
      <c r="D199" t="s">
        <v>3767</v>
      </c>
    </row>
    <row r="200" spans="1:4" x14ac:dyDescent="0.35">
      <c r="A200">
        <v>141</v>
      </c>
      <c r="B200">
        <v>2022</v>
      </c>
      <c r="C200" t="s">
        <v>45</v>
      </c>
      <c r="D200" t="s">
        <v>2908</v>
      </c>
    </row>
    <row r="201" spans="1:4" x14ac:dyDescent="0.35">
      <c r="A201">
        <v>142</v>
      </c>
      <c r="B201">
        <v>2018</v>
      </c>
      <c r="C201" t="s">
        <v>16</v>
      </c>
      <c r="D201" t="s">
        <v>2885</v>
      </c>
    </row>
    <row r="202" spans="1:4" x14ac:dyDescent="0.35">
      <c r="A202">
        <v>143</v>
      </c>
      <c r="B202">
        <v>2022</v>
      </c>
      <c r="C202" t="s">
        <v>231</v>
      </c>
      <c r="D202" t="s">
        <v>2908</v>
      </c>
    </row>
    <row r="203" spans="1:4" x14ac:dyDescent="0.35">
      <c r="A203">
        <v>144</v>
      </c>
      <c r="B203">
        <v>2022</v>
      </c>
      <c r="C203" t="s">
        <v>231</v>
      </c>
      <c r="D203" t="s">
        <v>2908</v>
      </c>
    </row>
    <row r="204" spans="1:4" x14ac:dyDescent="0.35">
      <c r="A204">
        <v>144</v>
      </c>
      <c r="B204">
        <v>2022</v>
      </c>
      <c r="C204" t="s">
        <v>93</v>
      </c>
      <c r="D204" t="s">
        <v>2865</v>
      </c>
    </row>
    <row r="205" spans="1:4" x14ac:dyDescent="0.35">
      <c r="A205">
        <v>145</v>
      </c>
      <c r="B205">
        <v>2022</v>
      </c>
      <c r="C205" t="s">
        <v>3771</v>
      </c>
      <c r="D205" t="s">
        <v>3771</v>
      </c>
    </row>
    <row r="206" spans="1:4" x14ac:dyDescent="0.35">
      <c r="A206">
        <v>146</v>
      </c>
      <c r="B206">
        <v>2023</v>
      </c>
      <c r="C206" t="s">
        <v>22</v>
      </c>
      <c r="D206" t="s">
        <v>2885</v>
      </c>
    </row>
    <row r="207" spans="1:4" x14ac:dyDescent="0.35">
      <c r="A207">
        <v>147</v>
      </c>
      <c r="B207">
        <v>2023</v>
      </c>
      <c r="C207" t="s">
        <v>22</v>
      </c>
      <c r="D207" t="s">
        <v>2885</v>
      </c>
    </row>
    <row r="208" spans="1:4" x14ac:dyDescent="0.35">
      <c r="A208">
        <v>147</v>
      </c>
      <c r="B208">
        <v>2023</v>
      </c>
      <c r="C208" t="s">
        <v>101</v>
      </c>
      <c r="D208" t="s">
        <v>2908</v>
      </c>
    </row>
    <row r="209" spans="1:4" x14ac:dyDescent="0.35">
      <c r="A209">
        <v>148</v>
      </c>
      <c r="B209">
        <v>2022</v>
      </c>
      <c r="C209" t="s">
        <v>72</v>
      </c>
      <c r="D209" t="s">
        <v>2885</v>
      </c>
    </row>
    <row r="210" spans="1:4" x14ac:dyDescent="0.35">
      <c r="A210">
        <v>149</v>
      </c>
      <c r="B210">
        <v>2016</v>
      </c>
      <c r="C210" t="s">
        <v>231</v>
      </c>
      <c r="D210" t="s">
        <v>2908</v>
      </c>
    </row>
    <row r="211" spans="1:4" x14ac:dyDescent="0.35">
      <c r="A211">
        <v>149</v>
      </c>
      <c r="B211">
        <v>2016</v>
      </c>
      <c r="C211" t="s">
        <v>3770</v>
      </c>
      <c r="D211" t="s">
        <v>3770</v>
      </c>
    </row>
    <row r="212" spans="1:4" x14ac:dyDescent="0.35">
      <c r="A212">
        <v>149</v>
      </c>
      <c r="B212">
        <v>2016</v>
      </c>
      <c r="C212" t="s">
        <v>164</v>
      </c>
      <c r="D212" t="s">
        <v>3013</v>
      </c>
    </row>
    <row r="213" spans="1:4" x14ac:dyDescent="0.35">
      <c r="A213">
        <v>150</v>
      </c>
      <c r="B213">
        <v>2014</v>
      </c>
      <c r="C213" t="s">
        <v>3765</v>
      </c>
      <c r="D213" t="s">
        <v>3765</v>
      </c>
    </row>
    <row r="214" spans="1:4" x14ac:dyDescent="0.35">
      <c r="A214">
        <v>151</v>
      </c>
      <c r="B214">
        <v>2018</v>
      </c>
      <c r="C214" t="s">
        <v>231</v>
      </c>
      <c r="D214" t="s">
        <v>2908</v>
      </c>
    </row>
    <row r="215" spans="1:4" x14ac:dyDescent="0.35">
      <c r="A215">
        <v>152</v>
      </c>
      <c r="B215">
        <v>2021</v>
      </c>
      <c r="C215" t="s">
        <v>189</v>
      </c>
      <c r="D215" t="s">
        <v>2908</v>
      </c>
    </row>
    <row r="216" spans="1:4" x14ac:dyDescent="0.35">
      <c r="A216">
        <v>153</v>
      </c>
      <c r="B216">
        <v>2023</v>
      </c>
      <c r="C216" t="s">
        <v>45</v>
      </c>
      <c r="D216" t="s">
        <v>2908</v>
      </c>
    </row>
    <row r="217" spans="1:4" x14ac:dyDescent="0.35">
      <c r="A217">
        <v>153</v>
      </c>
      <c r="B217">
        <v>2023</v>
      </c>
      <c r="C217" t="s">
        <v>19</v>
      </c>
      <c r="D217" t="s">
        <v>2863</v>
      </c>
    </row>
    <row r="218" spans="1:4" x14ac:dyDescent="0.35">
      <c r="A218">
        <v>154</v>
      </c>
      <c r="B218">
        <v>2023</v>
      </c>
      <c r="C218" t="s">
        <v>72</v>
      </c>
      <c r="D218" t="s">
        <v>2885</v>
      </c>
    </row>
    <row r="219" spans="1:4" x14ac:dyDescent="0.35">
      <c r="A219">
        <v>155</v>
      </c>
      <c r="B219">
        <v>2016</v>
      </c>
      <c r="C219" t="s">
        <v>16</v>
      </c>
      <c r="D219" t="s">
        <v>2885</v>
      </c>
    </row>
    <row r="220" spans="1:4" x14ac:dyDescent="0.35">
      <c r="A220">
        <v>156</v>
      </c>
      <c r="B220">
        <v>2020</v>
      </c>
      <c r="C220" t="s">
        <v>93</v>
      </c>
      <c r="D220" t="s">
        <v>2865</v>
      </c>
    </row>
    <row r="221" spans="1:4" x14ac:dyDescent="0.35">
      <c r="A221">
        <v>157</v>
      </c>
      <c r="B221">
        <v>2022</v>
      </c>
      <c r="C221" t="s">
        <v>164</v>
      </c>
      <c r="D221" t="s">
        <v>3013</v>
      </c>
    </row>
    <row r="222" spans="1:4" x14ac:dyDescent="0.35">
      <c r="A222">
        <v>158</v>
      </c>
      <c r="B222">
        <v>2022</v>
      </c>
      <c r="C222" t="s">
        <v>231</v>
      </c>
      <c r="D222" t="s">
        <v>2908</v>
      </c>
    </row>
    <row r="223" spans="1:4" x14ac:dyDescent="0.35">
      <c r="A223">
        <v>159</v>
      </c>
      <c r="B223">
        <v>2020</v>
      </c>
      <c r="C223" t="s">
        <v>3765</v>
      </c>
      <c r="D223" t="s">
        <v>3765</v>
      </c>
    </row>
    <row r="224" spans="1:4" x14ac:dyDescent="0.35">
      <c r="A224">
        <v>160</v>
      </c>
      <c r="B224">
        <v>2019</v>
      </c>
      <c r="C224" t="s">
        <v>3765</v>
      </c>
      <c r="D224" t="s">
        <v>3765</v>
      </c>
    </row>
    <row r="225" spans="1:4" x14ac:dyDescent="0.35">
      <c r="A225">
        <v>161</v>
      </c>
      <c r="B225">
        <v>2014</v>
      </c>
      <c r="C225" t="s">
        <v>45</v>
      </c>
      <c r="D225" t="s">
        <v>2908</v>
      </c>
    </row>
    <row r="226" spans="1:4" x14ac:dyDescent="0.35">
      <c r="A226">
        <v>162</v>
      </c>
      <c r="B226">
        <v>2020</v>
      </c>
      <c r="C226" t="s">
        <v>19</v>
      </c>
      <c r="D226" t="s">
        <v>2863</v>
      </c>
    </row>
    <row r="227" spans="1:4" x14ac:dyDescent="0.35">
      <c r="A227">
        <v>162</v>
      </c>
      <c r="B227">
        <v>2020</v>
      </c>
      <c r="C227" t="s">
        <v>45</v>
      </c>
      <c r="D227" t="s">
        <v>2908</v>
      </c>
    </row>
    <row r="228" spans="1:4" x14ac:dyDescent="0.35">
      <c r="A228">
        <v>163</v>
      </c>
      <c r="B228">
        <v>2021</v>
      </c>
      <c r="C228" t="s">
        <v>72</v>
      </c>
      <c r="D228" t="s">
        <v>2885</v>
      </c>
    </row>
    <row r="229" spans="1:4" x14ac:dyDescent="0.35">
      <c r="A229">
        <v>164</v>
      </c>
      <c r="B229">
        <v>2016</v>
      </c>
      <c r="C229" t="s">
        <v>19</v>
      </c>
      <c r="D229" t="s">
        <v>2863</v>
      </c>
    </row>
    <row r="230" spans="1:4" x14ac:dyDescent="0.35">
      <c r="A230">
        <v>165</v>
      </c>
      <c r="B230">
        <v>2023</v>
      </c>
      <c r="C230" t="s">
        <v>72</v>
      </c>
      <c r="D230" t="s">
        <v>2885</v>
      </c>
    </row>
    <row r="231" spans="1:4" x14ac:dyDescent="0.35">
      <c r="A231">
        <v>166</v>
      </c>
      <c r="B231">
        <v>2016</v>
      </c>
      <c r="C231" t="s">
        <v>48</v>
      </c>
      <c r="D231" t="s">
        <v>3767</v>
      </c>
    </row>
    <row r="232" spans="1:4" x14ac:dyDescent="0.35">
      <c r="A232">
        <v>166</v>
      </c>
      <c r="B232">
        <v>2016</v>
      </c>
      <c r="C232" t="s">
        <v>45</v>
      </c>
      <c r="D232" t="s">
        <v>2908</v>
      </c>
    </row>
    <row r="233" spans="1:4" x14ac:dyDescent="0.35">
      <c r="A233">
        <v>167</v>
      </c>
      <c r="B233">
        <v>2014</v>
      </c>
      <c r="C233" t="s">
        <v>19</v>
      </c>
      <c r="D233" t="s">
        <v>2863</v>
      </c>
    </row>
    <row r="234" spans="1:4" x14ac:dyDescent="0.35">
      <c r="A234">
        <v>168</v>
      </c>
      <c r="B234">
        <v>2018</v>
      </c>
      <c r="C234" t="s">
        <v>157</v>
      </c>
      <c r="D234" t="s">
        <v>2908</v>
      </c>
    </row>
    <row r="235" spans="1:4" x14ac:dyDescent="0.35">
      <c r="A235">
        <v>169</v>
      </c>
      <c r="B235">
        <v>2017</v>
      </c>
      <c r="C235" t="s">
        <v>189</v>
      </c>
      <c r="D235" t="s">
        <v>2908</v>
      </c>
    </row>
    <row r="236" spans="1:4" x14ac:dyDescent="0.35">
      <c r="A236">
        <v>169</v>
      </c>
      <c r="B236">
        <v>2017</v>
      </c>
      <c r="C236" t="s">
        <v>231</v>
      </c>
      <c r="D236" t="s">
        <v>2908</v>
      </c>
    </row>
    <row r="237" spans="1:4" x14ac:dyDescent="0.35">
      <c r="A237">
        <v>170</v>
      </c>
      <c r="B237">
        <v>2019</v>
      </c>
      <c r="C237" t="s">
        <v>22</v>
      </c>
      <c r="D237" t="s">
        <v>2885</v>
      </c>
    </row>
    <row r="238" spans="1:4" x14ac:dyDescent="0.35">
      <c r="A238">
        <v>171</v>
      </c>
      <c r="B238">
        <v>2015</v>
      </c>
      <c r="C238" t="s">
        <v>64</v>
      </c>
      <c r="D238" t="s">
        <v>2863</v>
      </c>
    </row>
    <row r="239" spans="1:4" x14ac:dyDescent="0.35">
      <c r="A239">
        <v>172</v>
      </c>
      <c r="B239">
        <v>2022</v>
      </c>
      <c r="C239" t="s">
        <v>45</v>
      </c>
      <c r="D239" t="s">
        <v>2908</v>
      </c>
    </row>
    <row r="240" spans="1:4" x14ac:dyDescent="0.35">
      <c r="A240">
        <v>173</v>
      </c>
      <c r="B240">
        <v>2019</v>
      </c>
      <c r="C240" t="s">
        <v>231</v>
      </c>
      <c r="D240" t="s">
        <v>2908</v>
      </c>
    </row>
    <row r="241" spans="1:4" x14ac:dyDescent="0.35">
      <c r="A241">
        <v>174</v>
      </c>
      <c r="B241">
        <v>2022</v>
      </c>
      <c r="C241" t="s">
        <v>5</v>
      </c>
      <c r="D241" t="s">
        <v>2908</v>
      </c>
    </row>
    <row r="242" spans="1:4" x14ac:dyDescent="0.35">
      <c r="A242">
        <v>175</v>
      </c>
      <c r="B242">
        <v>2016</v>
      </c>
      <c r="C242" t="s">
        <v>352</v>
      </c>
      <c r="D242" t="s">
        <v>3013</v>
      </c>
    </row>
    <row r="243" spans="1:4" x14ac:dyDescent="0.35">
      <c r="A243">
        <v>176</v>
      </c>
      <c r="B243">
        <v>2020</v>
      </c>
      <c r="C243" t="s">
        <v>45</v>
      </c>
      <c r="D243" t="s">
        <v>2908</v>
      </c>
    </row>
    <row r="244" spans="1:4" x14ac:dyDescent="0.35">
      <c r="A244">
        <v>176</v>
      </c>
      <c r="B244">
        <v>2020</v>
      </c>
      <c r="C244" t="s">
        <v>19</v>
      </c>
      <c r="D244" t="s">
        <v>2863</v>
      </c>
    </row>
    <row r="245" spans="1:4" x14ac:dyDescent="0.35">
      <c r="A245">
        <v>177</v>
      </c>
      <c r="B245">
        <v>2016</v>
      </c>
      <c r="C245" t="s">
        <v>19</v>
      </c>
      <c r="D245" t="s">
        <v>2863</v>
      </c>
    </row>
    <row r="246" spans="1:4" x14ac:dyDescent="0.35">
      <c r="A246">
        <v>178</v>
      </c>
      <c r="B246">
        <v>2018</v>
      </c>
      <c r="C246" t="s">
        <v>3765</v>
      </c>
      <c r="D246" t="s">
        <v>3765</v>
      </c>
    </row>
    <row r="247" spans="1:4" x14ac:dyDescent="0.35">
      <c r="A247">
        <v>179</v>
      </c>
      <c r="B247">
        <v>2021</v>
      </c>
      <c r="C247" t="s">
        <v>45</v>
      </c>
      <c r="D247" t="s">
        <v>2908</v>
      </c>
    </row>
    <row r="248" spans="1:4" x14ac:dyDescent="0.35">
      <c r="A248">
        <v>180</v>
      </c>
      <c r="B248">
        <v>2023</v>
      </c>
      <c r="C248" t="s">
        <v>3765</v>
      </c>
      <c r="D248" t="s">
        <v>3765</v>
      </c>
    </row>
    <row r="249" spans="1:4" x14ac:dyDescent="0.35">
      <c r="A249">
        <v>181</v>
      </c>
      <c r="B249">
        <v>2017</v>
      </c>
      <c r="C249" t="s">
        <v>101</v>
      </c>
      <c r="D249" t="s">
        <v>2908</v>
      </c>
    </row>
    <row r="250" spans="1:4" x14ac:dyDescent="0.35">
      <c r="A250">
        <v>182</v>
      </c>
      <c r="B250">
        <v>2023</v>
      </c>
      <c r="C250" t="s">
        <v>35</v>
      </c>
      <c r="D250" t="s">
        <v>2874</v>
      </c>
    </row>
    <row r="251" spans="1:4" x14ac:dyDescent="0.35">
      <c r="A251">
        <v>183</v>
      </c>
      <c r="B251">
        <v>2021</v>
      </c>
      <c r="C251" t="s">
        <v>19</v>
      </c>
      <c r="D251" t="s">
        <v>2863</v>
      </c>
    </row>
    <row r="252" spans="1:4" x14ac:dyDescent="0.35">
      <c r="A252">
        <v>184</v>
      </c>
      <c r="B252">
        <v>2017</v>
      </c>
      <c r="C252" t="s">
        <v>16</v>
      </c>
      <c r="D252" t="s">
        <v>2885</v>
      </c>
    </row>
    <row r="253" spans="1:4" x14ac:dyDescent="0.35">
      <c r="A253">
        <v>185</v>
      </c>
      <c r="B253">
        <v>2021</v>
      </c>
      <c r="C253" t="s">
        <v>101</v>
      </c>
      <c r="D253" t="s">
        <v>2908</v>
      </c>
    </row>
    <row r="254" spans="1:4" x14ac:dyDescent="0.35">
      <c r="A254">
        <v>186</v>
      </c>
      <c r="B254">
        <v>2019</v>
      </c>
      <c r="C254" t="s">
        <v>19</v>
      </c>
      <c r="D254" t="s">
        <v>2863</v>
      </c>
    </row>
    <row r="255" spans="1:4" x14ac:dyDescent="0.35">
      <c r="A255">
        <v>187</v>
      </c>
      <c r="B255">
        <v>2021</v>
      </c>
      <c r="C255" t="s">
        <v>16</v>
      </c>
      <c r="D255" t="s">
        <v>2885</v>
      </c>
    </row>
    <row r="256" spans="1:4" x14ac:dyDescent="0.35">
      <c r="A256">
        <v>188</v>
      </c>
      <c r="B256">
        <v>2020</v>
      </c>
      <c r="C256" t="s">
        <v>72</v>
      </c>
      <c r="D256" t="s">
        <v>2885</v>
      </c>
    </row>
    <row r="257" spans="1:4" x14ac:dyDescent="0.35">
      <c r="A257">
        <v>189</v>
      </c>
      <c r="B257">
        <v>2022</v>
      </c>
      <c r="C257" t="s">
        <v>231</v>
      </c>
      <c r="D257" t="s">
        <v>2908</v>
      </c>
    </row>
    <row r="258" spans="1:4" x14ac:dyDescent="0.35">
      <c r="A258">
        <v>190</v>
      </c>
      <c r="B258">
        <v>2021</v>
      </c>
      <c r="C258" t="s">
        <v>72</v>
      </c>
      <c r="D258" t="s">
        <v>2885</v>
      </c>
    </row>
    <row r="259" spans="1:4" x14ac:dyDescent="0.35">
      <c r="A259">
        <v>191</v>
      </c>
      <c r="B259">
        <v>2016</v>
      </c>
      <c r="C259" t="s">
        <v>3765</v>
      </c>
      <c r="D259" t="s">
        <v>3765</v>
      </c>
    </row>
    <row r="260" spans="1:4" x14ac:dyDescent="0.35">
      <c r="A260">
        <v>192</v>
      </c>
      <c r="B260">
        <v>2018</v>
      </c>
      <c r="C260" t="s">
        <v>3765</v>
      </c>
      <c r="D260" t="s">
        <v>3765</v>
      </c>
    </row>
    <row r="261" spans="1:4" x14ac:dyDescent="0.35">
      <c r="A261">
        <v>193</v>
      </c>
      <c r="B261">
        <v>2023</v>
      </c>
      <c r="C261" t="s">
        <v>101</v>
      </c>
      <c r="D261" t="s">
        <v>2908</v>
      </c>
    </row>
    <row r="262" spans="1:4" x14ac:dyDescent="0.35">
      <c r="A262">
        <v>194</v>
      </c>
      <c r="B262">
        <v>2021</v>
      </c>
      <c r="C262" t="s">
        <v>72</v>
      </c>
      <c r="D262" t="s">
        <v>2885</v>
      </c>
    </row>
    <row r="263" spans="1:4" x14ac:dyDescent="0.35">
      <c r="A263">
        <v>195</v>
      </c>
      <c r="B263">
        <v>2016</v>
      </c>
      <c r="C263" t="s">
        <v>16</v>
      </c>
      <c r="D263" t="s">
        <v>2885</v>
      </c>
    </row>
    <row r="264" spans="1:4" x14ac:dyDescent="0.35">
      <c r="A264">
        <v>196</v>
      </c>
      <c r="B264">
        <v>2015</v>
      </c>
      <c r="C264" t="s">
        <v>231</v>
      </c>
      <c r="D264" t="s">
        <v>2908</v>
      </c>
    </row>
    <row r="265" spans="1:4" x14ac:dyDescent="0.35">
      <c r="A265">
        <v>197</v>
      </c>
      <c r="B265">
        <v>2014</v>
      </c>
      <c r="C265" t="s">
        <v>45</v>
      </c>
      <c r="D265" t="s">
        <v>2908</v>
      </c>
    </row>
    <row r="266" spans="1:4" x14ac:dyDescent="0.35">
      <c r="A266">
        <v>197</v>
      </c>
      <c r="B266">
        <v>2014</v>
      </c>
      <c r="C266" t="s">
        <v>40</v>
      </c>
      <c r="D266" t="s">
        <v>2865</v>
      </c>
    </row>
    <row r="267" spans="1:4" x14ac:dyDescent="0.35">
      <c r="A267">
        <v>198</v>
      </c>
      <c r="B267">
        <v>2023</v>
      </c>
      <c r="C267" t="s">
        <v>45</v>
      </c>
      <c r="D267" t="s">
        <v>2908</v>
      </c>
    </row>
    <row r="268" spans="1:4" x14ac:dyDescent="0.35">
      <c r="A268">
        <v>199</v>
      </c>
      <c r="B268">
        <v>2022</v>
      </c>
      <c r="C268" t="s">
        <v>231</v>
      </c>
      <c r="D268" t="s">
        <v>2908</v>
      </c>
    </row>
    <row r="269" spans="1:4" x14ac:dyDescent="0.35">
      <c r="A269">
        <v>200</v>
      </c>
      <c r="B269">
        <v>2022</v>
      </c>
      <c r="C269" t="s">
        <v>189</v>
      </c>
      <c r="D269" t="s">
        <v>2908</v>
      </c>
    </row>
    <row r="270" spans="1:4" x14ac:dyDescent="0.35">
      <c r="A270">
        <v>201</v>
      </c>
      <c r="B270">
        <v>2017</v>
      </c>
      <c r="C270" t="s">
        <v>5</v>
      </c>
      <c r="D270" t="s">
        <v>2908</v>
      </c>
    </row>
    <row r="271" spans="1:4" x14ac:dyDescent="0.35">
      <c r="A271">
        <v>202</v>
      </c>
      <c r="B271">
        <v>2017</v>
      </c>
      <c r="C271" t="s">
        <v>48</v>
      </c>
      <c r="D271" t="s">
        <v>3767</v>
      </c>
    </row>
    <row r="272" spans="1:4" x14ac:dyDescent="0.35">
      <c r="A272">
        <v>203</v>
      </c>
      <c r="B272">
        <v>2023</v>
      </c>
      <c r="C272" t="s">
        <v>231</v>
      </c>
      <c r="D272" t="s">
        <v>2908</v>
      </c>
    </row>
    <row r="273" spans="1:4" x14ac:dyDescent="0.35">
      <c r="A273">
        <v>203</v>
      </c>
      <c r="B273">
        <v>2023</v>
      </c>
      <c r="C273" t="s">
        <v>93</v>
      </c>
      <c r="D273" t="s">
        <v>2865</v>
      </c>
    </row>
    <row r="274" spans="1:4" x14ac:dyDescent="0.35">
      <c r="A274">
        <v>204</v>
      </c>
      <c r="B274">
        <v>2017</v>
      </c>
      <c r="C274" t="s">
        <v>157</v>
      </c>
      <c r="D274" t="s">
        <v>2908</v>
      </c>
    </row>
    <row r="275" spans="1:4" x14ac:dyDescent="0.35">
      <c r="A275">
        <v>205</v>
      </c>
      <c r="B275">
        <v>2018</v>
      </c>
      <c r="C275" t="s">
        <v>231</v>
      </c>
      <c r="D275" t="s">
        <v>2908</v>
      </c>
    </row>
    <row r="276" spans="1:4" x14ac:dyDescent="0.35">
      <c r="A276">
        <v>206</v>
      </c>
      <c r="B276">
        <v>2020</v>
      </c>
      <c r="C276" t="s">
        <v>22</v>
      </c>
      <c r="D276" t="s">
        <v>2885</v>
      </c>
    </row>
    <row r="277" spans="1:4" x14ac:dyDescent="0.35">
      <c r="A277">
        <v>207</v>
      </c>
      <c r="B277">
        <v>2022</v>
      </c>
      <c r="C277" t="s">
        <v>16</v>
      </c>
      <c r="D277" t="s">
        <v>2885</v>
      </c>
    </row>
    <row r="278" spans="1:4" x14ac:dyDescent="0.35">
      <c r="A278">
        <v>208</v>
      </c>
      <c r="B278">
        <v>2021</v>
      </c>
      <c r="C278" t="s">
        <v>865</v>
      </c>
      <c r="D278" t="s">
        <v>3013</v>
      </c>
    </row>
    <row r="279" spans="1:4" x14ac:dyDescent="0.35">
      <c r="A279">
        <v>208</v>
      </c>
      <c r="B279">
        <v>2021</v>
      </c>
      <c r="C279" t="s">
        <v>164</v>
      </c>
      <c r="D279" t="s">
        <v>3013</v>
      </c>
    </row>
    <row r="280" spans="1:4" x14ac:dyDescent="0.35">
      <c r="A280">
        <v>209</v>
      </c>
      <c r="B280">
        <v>2014</v>
      </c>
      <c r="C280" t="s">
        <v>72</v>
      </c>
      <c r="D280" t="s">
        <v>2885</v>
      </c>
    </row>
    <row r="281" spans="1:4" x14ac:dyDescent="0.35">
      <c r="A281">
        <v>210</v>
      </c>
      <c r="B281">
        <v>2023</v>
      </c>
      <c r="C281" t="s">
        <v>3765</v>
      </c>
      <c r="D281" t="s">
        <v>3765</v>
      </c>
    </row>
    <row r="282" spans="1:4" x14ac:dyDescent="0.35">
      <c r="A282">
        <v>211</v>
      </c>
      <c r="B282">
        <v>2016</v>
      </c>
      <c r="C282" t="s">
        <v>5</v>
      </c>
      <c r="D282" t="s">
        <v>2908</v>
      </c>
    </row>
    <row r="283" spans="1:4" x14ac:dyDescent="0.35">
      <c r="A283">
        <v>212</v>
      </c>
      <c r="B283">
        <v>2023</v>
      </c>
      <c r="C283" t="s">
        <v>19</v>
      </c>
      <c r="D283" t="s">
        <v>2863</v>
      </c>
    </row>
    <row r="284" spans="1:4" x14ac:dyDescent="0.35">
      <c r="A284">
        <v>213</v>
      </c>
      <c r="B284">
        <v>2023</v>
      </c>
      <c r="C284" t="s">
        <v>72</v>
      </c>
      <c r="D284" t="s">
        <v>2885</v>
      </c>
    </row>
    <row r="285" spans="1:4" x14ac:dyDescent="0.35">
      <c r="A285">
        <v>213</v>
      </c>
      <c r="B285">
        <v>2023</v>
      </c>
      <c r="C285" t="s">
        <v>56</v>
      </c>
      <c r="D285" t="s">
        <v>2874</v>
      </c>
    </row>
    <row r="286" spans="1:4" x14ac:dyDescent="0.35">
      <c r="A286">
        <v>213</v>
      </c>
      <c r="B286">
        <v>2023</v>
      </c>
      <c r="C286" t="s">
        <v>3770</v>
      </c>
      <c r="D286" t="s">
        <v>3770</v>
      </c>
    </row>
    <row r="287" spans="1:4" x14ac:dyDescent="0.35">
      <c r="A287">
        <v>213</v>
      </c>
      <c r="B287">
        <v>2023</v>
      </c>
      <c r="C287" t="s">
        <v>517</v>
      </c>
      <c r="D287" t="s">
        <v>2874</v>
      </c>
    </row>
    <row r="288" spans="1:4" x14ac:dyDescent="0.35">
      <c r="A288">
        <v>214</v>
      </c>
      <c r="B288">
        <v>2021</v>
      </c>
      <c r="C288" t="s">
        <v>164</v>
      </c>
      <c r="D288" t="s">
        <v>3013</v>
      </c>
    </row>
    <row r="289" spans="1:4" x14ac:dyDescent="0.35">
      <c r="A289">
        <v>214</v>
      </c>
      <c r="B289">
        <v>2021</v>
      </c>
      <c r="C289" t="s">
        <v>19</v>
      </c>
      <c r="D289" t="s">
        <v>2863</v>
      </c>
    </row>
    <row r="290" spans="1:4" x14ac:dyDescent="0.35">
      <c r="A290">
        <v>215</v>
      </c>
      <c r="B290">
        <v>2022</v>
      </c>
      <c r="C290" t="s">
        <v>16</v>
      </c>
      <c r="D290" t="s">
        <v>2885</v>
      </c>
    </row>
    <row r="291" spans="1:4" x14ac:dyDescent="0.35">
      <c r="A291">
        <v>215</v>
      </c>
      <c r="B291">
        <v>2022</v>
      </c>
      <c r="C291" t="s">
        <v>72</v>
      </c>
      <c r="D291" t="s">
        <v>2885</v>
      </c>
    </row>
    <row r="292" spans="1:4" x14ac:dyDescent="0.35">
      <c r="A292">
        <v>216</v>
      </c>
      <c r="B292">
        <v>2018</v>
      </c>
      <c r="C292" t="s">
        <v>19</v>
      </c>
      <c r="D292" t="s">
        <v>2863</v>
      </c>
    </row>
    <row r="293" spans="1:4" x14ac:dyDescent="0.35">
      <c r="A293">
        <v>217</v>
      </c>
      <c r="B293">
        <v>2021</v>
      </c>
      <c r="C293" t="s">
        <v>16</v>
      </c>
      <c r="D293" t="s">
        <v>2885</v>
      </c>
    </row>
    <row r="294" spans="1:4" x14ac:dyDescent="0.35">
      <c r="A294">
        <v>218</v>
      </c>
      <c r="B294">
        <v>2022</v>
      </c>
      <c r="C294" t="s">
        <v>16</v>
      </c>
      <c r="D294" t="s">
        <v>2885</v>
      </c>
    </row>
    <row r="295" spans="1:4" x14ac:dyDescent="0.35">
      <c r="A295">
        <v>218</v>
      </c>
      <c r="B295">
        <v>2022</v>
      </c>
      <c r="C295" t="s">
        <v>189</v>
      </c>
      <c r="D295" t="s">
        <v>2908</v>
      </c>
    </row>
    <row r="296" spans="1:4" x14ac:dyDescent="0.35">
      <c r="A296">
        <v>219</v>
      </c>
      <c r="B296">
        <v>2021</v>
      </c>
      <c r="C296" t="s">
        <v>72</v>
      </c>
      <c r="D296" t="s">
        <v>2885</v>
      </c>
    </row>
    <row r="297" spans="1:4" x14ac:dyDescent="0.35">
      <c r="A297">
        <v>220</v>
      </c>
      <c r="B297">
        <v>2023</v>
      </c>
      <c r="C297" t="s">
        <v>3765</v>
      </c>
      <c r="D297" t="s">
        <v>3765</v>
      </c>
    </row>
    <row r="298" spans="1:4" x14ac:dyDescent="0.35">
      <c r="A298">
        <v>221</v>
      </c>
      <c r="B298">
        <v>2016</v>
      </c>
      <c r="C298" t="s">
        <v>48</v>
      </c>
      <c r="D298" t="s">
        <v>3767</v>
      </c>
    </row>
    <row r="299" spans="1:4" x14ac:dyDescent="0.35">
      <c r="A299">
        <v>221</v>
      </c>
      <c r="B299">
        <v>2016</v>
      </c>
      <c r="C299" t="s">
        <v>3770</v>
      </c>
      <c r="D299" t="s">
        <v>3770</v>
      </c>
    </row>
    <row r="300" spans="1:4" x14ac:dyDescent="0.35">
      <c r="A300">
        <v>222</v>
      </c>
      <c r="B300">
        <v>2023</v>
      </c>
      <c r="C300" t="s">
        <v>22</v>
      </c>
      <c r="D300" t="s">
        <v>2885</v>
      </c>
    </row>
    <row r="301" spans="1:4" x14ac:dyDescent="0.35">
      <c r="A301">
        <v>223</v>
      </c>
      <c r="B301">
        <v>2023</v>
      </c>
      <c r="C301" t="s">
        <v>3765</v>
      </c>
      <c r="D301" t="s">
        <v>3765</v>
      </c>
    </row>
    <row r="302" spans="1:4" x14ac:dyDescent="0.35">
      <c r="A302">
        <v>224</v>
      </c>
      <c r="B302">
        <v>2023</v>
      </c>
      <c r="C302" t="s">
        <v>5</v>
      </c>
      <c r="D302" t="s">
        <v>2908</v>
      </c>
    </row>
    <row r="303" spans="1:4" x14ac:dyDescent="0.35">
      <c r="A303">
        <v>225</v>
      </c>
      <c r="B303">
        <v>2023</v>
      </c>
      <c r="C303" t="s">
        <v>5</v>
      </c>
      <c r="D303" t="s">
        <v>2908</v>
      </c>
    </row>
    <row r="304" spans="1:4" x14ac:dyDescent="0.35">
      <c r="A304">
        <v>225</v>
      </c>
      <c r="B304">
        <v>2023</v>
      </c>
      <c r="C304" t="s">
        <v>93</v>
      </c>
      <c r="D304" t="s">
        <v>2865</v>
      </c>
    </row>
    <row r="305" spans="1:4" x14ac:dyDescent="0.35">
      <c r="A305">
        <v>226</v>
      </c>
      <c r="B305">
        <v>2017</v>
      </c>
      <c r="C305" t="s">
        <v>45</v>
      </c>
      <c r="D305" t="s">
        <v>2908</v>
      </c>
    </row>
    <row r="306" spans="1:4" x14ac:dyDescent="0.35">
      <c r="A306">
        <v>227</v>
      </c>
      <c r="B306">
        <v>2017</v>
      </c>
      <c r="C306" t="s">
        <v>16</v>
      </c>
      <c r="D306" t="s">
        <v>2885</v>
      </c>
    </row>
    <row r="307" spans="1:4" x14ac:dyDescent="0.35">
      <c r="A307">
        <v>228</v>
      </c>
      <c r="B307">
        <v>2016</v>
      </c>
      <c r="C307" t="s">
        <v>5</v>
      </c>
      <c r="D307" t="s">
        <v>2908</v>
      </c>
    </row>
    <row r="308" spans="1:4" x14ac:dyDescent="0.35">
      <c r="A308">
        <v>228</v>
      </c>
      <c r="B308">
        <v>2016</v>
      </c>
      <c r="C308" t="s">
        <v>19</v>
      </c>
      <c r="D308" t="s">
        <v>2863</v>
      </c>
    </row>
    <row r="309" spans="1:4" x14ac:dyDescent="0.35">
      <c r="A309">
        <v>229</v>
      </c>
      <c r="B309">
        <v>2015</v>
      </c>
      <c r="C309" t="s">
        <v>16</v>
      </c>
      <c r="D309" t="s">
        <v>2885</v>
      </c>
    </row>
    <row r="310" spans="1:4" x14ac:dyDescent="0.35">
      <c r="A310">
        <v>230</v>
      </c>
      <c r="B310">
        <v>2017</v>
      </c>
      <c r="C310" t="s">
        <v>45</v>
      </c>
      <c r="D310" t="s">
        <v>2908</v>
      </c>
    </row>
    <row r="311" spans="1:4" x14ac:dyDescent="0.35">
      <c r="A311">
        <v>230</v>
      </c>
      <c r="B311">
        <v>2017</v>
      </c>
      <c r="C311" t="s">
        <v>72</v>
      </c>
      <c r="D311" t="s">
        <v>2885</v>
      </c>
    </row>
    <row r="312" spans="1:4" x14ac:dyDescent="0.35">
      <c r="A312">
        <v>231</v>
      </c>
      <c r="B312">
        <v>2020</v>
      </c>
      <c r="C312" t="s">
        <v>231</v>
      </c>
      <c r="D312" t="s">
        <v>2908</v>
      </c>
    </row>
    <row r="313" spans="1:4" x14ac:dyDescent="0.35">
      <c r="A313">
        <v>232</v>
      </c>
      <c r="B313">
        <v>2017</v>
      </c>
      <c r="C313" t="s">
        <v>16</v>
      </c>
      <c r="D313" t="s">
        <v>2885</v>
      </c>
    </row>
    <row r="314" spans="1:4" x14ac:dyDescent="0.35">
      <c r="A314">
        <v>233</v>
      </c>
      <c r="B314">
        <v>2020</v>
      </c>
      <c r="C314" t="s">
        <v>19</v>
      </c>
      <c r="D314" t="s">
        <v>2863</v>
      </c>
    </row>
    <row r="315" spans="1:4" x14ac:dyDescent="0.35">
      <c r="A315">
        <v>233</v>
      </c>
      <c r="B315">
        <v>2020</v>
      </c>
      <c r="C315" t="s">
        <v>72</v>
      </c>
      <c r="D315" t="s">
        <v>2885</v>
      </c>
    </row>
    <row r="316" spans="1:4" x14ac:dyDescent="0.35">
      <c r="A316">
        <v>234</v>
      </c>
      <c r="B316">
        <v>2016</v>
      </c>
      <c r="C316" t="s">
        <v>231</v>
      </c>
      <c r="D316" t="s">
        <v>2908</v>
      </c>
    </row>
    <row r="317" spans="1:4" x14ac:dyDescent="0.35">
      <c r="A317">
        <v>234</v>
      </c>
      <c r="B317">
        <v>2016</v>
      </c>
      <c r="C317" t="s">
        <v>22</v>
      </c>
      <c r="D317" t="s">
        <v>2885</v>
      </c>
    </row>
    <row r="318" spans="1:4" x14ac:dyDescent="0.35">
      <c r="A318">
        <v>234</v>
      </c>
      <c r="B318">
        <v>2016</v>
      </c>
      <c r="C318" t="s">
        <v>93</v>
      </c>
      <c r="D318" t="s">
        <v>2865</v>
      </c>
    </row>
    <row r="319" spans="1:4" x14ac:dyDescent="0.35">
      <c r="A319">
        <v>235</v>
      </c>
      <c r="B319">
        <v>2021</v>
      </c>
      <c r="C319" t="s">
        <v>3765</v>
      </c>
      <c r="D319" t="s">
        <v>3765</v>
      </c>
    </row>
    <row r="320" spans="1:4" x14ac:dyDescent="0.35">
      <c r="A320">
        <v>236</v>
      </c>
      <c r="B320">
        <v>2022</v>
      </c>
      <c r="C320" t="s">
        <v>22</v>
      </c>
      <c r="D320" t="s">
        <v>2885</v>
      </c>
    </row>
    <row r="321" spans="1:4" x14ac:dyDescent="0.35">
      <c r="A321">
        <v>237</v>
      </c>
      <c r="B321">
        <v>2021</v>
      </c>
      <c r="C321" t="s">
        <v>16</v>
      </c>
      <c r="D321" t="s">
        <v>2885</v>
      </c>
    </row>
    <row r="322" spans="1:4" x14ac:dyDescent="0.35">
      <c r="A322">
        <v>238</v>
      </c>
      <c r="B322">
        <v>2022</v>
      </c>
      <c r="C322" t="s">
        <v>261</v>
      </c>
      <c r="D322" t="s">
        <v>2885</v>
      </c>
    </row>
    <row r="323" spans="1:4" x14ac:dyDescent="0.35">
      <c r="A323">
        <v>239</v>
      </c>
      <c r="B323">
        <v>2019</v>
      </c>
      <c r="C323" t="s">
        <v>19</v>
      </c>
      <c r="D323" t="s">
        <v>2863</v>
      </c>
    </row>
    <row r="324" spans="1:4" x14ac:dyDescent="0.35">
      <c r="A324">
        <v>239</v>
      </c>
      <c r="B324">
        <v>2019</v>
      </c>
      <c r="C324" t="s">
        <v>35</v>
      </c>
      <c r="D324" t="s">
        <v>2874</v>
      </c>
    </row>
    <row r="325" spans="1:4" x14ac:dyDescent="0.35">
      <c r="A325">
        <v>239</v>
      </c>
      <c r="B325">
        <v>2019</v>
      </c>
      <c r="C325" t="s">
        <v>45</v>
      </c>
      <c r="D325" t="s">
        <v>2908</v>
      </c>
    </row>
    <row r="326" spans="1:4" x14ac:dyDescent="0.35">
      <c r="A326">
        <v>240</v>
      </c>
      <c r="B326">
        <v>2018</v>
      </c>
      <c r="C326" t="s">
        <v>72</v>
      </c>
      <c r="D326" t="s">
        <v>2885</v>
      </c>
    </row>
    <row r="327" spans="1:4" x14ac:dyDescent="0.35">
      <c r="A327">
        <v>241</v>
      </c>
      <c r="B327">
        <v>2021</v>
      </c>
      <c r="C327" t="s">
        <v>3765</v>
      </c>
      <c r="D327" t="s">
        <v>3765</v>
      </c>
    </row>
    <row r="328" spans="1:4" x14ac:dyDescent="0.35">
      <c r="A328">
        <v>242</v>
      </c>
      <c r="B328">
        <v>2019</v>
      </c>
      <c r="C328" t="s">
        <v>3765</v>
      </c>
      <c r="D328" t="s">
        <v>3765</v>
      </c>
    </row>
    <row r="329" spans="1:4" x14ac:dyDescent="0.35">
      <c r="A329">
        <v>243</v>
      </c>
      <c r="B329">
        <v>2015</v>
      </c>
      <c r="C329" t="s">
        <v>3765</v>
      </c>
      <c r="D329" t="s">
        <v>3765</v>
      </c>
    </row>
    <row r="330" spans="1:4" x14ac:dyDescent="0.35">
      <c r="A330">
        <v>244</v>
      </c>
      <c r="B330">
        <v>2020</v>
      </c>
      <c r="C330" t="s">
        <v>157</v>
      </c>
      <c r="D330" t="s">
        <v>2908</v>
      </c>
    </row>
    <row r="331" spans="1:4" x14ac:dyDescent="0.35">
      <c r="A331">
        <v>245</v>
      </c>
      <c r="B331">
        <v>2017</v>
      </c>
      <c r="C331" t="s">
        <v>35</v>
      </c>
      <c r="D331" t="s">
        <v>2874</v>
      </c>
    </row>
    <row r="332" spans="1:4" x14ac:dyDescent="0.35">
      <c r="A332">
        <v>245</v>
      </c>
      <c r="B332">
        <v>2017</v>
      </c>
      <c r="C332" t="s">
        <v>45</v>
      </c>
      <c r="D332" t="s">
        <v>2908</v>
      </c>
    </row>
    <row r="333" spans="1:4" x14ac:dyDescent="0.35">
      <c r="A333">
        <v>245</v>
      </c>
      <c r="B333">
        <v>2017</v>
      </c>
      <c r="C333" t="s">
        <v>517</v>
      </c>
      <c r="D333" t="s">
        <v>2874</v>
      </c>
    </row>
    <row r="334" spans="1:4" x14ac:dyDescent="0.35">
      <c r="A334">
        <v>246</v>
      </c>
      <c r="B334">
        <v>2018</v>
      </c>
      <c r="C334" t="s">
        <v>3765</v>
      </c>
      <c r="D334" t="s">
        <v>3765</v>
      </c>
    </row>
    <row r="335" spans="1:4" x14ac:dyDescent="0.35">
      <c r="A335">
        <v>247</v>
      </c>
      <c r="B335">
        <v>2018</v>
      </c>
      <c r="C335" t="s">
        <v>231</v>
      </c>
      <c r="D335" t="s">
        <v>2908</v>
      </c>
    </row>
    <row r="336" spans="1:4" x14ac:dyDescent="0.35">
      <c r="A336">
        <v>247</v>
      </c>
      <c r="B336">
        <v>2018</v>
      </c>
      <c r="C336" t="s">
        <v>48</v>
      </c>
      <c r="D336" t="s">
        <v>3767</v>
      </c>
    </row>
    <row r="337" spans="1:4" x14ac:dyDescent="0.35">
      <c r="A337">
        <v>248</v>
      </c>
      <c r="B337">
        <v>2015</v>
      </c>
      <c r="C337" t="s">
        <v>189</v>
      </c>
      <c r="D337" t="s">
        <v>2908</v>
      </c>
    </row>
    <row r="338" spans="1:4" x14ac:dyDescent="0.35">
      <c r="A338">
        <v>248</v>
      </c>
      <c r="B338">
        <v>2015</v>
      </c>
      <c r="C338" t="s">
        <v>48</v>
      </c>
      <c r="D338" t="s">
        <v>3767</v>
      </c>
    </row>
    <row r="339" spans="1:4" x14ac:dyDescent="0.35">
      <c r="A339">
        <v>249</v>
      </c>
      <c r="B339">
        <v>2023</v>
      </c>
      <c r="C339" t="s">
        <v>3765</v>
      </c>
      <c r="D339" t="s">
        <v>3765</v>
      </c>
    </row>
    <row r="340" spans="1:4" x14ac:dyDescent="0.35">
      <c r="A340">
        <v>250</v>
      </c>
      <c r="B340">
        <v>2021</v>
      </c>
      <c r="C340" t="s">
        <v>16</v>
      </c>
      <c r="D340" t="s">
        <v>2885</v>
      </c>
    </row>
    <row r="341" spans="1:4" x14ac:dyDescent="0.35">
      <c r="A341">
        <v>251</v>
      </c>
      <c r="B341">
        <v>2018</v>
      </c>
      <c r="C341" t="s">
        <v>189</v>
      </c>
      <c r="D341" t="s">
        <v>2908</v>
      </c>
    </row>
    <row r="342" spans="1:4" x14ac:dyDescent="0.35">
      <c r="A342">
        <v>251</v>
      </c>
      <c r="B342">
        <v>2018</v>
      </c>
      <c r="C342" t="s">
        <v>231</v>
      </c>
      <c r="D342" t="s">
        <v>2908</v>
      </c>
    </row>
    <row r="343" spans="1:4" x14ac:dyDescent="0.35">
      <c r="A343">
        <v>251</v>
      </c>
      <c r="B343">
        <v>2018</v>
      </c>
      <c r="C343" t="s">
        <v>3769</v>
      </c>
      <c r="D343" t="s">
        <v>3769</v>
      </c>
    </row>
    <row r="344" spans="1:4" x14ac:dyDescent="0.35">
      <c r="A344">
        <v>252</v>
      </c>
      <c r="B344">
        <v>2014</v>
      </c>
      <c r="C344" t="s">
        <v>231</v>
      </c>
      <c r="D344" t="s">
        <v>2908</v>
      </c>
    </row>
    <row r="345" spans="1:4" x14ac:dyDescent="0.35">
      <c r="A345">
        <v>253</v>
      </c>
      <c r="B345">
        <v>2019</v>
      </c>
      <c r="C345" t="s">
        <v>3765</v>
      </c>
      <c r="D345" t="s">
        <v>3765</v>
      </c>
    </row>
    <row r="346" spans="1:4" x14ac:dyDescent="0.35">
      <c r="A346">
        <v>254</v>
      </c>
      <c r="B346">
        <v>2015</v>
      </c>
      <c r="C346" t="s">
        <v>16</v>
      </c>
      <c r="D346" t="s">
        <v>2885</v>
      </c>
    </row>
    <row r="347" spans="1:4" x14ac:dyDescent="0.35">
      <c r="A347">
        <v>254</v>
      </c>
      <c r="B347">
        <v>2015</v>
      </c>
      <c r="C347" t="s">
        <v>5</v>
      </c>
      <c r="D347" t="s">
        <v>2908</v>
      </c>
    </row>
    <row r="348" spans="1:4" x14ac:dyDescent="0.35">
      <c r="A348">
        <v>255</v>
      </c>
      <c r="B348">
        <v>2019</v>
      </c>
      <c r="C348" t="s">
        <v>5</v>
      </c>
      <c r="D348" t="s">
        <v>2908</v>
      </c>
    </row>
    <row r="349" spans="1:4" x14ac:dyDescent="0.35">
      <c r="A349">
        <v>256</v>
      </c>
      <c r="B349">
        <v>2018</v>
      </c>
      <c r="C349" t="s">
        <v>72</v>
      </c>
      <c r="D349" t="s">
        <v>2885</v>
      </c>
    </row>
    <row r="350" spans="1:4" x14ac:dyDescent="0.35">
      <c r="A350">
        <v>257</v>
      </c>
      <c r="B350">
        <v>2021</v>
      </c>
      <c r="C350" t="s">
        <v>72</v>
      </c>
      <c r="D350" t="s">
        <v>2885</v>
      </c>
    </row>
    <row r="351" spans="1:4" x14ac:dyDescent="0.35">
      <c r="A351">
        <v>258</v>
      </c>
      <c r="B351">
        <v>2020</v>
      </c>
      <c r="C351" t="s">
        <v>231</v>
      </c>
      <c r="D351" t="s">
        <v>2908</v>
      </c>
    </row>
    <row r="352" spans="1:4" x14ac:dyDescent="0.35">
      <c r="A352">
        <v>259</v>
      </c>
      <c r="B352">
        <v>2018</v>
      </c>
      <c r="C352" t="s">
        <v>3765</v>
      </c>
      <c r="D352" t="s">
        <v>3765</v>
      </c>
    </row>
    <row r="353" spans="1:4" x14ac:dyDescent="0.35">
      <c r="A353">
        <v>260</v>
      </c>
      <c r="B353">
        <v>2019</v>
      </c>
      <c r="C353" t="s">
        <v>231</v>
      </c>
      <c r="D353" t="s">
        <v>2908</v>
      </c>
    </row>
    <row r="354" spans="1:4" x14ac:dyDescent="0.35">
      <c r="A354">
        <v>261</v>
      </c>
      <c r="B354">
        <v>2018</v>
      </c>
      <c r="C354" t="s">
        <v>231</v>
      </c>
      <c r="D354" t="s">
        <v>2908</v>
      </c>
    </row>
    <row r="355" spans="1:4" x14ac:dyDescent="0.35">
      <c r="A355">
        <v>262</v>
      </c>
      <c r="B355">
        <v>2019</v>
      </c>
      <c r="C355" t="s">
        <v>3765</v>
      </c>
      <c r="D355" t="s">
        <v>3765</v>
      </c>
    </row>
    <row r="356" spans="1:4" x14ac:dyDescent="0.35">
      <c r="A356">
        <v>263</v>
      </c>
      <c r="B356">
        <v>2023</v>
      </c>
      <c r="C356" t="s">
        <v>3765</v>
      </c>
      <c r="D356" t="s">
        <v>3765</v>
      </c>
    </row>
    <row r="357" spans="1:4" x14ac:dyDescent="0.35">
      <c r="A357">
        <v>264</v>
      </c>
      <c r="B357">
        <v>2022</v>
      </c>
      <c r="C357" t="s">
        <v>189</v>
      </c>
      <c r="D357" t="s">
        <v>2908</v>
      </c>
    </row>
    <row r="358" spans="1:4" x14ac:dyDescent="0.35">
      <c r="A358">
        <v>265</v>
      </c>
      <c r="B358">
        <v>2017</v>
      </c>
      <c r="C358" t="s">
        <v>19</v>
      </c>
      <c r="D358" t="s">
        <v>2863</v>
      </c>
    </row>
    <row r="359" spans="1:4" x14ac:dyDescent="0.35">
      <c r="A359">
        <v>266</v>
      </c>
      <c r="B359">
        <v>2018</v>
      </c>
      <c r="C359" t="s">
        <v>35</v>
      </c>
      <c r="D359" t="s">
        <v>2874</v>
      </c>
    </row>
    <row r="360" spans="1:4" x14ac:dyDescent="0.35">
      <c r="A360">
        <v>267</v>
      </c>
      <c r="B360">
        <v>2022</v>
      </c>
      <c r="C360" t="s">
        <v>1072</v>
      </c>
      <c r="D360" t="s">
        <v>2940</v>
      </c>
    </row>
    <row r="361" spans="1:4" x14ac:dyDescent="0.35">
      <c r="A361">
        <v>267</v>
      </c>
      <c r="B361">
        <v>2022</v>
      </c>
      <c r="C361" t="s">
        <v>45</v>
      </c>
      <c r="D361" t="s">
        <v>2908</v>
      </c>
    </row>
    <row r="362" spans="1:4" x14ac:dyDescent="0.35">
      <c r="A362">
        <v>268</v>
      </c>
      <c r="B362">
        <v>2022</v>
      </c>
      <c r="C362" t="s">
        <v>3769</v>
      </c>
      <c r="D362" t="s">
        <v>3769</v>
      </c>
    </row>
    <row r="363" spans="1:4" x14ac:dyDescent="0.35">
      <c r="A363">
        <v>268</v>
      </c>
      <c r="B363">
        <v>2022</v>
      </c>
      <c r="C363" t="s">
        <v>231</v>
      </c>
      <c r="D363" t="s">
        <v>2908</v>
      </c>
    </row>
    <row r="364" spans="1:4" x14ac:dyDescent="0.35">
      <c r="A364">
        <v>269</v>
      </c>
      <c r="B364">
        <v>2016</v>
      </c>
      <c r="C364" t="s">
        <v>19</v>
      </c>
      <c r="D364" t="s">
        <v>2863</v>
      </c>
    </row>
    <row r="365" spans="1:4" x14ac:dyDescent="0.35">
      <c r="A365">
        <v>270</v>
      </c>
      <c r="B365">
        <v>2015</v>
      </c>
      <c r="C365" t="s">
        <v>35</v>
      </c>
      <c r="D365" t="s">
        <v>2874</v>
      </c>
    </row>
    <row r="366" spans="1:4" x14ac:dyDescent="0.35">
      <c r="A366">
        <v>270</v>
      </c>
      <c r="B366">
        <v>2015</v>
      </c>
      <c r="C366" t="s">
        <v>19</v>
      </c>
      <c r="D366" t="s">
        <v>2863</v>
      </c>
    </row>
    <row r="367" spans="1:4" x14ac:dyDescent="0.35">
      <c r="A367">
        <v>271</v>
      </c>
      <c r="B367">
        <v>2021</v>
      </c>
      <c r="C367" t="s">
        <v>72</v>
      </c>
      <c r="D367" t="s">
        <v>2885</v>
      </c>
    </row>
    <row r="368" spans="1:4" x14ac:dyDescent="0.35">
      <c r="A368">
        <v>272</v>
      </c>
      <c r="B368">
        <v>2018</v>
      </c>
      <c r="C368" t="s">
        <v>157</v>
      </c>
      <c r="D368" t="s">
        <v>2908</v>
      </c>
    </row>
    <row r="369" spans="1:4" x14ac:dyDescent="0.35">
      <c r="A369">
        <v>273</v>
      </c>
      <c r="B369">
        <v>2017</v>
      </c>
      <c r="C369" t="s">
        <v>72</v>
      </c>
      <c r="D369" t="s">
        <v>2885</v>
      </c>
    </row>
    <row r="370" spans="1:4" x14ac:dyDescent="0.35">
      <c r="A370">
        <v>274</v>
      </c>
      <c r="B370">
        <v>2022</v>
      </c>
      <c r="C370" t="s">
        <v>16</v>
      </c>
      <c r="D370" t="s">
        <v>2885</v>
      </c>
    </row>
    <row r="371" spans="1:4" x14ac:dyDescent="0.35">
      <c r="A371">
        <v>275</v>
      </c>
      <c r="B371">
        <v>2023</v>
      </c>
      <c r="C371" t="s">
        <v>144</v>
      </c>
      <c r="D371" t="s">
        <v>3767</v>
      </c>
    </row>
    <row r="372" spans="1:4" x14ac:dyDescent="0.35">
      <c r="A372">
        <v>276</v>
      </c>
      <c r="B372">
        <v>2023</v>
      </c>
      <c r="C372" t="s">
        <v>189</v>
      </c>
      <c r="D372" t="s">
        <v>2908</v>
      </c>
    </row>
    <row r="373" spans="1:4" x14ac:dyDescent="0.35">
      <c r="A373">
        <v>276</v>
      </c>
      <c r="B373">
        <v>2023</v>
      </c>
      <c r="C373" t="s">
        <v>56</v>
      </c>
      <c r="D373" t="s">
        <v>2874</v>
      </c>
    </row>
    <row r="374" spans="1:4" x14ac:dyDescent="0.35">
      <c r="A374">
        <v>276</v>
      </c>
      <c r="B374">
        <v>2023</v>
      </c>
      <c r="C374" t="s">
        <v>3770</v>
      </c>
      <c r="D374" t="s">
        <v>3770</v>
      </c>
    </row>
    <row r="375" spans="1:4" x14ac:dyDescent="0.35">
      <c r="A375">
        <v>277</v>
      </c>
      <c r="B375">
        <v>2022</v>
      </c>
      <c r="C375" t="s">
        <v>3765</v>
      </c>
      <c r="D375" t="s">
        <v>3765</v>
      </c>
    </row>
    <row r="376" spans="1:4" x14ac:dyDescent="0.35">
      <c r="A376">
        <v>278</v>
      </c>
      <c r="B376">
        <v>2020</v>
      </c>
      <c r="C376" t="s">
        <v>231</v>
      </c>
      <c r="D376" t="s">
        <v>2908</v>
      </c>
    </row>
    <row r="377" spans="1:4" x14ac:dyDescent="0.35">
      <c r="A377">
        <v>278</v>
      </c>
      <c r="B377">
        <v>2020</v>
      </c>
      <c r="C377" t="s">
        <v>93</v>
      </c>
      <c r="D377" t="s">
        <v>2865</v>
      </c>
    </row>
    <row r="378" spans="1:4" x14ac:dyDescent="0.35">
      <c r="A378">
        <v>278</v>
      </c>
      <c r="B378">
        <v>2020</v>
      </c>
      <c r="C378" t="s">
        <v>16</v>
      </c>
      <c r="D378" t="s">
        <v>2885</v>
      </c>
    </row>
    <row r="379" spans="1:4" x14ac:dyDescent="0.35">
      <c r="A379">
        <v>279</v>
      </c>
      <c r="B379">
        <v>2019</v>
      </c>
      <c r="C379" t="s">
        <v>231</v>
      </c>
      <c r="D379" t="s">
        <v>2908</v>
      </c>
    </row>
    <row r="380" spans="1:4" x14ac:dyDescent="0.35">
      <c r="A380">
        <v>280</v>
      </c>
      <c r="B380">
        <v>2014</v>
      </c>
      <c r="C380" t="s">
        <v>231</v>
      </c>
      <c r="D380" t="s">
        <v>2908</v>
      </c>
    </row>
    <row r="381" spans="1:4" x14ac:dyDescent="0.35">
      <c r="A381">
        <v>281</v>
      </c>
      <c r="B381">
        <v>2019</v>
      </c>
      <c r="C381" t="s">
        <v>231</v>
      </c>
      <c r="D381" t="s">
        <v>2908</v>
      </c>
    </row>
    <row r="382" spans="1:4" x14ac:dyDescent="0.35">
      <c r="A382">
        <v>281</v>
      </c>
      <c r="B382">
        <v>2019</v>
      </c>
      <c r="C382" t="s">
        <v>22</v>
      </c>
      <c r="D382" t="s">
        <v>2885</v>
      </c>
    </row>
    <row r="383" spans="1:4" x14ac:dyDescent="0.35">
      <c r="A383">
        <v>282</v>
      </c>
      <c r="B383">
        <v>2020</v>
      </c>
      <c r="C383" t="s">
        <v>231</v>
      </c>
      <c r="D383" t="s">
        <v>2908</v>
      </c>
    </row>
    <row r="384" spans="1:4" x14ac:dyDescent="0.35">
      <c r="A384">
        <v>283</v>
      </c>
      <c r="B384">
        <v>2019</v>
      </c>
      <c r="C384" t="s">
        <v>45</v>
      </c>
      <c r="D384" t="s">
        <v>2908</v>
      </c>
    </row>
    <row r="385" spans="1:4" x14ac:dyDescent="0.35">
      <c r="A385">
        <v>284</v>
      </c>
      <c r="B385">
        <v>2022</v>
      </c>
      <c r="C385" t="s">
        <v>157</v>
      </c>
      <c r="D385" t="s">
        <v>2908</v>
      </c>
    </row>
    <row r="386" spans="1:4" x14ac:dyDescent="0.35">
      <c r="A386">
        <v>285</v>
      </c>
      <c r="B386">
        <v>2016</v>
      </c>
      <c r="C386" t="s">
        <v>3765</v>
      </c>
      <c r="D386" t="s">
        <v>3765</v>
      </c>
    </row>
    <row r="387" spans="1:4" x14ac:dyDescent="0.35">
      <c r="A387">
        <v>286</v>
      </c>
      <c r="B387">
        <v>2017</v>
      </c>
      <c r="C387" t="s">
        <v>3765</v>
      </c>
      <c r="D387" t="s">
        <v>3765</v>
      </c>
    </row>
    <row r="388" spans="1:4" x14ac:dyDescent="0.35">
      <c r="A388">
        <v>287</v>
      </c>
      <c r="B388">
        <v>2017</v>
      </c>
      <c r="C388" t="s">
        <v>72</v>
      </c>
      <c r="D388" t="s">
        <v>2885</v>
      </c>
    </row>
    <row r="389" spans="1:4" x14ac:dyDescent="0.35">
      <c r="A389">
        <v>288</v>
      </c>
      <c r="B389">
        <v>2022</v>
      </c>
      <c r="C389" t="s">
        <v>101</v>
      </c>
      <c r="D389" t="s">
        <v>2908</v>
      </c>
    </row>
    <row r="390" spans="1:4" x14ac:dyDescent="0.35">
      <c r="A390">
        <v>289</v>
      </c>
      <c r="B390">
        <v>2023</v>
      </c>
      <c r="C390" t="s">
        <v>16</v>
      </c>
      <c r="D390" t="s">
        <v>2885</v>
      </c>
    </row>
    <row r="391" spans="1:4" x14ac:dyDescent="0.35">
      <c r="A391">
        <v>290</v>
      </c>
      <c r="B391">
        <v>2018</v>
      </c>
      <c r="C391" t="s">
        <v>72</v>
      </c>
      <c r="D391" t="s">
        <v>2885</v>
      </c>
    </row>
    <row r="392" spans="1:4" x14ac:dyDescent="0.35">
      <c r="A392">
        <v>291</v>
      </c>
      <c r="B392">
        <v>2016</v>
      </c>
      <c r="C392" t="s">
        <v>261</v>
      </c>
      <c r="D392" t="s">
        <v>2885</v>
      </c>
    </row>
    <row r="393" spans="1:4" x14ac:dyDescent="0.35">
      <c r="A393">
        <v>292</v>
      </c>
      <c r="B393">
        <v>2016</v>
      </c>
      <c r="C393" t="s">
        <v>157</v>
      </c>
      <c r="D393" t="s">
        <v>2908</v>
      </c>
    </row>
    <row r="394" spans="1:4" x14ac:dyDescent="0.35">
      <c r="A394">
        <v>292</v>
      </c>
      <c r="B394">
        <v>2016</v>
      </c>
      <c r="C394" t="s">
        <v>586</v>
      </c>
      <c r="D394" t="s">
        <v>3772</v>
      </c>
    </row>
    <row r="395" spans="1:4" x14ac:dyDescent="0.35">
      <c r="A395">
        <v>293</v>
      </c>
      <c r="B395">
        <v>2022</v>
      </c>
      <c r="C395" t="s">
        <v>48</v>
      </c>
      <c r="D395" t="s">
        <v>3767</v>
      </c>
    </row>
    <row r="396" spans="1:4" x14ac:dyDescent="0.35">
      <c r="A396">
        <v>293</v>
      </c>
      <c r="B396">
        <v>2022</v>
      </c>
      <c r="C396" t="s">
        <v>16</v>
      </c>
      <c r="D396" t="s">
        <v>2885</v>
      </c>
    </row>
    <row r="397" spans="1:4" x14ac:dyDescent="0.35">
      <c r="A397">
        <v>294</v>
      </c>
      <c r="B397">
        <v>2016</v>
      </c>
      <c r="C397" t="s">
        <v>3769</v>
      </c>
      <c r="D397" t="s">
        <v>3769</v>
      </c>
    </row>
    <row r="398" spans="1:4" x14ac:dyDescent="0.35">
      <c r="A398">
        <v>294</v>
      </c>
      <c r="B398">
        <v>2016</v>
      </c>
      <c r="C398" t="s">
        <v>3770</v>
      </c>
      <c r="D398" t="s">
        <v>3770</v>
      </c>
    </row>
    <row r="399" spans="1:4" x14ac:dyDescent="0.35">
      <c r="A399">
        <v>295</v>
      </c>
      <c r="B399">
        <v>2014</v>
      </c>
      <c r="C399" t="s">
        <v>3765</v>
      </c>
      <c r="D399" t="s">
        <v>3765</v>
      </c>
    </row>
    <row r="400" spans="1:4" x14ac:dyDescent="0.35">
      <c r="A400">
        <v>296</v>
      </c>
      <c r="B400">
        <v>2015</v>
      </c>
      <c r="C400" t="s">
        <v>5</v>
      </c>
      <c r="D400" t="s">
        <v>2908</v>
      </c>
    </row>
    <row r="401" spans="1:4" x14ac:dyDescent="0.35">
      <c r="A401">
        <v>297</v>
      </c>
      <c r="B401">
        <v>2022</v>
      </c>
      <c r="C401" t="s">
        <v>5</v>
      </c>
      <c r="D401" t="s">
        <v>2908</v>
      </c>
    </row>
    <row r="402" spans="1:4" x14ac:dyDescent="0.35">
      <c r="A402">
        <v>297</v>
      </c>
      <c r="B402">
        <v>2022</v>
      </c>
      <c r="C402" t="s">
        <v>93</v>
      </c>
      <c r="D402" t="s">
        <v>2865</v>
      </c>
    </row>
    <row r="403" spans="1:4" x14ac:dyDescent="0.35">
      <c r="A403">
        <v>298</v>
      </c>
      <c r="B403">
        <v>2023</v>
      </c>
      <c r="C403" t="s">
        <v>45</v>
      </c>
      <c r="D403" t="s">
        <v>2908</v>
      </c>
    </row>
    <row r="404" spans="1:4" x14ac:dyDescent="0.35">
      <c r="A404">
        <v>299</v>
      </c>
      <c r="B404">
        <v>2018</v>
      </c>
      <c r="C404" t="s">
        <v>3765</v>
      </c>
      <c r="D404" t="s">
        <v>3765</v>
      </c>
    </row>
    <row r="405" spans="1:4" x14ac:dyDescent="0.35">
      <c r="A405">
        <v>300</v>
      </c>
      <c r="B405">
        <v>2022</v>
      </c>
      <c r="C405" t="s">
        <v>72</v>
      </c>
      <c r="D405" t="s">
        <v>2885</v>
      </c>
    </row>
    <row r="406" spans="1:4" x14ac:dyDescent="0.35">
      <c r="A406">
        <v>300</v>
      </c>
      <c r="B406">
        <v>2022</v>
      </c>
      <c r="C406" t="s">
        <v>48</v>
      </c>
      <c r="D406" t="s">
        <v>3767</v>
      </c>
    </row>
    <row r="407" spans="1:4" x14ac:dyDescent="0.35">
      <c r="A407">
        <v>301</v>
      </c>
      <c r="B407">
        <v>2023</v>
      </c>
      <c r="C407" t="s">
        <v>3765</v>
      </c>
      <c r="D407" t="s">
        <v>3765</v>
      </c>
    </row>
    <row r="408" spans="1:4" x14ac:dyDescent="0.35">
      <c r="A408">
        <v>302</v>
      </c>
      <c r="B408">
        <v>2021</v>
      </c>
      <c r="C408" t="s">
        <v>101</v>
      </c>
      <c r="D408" t="s">
        <v>2908</v>
      </c>
    </row>
    <row r="409" spans="1:4" x14ac:dyDescent="0.35">
      <c r="A409">
        <v>303</v>
      </c>
      <c r="B409">
        <v>2021</v>
      </c>
      <c r="C409" t="s">
        <v>16</v>
      </c>
      <c r="D409" t="s">
        <v>2885</v>
      </c>
    </row>
    <row r="410" spans="1:4" x14ac:dyDescent="0.35">
      <c r="A410">
        <v>304</v>
      </c>
      <c r="B410">
        <v>2014</v>
      </c>
      <c r="C410" t="s">
        <v>72</v>
      </c>
      <c r="D410" t="s">
        <v>2885</v>
      </c>
    </row>
    <row r="411" spans="1:4" x14ac:dyDescent="0.35">
      <c r="A411">
        <v>304</v>
      </c>
      <c r="B411">
        <v>2014</v>
      </c>
      <c r="C411" t="s">
        <v>16</v>
      </c>
      <c r="D411" t="s">
        <v>2885</v>
      </c>
    </row>
    <row r="412" spans="1:4" x14ac:dyDescent="0.35">
      <c r="A412">
        <v>305</v>
      </c>
      <c r="B412">
        <v>2015</v>
      </c>
      <c r="C412" t="s">
        <v>3770</v>
      </c>
      <c r="D412" t="s">
        <v>3770</v>
      </c>
    </row>
    <row r="413" spans="1:4" x14ac:dyDescent="0.35">
      <c r="A413">
        <v>305</v>
      </c>
      <c r="B413">
        <v>2015</v>
      </c>
      <c r="C413" t="s">
        <v>164</v>
      </c>
      <c r="D413" t="s">
        <v>3013</v>
      </c>
    </row>
    <row r="414" spans="1:4" x14ac:dyDescent="0.35">
      <c r="A414">
        <v>306</v>
      </c>
      <c r="B414">
        <v>2019</v>
      </c>
      <c r="C414" t="s">
        <v>16</v>
      </c>
      <c r="D414" t="s">
        <v>2885</v>
      </c>
    </row>
    <row r="415" spans="1:4" x14ac:dyDescent="0.35">
      <c r="A415">
        <v>307</v>
      </c>
      <c r="B415">
        <v>2022</v>
      </c>
      <c r="C415" t="s">
        <v>72</v>
      </c>
      <c r="D415" t="s">
        <v>2885</v>
      </c>
    </row>
    <row r="416" spans="1:4" x14ac:dyDescent="0.35">
      <c r="A416">
        <v>308</v>
      </c>
      <c r="B416">
        <v>2021</v>
      </c>
      <c r="C416" t="s">
        <v>72</v>
      </c>
      <c r="D416" t="s">
        <v>2885</v>
      </c>
    </row>
    <row r="417" spans="1:4" x14ac:dyDescent="0.35">
      <c r="A417">
        <v>308</v>
      </c>
      <c r="B417">
        <v>2021</v>
      </c>
      <c r="C417" t="s">
        <v>5</v>
      </c>
      <c r="D417" t="s">
        <v>2908</v>
      </c>
    </row>
    <row r="418" spans="1:4" x14ac:dyDescent="0.35">
      <c r="A418">
        <v>309</v>
      </c>
      <c r="B418">
        <v>2022</v>
      </c>
      <c r="C418" t="s">
        <v>16</v>
      </c>
      <c r="D418" t="s">
        <v>2885</v>
      </c>
    </row>
    <row r="419" spans="1:4" x14ac:dyDescent="0.35">
      <c r="A419">
        <v>309</v>
      </c>
      <c r="B419">
        <v>2022</v>
      </c>
      <c r="C419" t="s">
        <v>72</v>
      </c>
      <c r="D419" t="s">
        <v>2885</v>
      </c>
    </row>
    <row r="420" spans="1:4" x14ac:dyDescent="0.35">
      <c r="A420">
        <v>310</v>
      </c>
      <c r="B420">
        <v>2023</v>
      </c>
      <c r="C420" t="s">
        <v>3769</v>
      </c>
      <c r="D420" t="s">
        <v>3769</v>
      </c>
    </row>
    <row r="421" spans="1:4" x14ac:dyDescent="0.35">
      <c r="A421">
        <v>310</v>
      </c>
      <c r="B421">
        <v>2023</v>
      </c>
      <c r="C421" t="s">
        <v>101</v>
      </c>
      <c r="D421" t="s">
        <v>2908</v>
      </c>
    </row>
    <row r="422" spans="1:4" x14ac:dyDescent="0.35">
      <c r="A422">
        <v>311</v>
      </c>
      <c r="B422">
        <v>2022</v>
      </c>
      <c r="C422" t="s">
        <v>101</v>
      </c>
      <c r="D422" t="s">
        <v>2908</v>
      </c>
    </row>
    <row r="423" spans="1:4" x14ac:dyDescent="0.35">
      <c r="A423">
        <v>312</v>
      </c>
      <c r="B423">
        <v>2023</v>
      </c>
      <c r="C423" t="s">
        <v>72</v>
      </c>
      <c r="D423" t="s">
        <v>2885</v>
      </c>
    </row>
    <row r="424" spans="1:4" x14ac:dyDescent="0.35">
      <c r="A424">
        <v>313</v>
      </c>
      <c r="B424">
        <v>2015</v>
      </c>
      <c r="C424" t="s">
        <v>16</v>
      </c>
      <c r="D424" t="s">
        <v>2885</v>
      </c>
    </row>
    <row r="425" spans="1:4" x14ac:dyDescent="0.35">
      <c r="A425">
        <v>314</v>
      </c>
      <c r="B425">
        <v>2022</v>
      </c>
      <c r="C425" t="s">
        <v>5</v>
      </c>
      <c r="D425" t="s">
        <v>2908</v>
      </c>
    </row>
    <row r="426" spans="1:4" x14ac:dyDescent="0.35">
      <c r="A426">
        <v>315</v>
      </c>
      <c r="B426">
        <v>2023</v>
      </c>
      <c r="C426" t="s">
        <v>19</v>
      </c>
      <c r="D426" t="s">
        <v>2863</v>
      </c>
    </row>
    <row r="427" spans="1:4" x14ac:dyDescent="0.35">
      <c r="A427">
        <v>315</v>
      </c>
      <c r="B427">
        <v>2023</v>
      </c>
      <c r="C427" t="s">
        <v>16</v>
      </c>
      <c r="D427" t="s">
        <v>2885</v>
      </c>
    </row>
    <row r="428" spans="1:4" x14ac:dyDescent="0.35">
      <c r="A428">
        <v>315</v>
      </c>
      <c r="B428">
        <v>2023</v>
      </c>
      <c r="C428" t="s">
        <v>35</v>
      </c>
      <c r="D428" t="s">
        <v>2874</v>
      </c>
    </row>
    <row r="429" spans="1:4" x14ac:dyDescent="0.35">
      <c r="A429">
        <v>316</v>
      </c>
      <c r="B429">
        <v>2022</v>
      </c>
      <c r="C429" t="s">
        <v>189</v>
      </c>
      <c r="D429" t="s">
        <v>2908</v>
      </c>
    </row>
    <row r="430" spans="1:4" x14ac:dyDescent="0.35">
      <c r="A430">
        <v>317</v>
      </c>
      <c r="B430">
        <v>2021</v>
      </c>
      <c r="C430" t="s">
        <v>16</v>
      </c>
      <c r="D430" t="s">
        <v>2885</v>
      </c>
    </row>
    <row r="431" spans="1:4" x14ac:dyDescent="0.35">
      <c r="A431">
        <v>318</v>
      </c>
      <c r="B431">
        <v>2018</v>
      </c>
      <c r="C431" t="s">
        <v>189</v>
      </c>
      <c r="D431" t="s">
        <v>2908</v>
      </c>
    </row>
    <row r="432" spans="1:4" x14ac:dyDescent="0.35">
      <c r="A432">
        <v>319</v>
      </c>
      <c r="B432">
        <v>2015</v>
      </c>
      <c r="C432" t="s">
        <v>3765</v>
      </c>
      <c r="D432" t="s">
        <v>3765</v>
      </c>
    </row>
    <row r="433" spans="1:4" x14ac:dyDescent="0.35">
      <c r="A433">
        <v>320</v>
      </c>
      <c r="B433">
        <v>2021</v>
      </c>
      <c r="C433" t="s">
        <v>3765</v>
      </c>
      <c r="D433" t="s">
        <v>3765</v>
      </c>
    </row>
    <row r="434" spans="1:4" x14ac:dyDescent="0.35">
      <c r="A434">
        <v>321</v>
      </c>
      <c r="B434">
        <v>2020</v>
      </c>
      <c r="C434" t="s">
        <v>3765</v>
      </c>
      <c r="D434" t="s">
        <v>3765</v>
      </c>
    </row>
    <row r="435" spans="1:4" x14ac:dyDescent="0.35">
      <c r="A435">
        <v>322</v>
      </c>
      <c r="B435">
        <v>2021</v>
      </c>
      <c r="C435" t="s">
        <v>172</v>
      </c>
      <c r="D435" t="s">
        <v>2908</v>
      </c>
    </row>
    <row r="436" spans="1:4" x14ac:dyDescent="0.35">
      <c r="A436">
        <v>322</v>
      </c>
      <c r="B436">
        <v>2021</v>
      </c>
      <c r="C436" t="s">
        <v>56</v>
      </c>
      <c r="D436" t="s">
        <v>2874</v>
      </c>
    </row>
    <row r="437" spans="1:4" x14ac:dyDescent="0.35">
      <c r="A437">
        <v>322</v>
      </c>
      <c r="B437">
        <v>2021</v>
      </c>
      <c r="C437" t="s">
        <v>517</v>
      </c>
      <c r="D437" t="s">
        <v>2874</v>
      </c>
    </row>
    <row r="438" spans="1:4" x14ac:dyDescent="0.35">
      <c r="A438">
        <v>323</v>
      </c>
      <c r="B438">
        <v>2021</v>
      </c>
      <c r="C438" t="s">
        <v>93</v>
      </c>
      <c r="D438" t="s">
        <v>2865</v>
      </c>
    </row>
    <row r="439" spans="1:4" x14ac:dyDescent="0.35">
      <c r="A439">
        <v>324</v>
      </c>
      <c r="B439">
        <v>2017</v>
      </c>
      <c r="C439" t="s">
        <v>19</v>
      </c>
      <c r="D439" t="s">
        <v>2863</v>
      </c>
    </row>
    <row r="440" spans="1:4" x14ac:dyDescent="0.35">
      <c r="A440">
        <v>325</v>
      </c>
      <c r="B440">
        <v>2021</v>
      </c>
      <c r="C440" t="s">
        <v>40</v>
      </c>
      <c r="D440" t="s">
        <v>2865</v>
      </c>
    </row>
    <row r="441" spans="1:4" x14ac:dyDescent="0.35">
      <c r="A441">
        <v>325</v>
      </c>
      <c r="B441">
        <v>2021</v>
      </c>
      <c r="C441" t="s">
        <v>45</v>
      </c>
      <c r="D441" t="s">
        <v>2908</v>
      </c>
    </row>
    <row r="442" spans="1:4" x14ac:dyDescent="0.35">
      <c r="A442">
        <v>326</v>
      </c>
      <c r="B442">
        <v>2016</v>
      </c>
      <c r="C442" t="s">
        <v>22</v>
      </c>
      <c r="D442" t="s">
        <v>2885</v>
      </c>
    </row>
    <row r="443" spans="1:4" x14ac:dyDescent="0.35">
      <c r="A443">
        <v>326</v>
      </c>
      <c r="B443">
        <v>2016</v>
      </c>
      <c r="C443" t="s">
        <v>78</v>
      </c>
      <c r="D443" t="s">
        <v>2865</v>
      </c>
    </row>
    <row r="444" spans="1:4" x14ac:dyDescent="0.35">
      <c r="A444">
        <v>327</v>
      </c>
      <c r="B444">
        <v>2020</v>
      </c>
      <c r="C444" t="s">
        <v>19</v>
      </c>
      <c r="D444" t="s">
        <v>2863</v>
      </c>
    </row>
    <row r="445" spans="1:4" x14ac:dyDescent="0.35">
      <c r="A445">
        <v>328</v>
      </c>
      <c r="B445">
        <v>2016</v>
      </c>
      <c r="C445" t="s">
        <v>22</v>
      </c>
      <c r="D445" t="s">
        <v>2885</v>
      </c>
    </row>
    <row r="446" spans="1:4" x14ac:dyDescent="0.35">
      <c r="A446">
        <v>328</v>
      </c>
      <c r="B446">
        <v>2016</v>
      </c>
      <c r="C446" t="s">
        <v>72</v>
      </c>
      <c r="D446" t="s">
        <v>2885</v>
      </c>
    </row>
    <row r="447" spans="1:4" x14ac:dyDescent="0.35">
      <c r="A447">
        <v>329</v>
      </c>
      <c r="B447">
        <v>2019</v>
      </c>
      <c r="C447" t="s">
        <v>231</v>
      </c>
      <c r="D447" t="s">
        <v>2908</v>
      </c>
    </row>
    <row r="448" spans="1:4" x14ac:dyDescent="0.35">
      <c r="A448">
        <v>330</v>
      </c>
      <c r="B448">
        <v>2015</v>
      </c>
      <c r="C448" t="s">
        <v>3765</v>
      </c>
      <c r="D448" t="s">
        <v>3765</v>
      </c>
    </row>
    <row r="449" spans="1:4" x14ac:dyDescent="0.35">
      <c r="A449">
        <v>270</v>
      </c>
      <c r="B449">
        <v>2015</v>
      </c>
      <c r="C449" t="s">
        <v>1744</v>
      </c>
      <c r="D449" t="s">
        <v>2987</v>
      </c>
    </row>
    <row r="450" spans="1:4" x14ac:dyDescent="0.35">
      <c r="A450">
        <v>331</v>
      </c>
      <c r="B450">
        <v>2019</v>
      </c>
      <c r="C450" t="s">
        <v>189</v>
      </c>
      <c r="D450" t="s">
        <v>2908</v>
      </c>
    </row>
    <row r="451" spans="1:4" x14ac:dyDescent="0.35">
      <c r="A451">
        <v>332</v>
      </c>
      <c r="B451">
        <v>2019</v>
      </c>
      <c r="C451" t="s">
        <v>72</v>
      </c>
      <c r="D451" t="s">
        <v>2885</v>
      </c>
    </row>
    <row r="452" spans="1:4" x14ac:dyDescent="0.35">
      <c r="A452">
        <v>333</v>
      </c>
      <c r="B452">
        <v>2021</v>
      </c>
      <c r="C452" t="s">
        <v>98</v>
      </c>
      <c r="D452" t="s">
        <v>2874</v>
      </c>
    </row>
    <row r="453" spans="1:4" x14ac:dyDescent="0.35">
      <c r="A453">
        <v>334</v>
      </c>
      <c r="B453">
        <v>2022</v>
      </c>
      <c r="C453" t="s">
        <v>3765</v>
      </c>
      <c r="D453" t="s">
        <v>3765</v>
      </c>
    </row>
    <row r="454" spans="1:4" x14ac:dyDescent="0.35">
      <c r="A454">
        <v>335</v>
      </c>
      <c r="B454">
        <v>2023</v>
      </c>
      <c r="C454" t="s">
        <v>19</v>
      </c>
      <c r="D454" t="s">
        <v>2863</v>
      </c>
    </row>
    <row r="455" spans="1:4" x14ac:dyDescent="0.35">
      <c r="A455">
        <v>336</v>
      </c>
      <c r="B455">
        <v>2019</v>
      </c>
      <c r="C455" t="s">
        <v>48</v>
      </c>
      <c r="D455" t="s">
        <v>3767</v>
      </c>
    </row>
    <row r="456" spans="1:4" x14ac:dyDescent="0.35">
      <c r="A456">
        <v>337</v>
      </c>
      <c r="B456">
        <v>2023</v>
      </c>
      <c r="C456" t="s">
        <v>3765</v>
      </c>
      <c r="D456" t="s">
        <v>3765</v>
      </c>
    </row>
    <row r="457" spans="1:4" x14ac:dyDescent="0.35">
      <c r="A457">
        <v>338</v>
      </c>
      <c r="B457">
        <v>2015</v>
      </c>
      <c r="C457" t="s">
        <v>3765</v>
      </c>
      <c r="D457" t="s">
        <v>3765</v>
      </c>
    </row>
    <row r="458" spans="1:4" x14ac:dyDescent="0.35">
      <c r="A458">
        <v>339</v>
      </c>
      <c r="B458">
        <v>2018</v>
      </c>
      <c r="C458" t="s">
        <v>16</v>
      </c>
      <c r="D458" t="s">
        <v>2885</v>
      </c>
    </row>
    <row r="459" spans="1:4" x14ac:dyDescent="0.35">
      <c r="A459">
        <v>340</v>
      </c>
      <c r="B459">
        <v>2023</v>
      </c>
      <c r="C459" t="s">
        <v>261</v>
      </c>
      <c r="D459" t="s">
        <v>2885</v>
      </c>
    </row>
    <row r="460" spans="1:4" x14ac:dyDescent="0.35">
      <c r="A460">
        <v>341</v>
      </c>
      <c r="B460">
        <v>2021</v>
      </c>
      <c r="C460" t="s">
        <v>16</v>
      </c>
      <c r="D460" t="s">
        <v>2885</v>
      </c>
    </row>
    <row r="461" spans="1:4" x14ac:dyDescent="0.35">
      <c r="A461">
        <v>342</v>
      </c>
      <c r="B461">
        <v>2022</v>
      </c>
      <c r="C461" t="s">
        <v>517</v>
      </c>
      <c r="D461" t="s">
        <v>2874</v>
      </c>
    </row>
    <row r="462" spans="1:4" x14ac:dyDescent="0.35">
      <c r="A462">
        <v>342</v>
      </c>
      <c r="B462">
        <v>2022</v>
      </c>
      <c r="C462" t="s">
        <v>43</v>
      </c>
      <c r="D462" t="s">
        <v>2908</v>
      </c>
    </row>
    <row r="463" spans="1:4" x14ac:dyDescent="0.35">
      <c r="A463">
        <v>343</v>
      </c>
      <c r="B463">
        <v>2018</v>
      </c>
      <c r="C463" t="s">
        <v>3765</v>
      </c>
      <c r="D463" t="s">
        <v>3765</v>
      </c>
    </row>
    <row r="464" spans="1:4" x14ac:dyDescent="0.35">
      <c r="A464">
        <v>344</v>
      </c>
      <c r="B464">
        <v>2023</v>
      </c>
      <c r="C464" t="s">
        <v>72</v>
      </c>
      <c r="D464" t="s">
        <v>2885</v>
      </c>
    </row>
    <row r="465" spans="1:4" x14ac:dyDescent="0.35">
      <c r="A465">
        <v>344</v>
      </c>
      <c r="B465">
        <v>2023</v>
      </c>
      <c r="C465" t="s">
        <v>352</v>
      </c>
      <c r="D465" t="s">
        <v>3013</v>
      </c>
    </row>
    <row r="466" spans="1:4" x14ac:dyDescent="0.35">
      <c r="A466">
        <v>345</v>
      </c>
      <c r="B466">
        <v>2020</v>
      </c>
      <c r="C466" t="s">
        <v>16</v>
      </c>
      <c r="D466" t="s">
        <v>2885</v>
      </c>
    </row>
    <row r="467" spans="1:4" x14ac:dyDescent="0.35">
      <c r="A467">
        <v>345</v>
      </c>
      <c r="B467">
        <v>2020</v>
      </c>
      <c r="C467" t="s">
        <v>5</v>
      </c>
      <c r="D467" t="s">
        <v>2908</v>
      </c>
    </row>
    <row r="468" spans="1:4" x14ac:dyDescent="0.35">
      <c r="A468">
        <v>346</v>
      </c>
      <c r="B468">
        <v>2022</v>
      </c>
      <c r="C468" t="s">
        <v>5</v>
      </c>
      <c r="D468" t="s">
        <v>2908</v>
      </c>
    </row>
    <row r="469" spans="1:4" x14ac:dyDescent="0.35">
      <c r="A469">
        <v>347</v>
      </c>
      <c r="B469">
        <v>2015</v>
      </c>
      <c r="C469" t="s">
        <v>72</v>
      </c>
      <c r="D469" t="s">
        <v>2885</v>
      </c>
    </row>
    <row r="470" spans="1:4" x14ac:dyDescent="0.35">
      <c r="A470">
        <v>348</v>
      </c>
      <c r="B470">
        <v>2022</v>
      </c>
      <c r="C470" t="s">
        <v>3765</v>
      </c>
      <c r="D470" t="s">
        <v>3765</v>
      </c>
    </row>
    <row r="471" spans="1:4" x14ac:dyDescent="0.35">
      <c r="A471">
        <v>349</v>
      </c>
      <c r="B471">
        <v>2022</v>
      </c>
      <c r="C471" t="s">
        <v>3765</v>
      </c>
      <c r="D471" t="s">
        <v>3765</v>
      </c>
    </row>
    <row r="472" spans="1:4" x14ac:dyDescent="0.35">
      <c r="A472">
        <v>350</v>
      </c>
      <c r="B472">
        <v>2015</v>
      </c>
      <c r="C472" t="s">
        <v>3766</v>
      </c>
      <c r="D472" t="s">
        <v>3766</v>
      </c>
    </row>
    <row r="473" spans="1:4" x14ac:dyDescent="0.35">
      <c r="A473">
        <v>350</v>
      </c>
      <c r="B473">
        <v>2015</v>
      </c>
      <c r="C473" t="s">
        <v>45</v>
      </c>
      <c r="D473" t="s">
        <v>2908</v>
      </c>
    </row>
    <row r="474" spans="1:4" x14ac:dyDescent="0.35">
      <c r="A474">
        <v>351</v>
      </c>
      <c r="B474">
        <v>2020</v>
      </c>
      <c r="C474" t="s">
        <v>189</v>
      </c>
      <c r="D474" t="s">
        <v>2908</v>
      </c>
    </row>
    <row r="475" spans="1:4" x14ac:dyDescent="0.35">
      <c r="A475">
        <v>351</v>
      </c>
      <c r="B475">
        <v>2020</v>
      </c>
      <c r="C475" t="s">
        <v>19</v>
      </c>
      <c r="D475" t="s">
        <v>2863</v>
      </c>
    </row>
    <row r="476" spans="1:4" x14ac:dyDescent="0.35">
      <c r="A476">
        <v>352</v>
      </c>
      <c r="B476">
        <v>2015</v>
      </c>
      <c r="C476" t="s">
        <v>19</v>
      </c>
      <c r="D476" t="s">
        <v>2863</v>
      </c>
    </row>
    <row r="477" spans="1:4" x14ac:dyDescent="0.35">
      <c r="A477">
        <v>352</v>
      </c>
      <c r="B477">
        <v>2015</v>
      </c>
      <c r="C477" t="s">
        <v>45</v>
      </c>
      <c r="D477" t="s">
        <v>2908</v>
      </c>
    </row>
    <row r="478" spans="1:4" x14ac:dyDescent="0.35">
      <c r="A478">
        <v>353</v>
      </c>
      <c r="B478">
        <v>2015</v>
      </c>
      <c r="C478" t="s">
        <v>72</v>
      </c>
      <c r="D478" t="s">
        <v>2885</v>
      </c>
    </row>
    <row r="479" spans="1:4" x14ac:dyDescent="0.35">
      <c r="A479">
        <v>354</v>
      </c>
      <c r="B479">
        <v>2018</v>
      </c>
      <c r="C479" t="s">
        <v>16</v>
      </c>
      <c r="D479" t="s">
        <v>2885</v>
      </c>
    </row>
    <row r="480" spans="1:4" x14ac:dyDescent="0.35">
      <c r="A480">
        <v>355</v>
      </c>
      <c r="B480">
        <v>2021</v>
      </c>
      <c r="C480" t="s">
        <v>45</v>
      </c>
      <c r="D480" t="s">
        <v>2908</v>
      </c>
    </row>
    <row r="481" spans="1:4" x14ac:dyDescent="0.35">
      <c r="A481">
        <v>356</v>
      </c>
      <c r="B481">
        <v>2023</v>
      </c>
      <c r="C481" t="s">
        <v>3765</v>
      </c>
      <c r="D481" t="s">
        <v>3765</v>
      </c>
    </row>
    <row r="482" spans="1:4" x14ac:dyDescent="0.35">
      <c r="A482">
        <v>357</v>
      </c>
      <c r="B482">
        <v>2023</v>
      </c>
      <c r="C482" t="s">
        <v>16</v>
      </c>
      <c r="D482" t="s">
        <v>2885</v>
      </c>
    </row>
    <row r="483" spans="1:4" x14ac:dyDescent="0.35">
      <c r="A483">
        <v>358</v>
      </c>
      <c r="B483">
        <v>2022</v>
      </c>
      <c r="C483" t="s">
        <v>16</v>
      </c>
      <c r="D483" t="s">
        <v>2885</v>
      </c>
    </row>
    <row r="484" spans="1:4" x14ac:dyDescent="0.35">
      <c r="A484">
        <v>359</v>
      </c>
      <c r="B484">
        <v>2018</v>
      </c>
      <c r="C484" t="s">
        <v>189</v>
      </c>
      <c r="D484" t="s">
        <v>2908</v>
      </c>
    </row>
    <row r="485" spans="1:4" x14ac:dyDescent="0.35">
      <c r="A485">
        <v>359</v>
      </c>
      <c r="B485">
        <v>2018</v>
      </c>
      <c r="C485" t="s">
        <v>16</v>
      </c>
      <c r="D485" t="s">
        <v>2885</v>
      </c>
    </row>
    <row r="486" spans="1:4" x14ac:dyDescent="0.35">
      <c r="A486">
        <v>360</v>
      </c>
      <c r="B486">
        <v>2015</v>
      </c>
      <c r="C486" t="s">
        <v>19</v>
      </c>
      <c r="D486" t="s">
        <v>2863</v>
      </c>
    </row>
    <row r="487" spans="1:4" x14ac:dyDescent="0.35">
      <c r="A487">
        <v>360</v>
      </c>
      <c r="B487">
        <v>2015</v>
      </c>
      <c r="C487" t="s">
        <v>261</v>
      </c>
      <c r="D487" t="s">
        <v>2885</v>
      </c>
    </row>
    <row r="488" spans="1:4" x14ac:dyDescent="0.35">
      <c r="A488">
        <v>361</v>
      </c>
      <c r="B488">
        <v>2014</v>
      </c>
      <c r="C488" t="s">
        <v>231</v>
      </c>
      <c r="D488" t="s">
        <v>2908</v>
      </c>
    </row>
    <row r="489" spans="1:4" x14ac:dyDescent="0.35">
      <c r="A489">
        <v>362</v>
      </c>
      <c r="B489">
        <v>2020</v>
      </c>
      <c r="C489" t="s">
        <v>157</v>
      </c>
      <c r="D489" t="s">
        <v>2908</v>
      </c>
    </row>
    <row r="490" spans="1:4" x14ac:dyDescent="0.35">
      <c r="A490">
        <v>363</v>
      </c>
      <c r="B490">
        <v>2014</v>
      </c>
      <c r="C490" t="s">
        <v>3765</v>
      </c>
      <c r="D490" t="s">
        <v>3765</v>
      </c>
    </row>
    <row r="491" spans="1:4" x14ac:dyDescent="0.35">
      <c r="A491">
        <v>364</v>
      </c>
      <c r="B491">
        <v>2021</v>
      </c>
      <c r="C491" t="s">
        <v>157</v>
      </c>
      <c r="D491" t="s">
        <v>2908</v>
      </c>
    </row>
    <row r="492" spans="1:4" x14ac:dyDescent="0.35">
      <c r="A492">
        <v>365</v>
      </c>
      <c r="B492">
        <v>2017</v>
      </c>
      <c r="C492" t="s">
        <v>3765</v>
      </c>
      <c r="D492" t="s">
        <v>3765</v>
      </c>
    </row>
    <row r="493" spans="1:4" x14ac:dyDescent="0.35">
      <c r="A493">
        <v>366</v>
      </c>
      <c r="B493">
        <v>2023</v>
      </c>
      <c r="C493" t="s">
        <v>5</v>
      </c>
      <c r="D493" t="s">
        <v>2908</v>
      </c>
    </row>
    <row r="494" spans="1:4" x14ac:dyDescent="0.35">
      <c r="A494">
        <v>368</v>
      </c>
      <c r="B494">
        <v>2023</v>
      </c>
      <c r="C494" t="s">
        <v>5</v>
      </c>
      <c r="D494" t="s">
        <v>2908</v>
      </c>
    </row>
    <row r="495" spans="1:4" x14ac:dyDescent="0.35">
      <c r="A495">
        <v>369</v>
      </c>
      <c r="B495">
        <v>2022</v>
      </c>
      <c r="C495" t="s">
        <v>16</v>
      </c>
      <c r="D495" t="s">
        <v>2885</v>
      </c>
    </row>
    <row r="496" spans="1:4" x14ac:dyDescent="0.35">
      <c r="A496">
        <v>370</v>
      </c>
      <c r="B496">
        <v>2023</v>
      </c>
      <c r="C496" t="s">
        <v>3765</v>
      </c>
      <c r="D496" t="s">
        <v>3765</v>
      </c>
    </row>
    <row r="497" spans="1:4" x14ac:dyDescent="0.35">
      <c r="A497">
        <v>371</v>
      </c>
      <c r="B497">
        <v>2022</v>
      </c>
      <c r="C497" t="s">
        <v>101</v>
      </c>
      <c r="D497" t="s">
        <v>2908</v>
      </c>
    </row>
    <row r="498" spans="1:4" x14ac:dyDescent="0.35">
      <c r="A498">
        <v>371</v>
      </c>
      <c r="B498">
        <v>2022</v>
      </c>
      <c r="C498" t="s">
        <v>93</v>
      </c>
      <c r="D498" t="s">
        <v>2865</v>
      </c>
    </row>
    <row r="499" spans="1:4" x14ac:dyDescent="0.35">
      <c r="A499">
        <v>372</v>
      </c>
      <c r="B499">
        <v>2017</v>
      </c>
      <c r="C499" t="s">
        <v>35</v>
      </c>
      <c r="D499" t="s">
        <v>2874</v>
      </c>
    </row>
    <row r="500" spans="1:4" x14ac:dyDescent="0.35">
      <c r="A500">
        <v>372</v>
      </c>
      <c r="B500">
        <v>2017</v>
      </c>
      <c r="C500" t="s">
        <v>189</v>
      </c>
      <c r="D500" t="s">
        <v>2908</v>
      </c>
    </row>
    <row r="501" spans="1:4" x14ac:dyDescent="0.35">
      <c r="A501">
        <v>372</v>
      </c>
      <c r="B501">
        <v>2017</v>
      </c>
      <c r="C501" t="s">
        <v>3770</v>
      </c>
      <c r="D501" t="s">
        <v>3770</v>
      </c>
    </row>
    <row r="502" spans="1:4" x14ac:dyDescent="0.35">
      <c r="A502">
        <v>373</v>
      </c>
      <c r="B502">
        <v>2023</v>
      </c>
      <c r="C502" t="s">
        <v>189</v>
      </c>
      <c r="D502" t="s">
        <v>2908</v>
      </c>
    </row>
    <row r="503" spans="1:4" x14ac:dyDescent="0.35">
      <c r="A503">
        <v>373</v>
      </c>
      <c r="B503">
        <v>2023</v>
      </c>
      <c r="C503" t="s">
        <v>56</v>
      </c>
      <c r="D503" t="s">
        <v>2874</v>
      </c>
    </row>
    <row r="504" spans="1:4" x14ac:dyDescent="0.35">
      <c r="A504">
        <v>374</v>
      </c>
      <c r="B504">
        <v>2017</v>
      </c>
      <c r="C504" t="s">
        <v>231</v>
      </c>
      <c r="D504" t="s">
        <v>2908</v>
      </c>
    </row>
    <row r="505" spans="1:4" x14ac:dyDescent="0.35">
      <c r="A505">
        <v>375</v>
      </c>
      <c r="B505">
        <v>2022</v>
      </c>
      <c r="C505" t="s">
        <v>189</v>
      </c>
      <c r="D505" t="s">
        <v>2908</v>
      </c>
    </row>
    <row r="506" spans="1:4" x14ac:dyDescent="0.35">
      <c r="A506">
        <v>376</v>
      </c>
      <c r="B506">
        <v>2022</v>
      </c>
      <c r="C506" t="s">
        <v>231</v>
      </c>
      <c r="D506" t="s">
        <v>2908</v>
      </c>
    </row>
    <row r="507" spans="1:4" x14ac:dyDescent="0.35">
      <c r="A507">
        <v>377</v>
      </c>
      <c r="B507">
        <v>2017</v>
      </c>
      <c r="C507" t="s">
        <v>3765</v>
      </c>
      <c r="D507" t="s">
        <v>3765</v>
      </c>
    </row>
    <row r="508" spans="1:4" x14ac:dyDescent="0.35">
      <c r="A508">
        <v>378</v>
      </c>
      <c r="B508">
        <v>2017</v>
      </c>
      <c r="C508" t="s">
        <v>3770</v>
      </c>
      <c r="D508" t="s">
        <v>3770</v>
      </c>
    </row>
    <row r="509" spans="1:4" x14ac:dyDescent="0.35">
      <c r="A509">
        <v>378</v>
      </c>
      <c r="B509">
        <v>2017</v>
      </c>
      <c r="C509" t="s">
        <v>341</v>
      </c>
      <c r="D509" t="s">
        <v>2940</v>
      </c>
    </row>
    <row r="510" spans="1:4" x14ac:dyDescent="0.35">
      <c r="A510">
        <v>378</v>
      </c>
      <c r="B510">
        <v>2017</v>
      </c>
      <c r="C510" t="s">
        <v>93</v>
      </c>
      <c r="D510" t="s">
        <v>2865</v>
      </c>
    </row>
    <row r="511" spans="1:4" x14ac:dyDescent="0.35">
      <c r="A511">
        <v>378</v>
      </c>
      <c r="B511">
        <v>2017</v>
      </c>
      <c r="C511" t="s">
        <v>98</v>
      </c>
      <c r="D511" t="s">
        <v>2874</v>
      </c>
    </row>
    <row r="512" spans="1:4" x14ac:dyDescent="0.35">
      <c r="A512">
        <v>379</v>
      </c>
      <c r="B512">
        <v>2020</v>
      </c>
      <c r="C512" t="s">
        <v>3765</v>
      </c>
      <c r="D512" t="s">
        <v>3765</v>
      </c>
    </row>
    <row r="513" spans="1:4" x14ac:dyDescent="0.35">
      <c r="A513">
        <v>380</v>
      </c>
      <c r="B513">
        <v>2018</v>
      </c>
      <c r="C513" t="s">
        <v>3765</v>
      </c>
      <c r="D513" t="s">
        <v>3765</v>
      </c>
    </row>
    <row r="514" spans="1:4" x14ac:dyDescent="0.35">
      <c r="A514">
        <v>381</v>
      </c>
      <c r="B514">
        <v>2015</v>
      </c>
      <c r="C514" t="s">
        <v>19</v>
      </c>
      <c r="D514" t="s">
        <v>2863</v>
      </c>
    </row>
    <row r="515" spans="1:4" x14ac:dyDescent="0.35">
      <c r="A515">
        <v>382</v>
      </c>
      <c r="B515">
        <v>2022</v>
      </c>
      <c r="C515" t="s">
        <v>45</v>
      </c>
      <c r="D515" t="s">
        <v>2908</v>
      </c>
    </row>
    <row r="516" spans="1:4" x14ac:dyDescent="0.35">
      <c r="A516">
        <v>382</v>
      </c>
      <c r="B516">
        <v>2022</v>
      </c>
      <c r="C516" t="s">
        <v>3769</v>
      </c>
      <c r="D516" t="s">
        <v>3769</v>
      </c>
    </row>
    <row r="517" spans="1:4" x14ac:dyDescent="0.35">
      <c r="A517">
        <v>383</v>
      </c>
      <c r="B517">
        <v>2016</v>
      </c>
      <c r="C517" t="s">
        <v>72</v>
      </c>
      <c r="D517" t="s">
        <v>2885</v>
      </c>
    </row>
    <row r="518" spans="1:4" x14ac:dyDescent="0.35">
      <c r="A518">
        <v>384</v>
      </c>
      <c r="B518">
        <v>2020</v>
      </c>
      <c r="C518" t="s">
        <v>72</v>
      </c>
      <c r="D518" t="s">
        <v>2885</v>
      </c>
    </row>
    <row r="519" spans="1:4" x14ac:dyDescent="0.35">
      <c r="A519">
        <v>385</v>
      </c>
      <c r="B519">
        <v>2020</v>
      </c>
      <c r="C519" t="s">
        <v>45</v>
      </c>
      <c r="D519" t="s">
        <v>2908</v>
      </c>
    </row>
    <row r="520" spans="1:4" x14ac:dyDescent="0.35">
      <c r="A520">
        <v>385</v>
      </c>
      <c r="B520">
        <v>2020</v>
      </c>
      <c r="C520" t="s">
        <v>261</v>
      </c>
      <c r="D520" t="s">
        <v>2885</v>
      </c>
    </row>
    <row r="521" spans="1:4" x14ac:dyDescent="0.35">
      <c r="A521">
        <v>386</v>
      </c>
      <c r="B521">
        <v>2020</v>
      </c>
      <c r="C521" t="s">
        <v>3765</v>
      </c>
      <c r="D521" t="s">
        <v>3765</v>
      </c>
    </row>
    <row r="522" spans="1:4" x14ac:dyDescent="0.35">
      <c r="A522">
        <v>387</v>
      </c>
      <c r="B522">
        <v>2021</v>
      </c>
      <c r="C522" t="s">
        <v>90</v>
      </c>
      <c r="D522" t="s">
        <v>2874</v>
      </c>
    </row>
    <row r="523" spans="1:4" x14ac:dyDescent="0.35">
      <c r="A523">
        <v>388</v>
      </c>
      <c r="B523">
        <v>2014</v>
      </c>
      <c r="C523" t="s">
        <v>3765</v>
      </c>
      <c r="D523" t="s">
        <v>3765</v>
      </c>
    </row>
    <row r="524" spans="1:4" x14ac:dyDescent="0.35">
      <c r="A524">
        <v>389</v>
      </c>
      <c r="B524">
        <v>2019</v>
      </c>
      <c r="C524" t="s">
        <v>56</v>
      </c>
      <c r="D524" t="s">
        <v>2874</v>
      </c>
    </row>
    <row r="525" spans="1:4" x14ac:dyDescent="0.35">
      <c r="A525">
        <v>390</v>
      </c>
      <c r="B525">
        <v>2020</v>
      </c>
      <c r="C525" t="s">
        <v>189</v>
      </c>
      <c r="D525" t="s">
        <v>2908</v>
      </c>
    </row>
    <row r="526" spans="1:4" x14ac:dyDescent="0.35">
      <c r="A526">
        <v>391</v>
      </c>
      <c r="B526">
        <v>2022</v>
      </c>
      <c r="C526" t="s">
        <v>189</v>
      </c>
      <c r="D526" t="s">
        <v>2908</v>
      </c>
    </row>
    <row r="527" spans="1:4" x14ac:dyDescent="0.35">
      <c r="A527">
        <v>392</v>
      </c>
      <c r="B527">
        <v>2018</v>
      </c>
      <c r="C527" t="s">
        <v>19</v>
      </c>
      <c r="D527" t="s">
        <v>2863</v>
      </c>
    </row>
    <row r="528" spans="1:4" x14ac:dyDescent="0.35">
      <c r="A528">
        <v>393</v>
      </c>
      <c r="B528">
        <v>2015</v>
      </c>
      <c r="C528" t="s">
        <v>157</v>
      </c>
      <c r="D528" t="s">
        <v>2908</v>
      </c>
    </row>
    <row r="529" spans="1:4" x14ac:dyDescent="0.35">
      <c r="A529">
        <v>393</v>
      </c>
      <c r="B529">
        <v>2015</v>
      </c>
      <c r="C529" t="s">
        <v>93</v>
      </c>
      <c r="D529" t="s">
        <v>2865</v>
      </c>
    </row>
    <row r="530" spans="1:4" x14ac:dyDescent="0.35">
      <c r="A530">
        <v>393</v>
      </c>
      <c r="B530">
        <v>2015</v>
      </c>
      <c r="C530" t="s">
        <v>90</v>
      </c>
      <c r="D530" t="s">
        <v>2874</v>
      </c>
    </row>
    <row r="531" spans="1:4" x14ac:dyDescent="0.35">
      <c r="A531">
        <v>394</v>
      </c>
      <c r="B531">
        <v>2022</v>
      </c>
      <c r="C531" t="s">
        <v>189</v>
      </c>
      <c r="D531" t="s">
        <v>2908</v>
      </c>
    </row>
    <row r="532" spans="1:4" x14ac:dyDescent="0.35">
      <c r="A532">
        <v>395</v>
      </c>
      <c r="B532">
        <v>2021</v>
      </c>
      <c r="C532" t="s">
        <v>231</v>
      </c>
      <c r="D532" t="s">
        <v>2908</v>
      </c>
    </row>
    <row r="533" spans="1:4" x14ac:dyDescent="0.35">
      <c r="A533">
        <v>396</v>
      </c>
      <c r="B533">
        <v>2017</v>
      </c>
      <c r="C533" t="s">
        <v>157</v>
      </c>
      <c r="D533" t="s">
        <v>2908</v>
      </c>
    </row>
    <row r="534" spans="1:4" x14ac:dyDescent="0.35">
      <c r="A534">
        <v>397</v>
      </c>
      <c r="B534">
        <v>2020</v>
      </c>
      <c r="C534" t="s">
        <v>72</v>
      </c>
      <c r="D534" t="s">
        <v>2885</v>
      </c>
    </row>
    <row r="535" spans="1:4" x14ac:dyDescent="0.35">
      <c r="A535">
        <v>397</v>
      </c>
      <c r="B535">
        <v>2020</v>
      </c>
      <c r="C535" t="s">
        <v>3766</v>
      </c>
      <c r="D535" t="s">
        <v>3766</v>
      </c>
    </row>
    <row r="536" spans="1:4" x14ac:dyDescent="0.35">
      <c r="A536">
        <v>398</v>
      </c>
      <c r="B536">
        <v>2017</v>
      </c>
      <c r="C536" t="s">
        <v>3765</v>
      </c>
      <c r="D536" t="s">
        <v>3765</v>
      </c>
    </row>
    <row r="537" spans="1:4" x14ac:dyDescent="0.35">
      <c r="A537">
        <v>399</v>
      </c>
      <c r="B537">
        <v>2015</v>
      </c>
      <c r="C537" t="s">
        <v>3765</v>
      </c>
      <c r="D537" t="s">
        <v>3765</v>
      </c>
    </row>
    <row r="538" spans="1:4" x14ac:dyDescent="0.35">
      <c r="A538">
        <v>400</v>
      </c>
      <c r="B538">
        <v>2014</v>
      </c>
      <c r="C538" t="s">
        <v>261</v>
      </c>
      <c r="D538" t="s">
        <v>2885</v>
      </c>
    </row>
    <row r="539" spans="1:4" x14ac:dyDescent="0.35">
      <c r="A539">
        <v>401</v>
      </c>
      <c r="B539">
        <v>2020</v>
      </c>
      <c r="C539" t="s">
        <v>3765</v>
      </c>
      <c r="D539" t="s">
        <v>3765</v>
      </c>
    </row>
    <row r="540" spans="1:4" x14ac:dyDescent="0.35">
      <c r="A540">
        <v>402</v>
      </c>
      <c r="B540">
        <v>2019</v>
      </c>
      <c r="C540" t="s">
        <v>231</v>
      </c>
      <c r="D540" t="s">
        <v>2908</v>
      </c>
    </row>
    <row r="541" spans="1:4" x14ac:dyDescent="0.35">
      <c r="A541">
        <v>403</v>
      </c>
      <c r="B541">
        <v>2022</v>
      </c>
      <c r="C541" t="s">
        <v>153</v>
      </c>
      <c r="D541" t="s">
        <v>3768</v>
      </c>
    </row>
    <row r="542" spans="1:4" x14ac:dyDescent="0.35">
      <c r="A542">
        <v>404</v>
      </c>
      <c r="B542">
        <v>2021</v>
      </c>
      <c r="C542" t="s">
        <v>48</v>
      </c>
      <c r="D542" t="s">
        <v>3767</v>
      </c>
    </row>
    <row r="543" spans="1:4" x14ac:dyDescent="0.35">
      <c r="A543">
        <v>405</v>
      </c>
      <c r="B543">
        <v>2016</v>
      </c>
      <c r="C543" t="s">
        <v>231</v>
      </c>
      <c r="D543" t="s">
        <v>2908</v>
      </c>
    </row>
    <row r="544" spans="1:4" x14ac:dyDescent="0.35">
      <c r="A544">
        <v>406</v>
      </c>
      <c r="B544">
        <v>2021</v>
      </c>
      <c r="C544" t="s">
        <v>25</v>
      </c>
      <c r="D544" t="s">
        <v>2893</v>
      </c>
    </row>
    <row r="545" spans="1:4" x14ac:dyDescent="0.35">
      <c r="A545">
        <v>407</v>
      </c>
      <c r="B545">
        <v>2020</v>
      </c>
      <c r="C545" t="s">
        <v>231</v>
      </c>
      <c r="D545" t="s">
        <v>2908</v>
      </c>
    </row>
    <row r="546" spans="1:4" x14ac:dyDescent="0.35">
      <c r="A546">
        <v>407</v>
      </c>
      <c r="B546">
        <v>2020</v>
      </c>
      <c r="C546" t="s">
        <v>93</v>
      </c>
      <c r="D546" t="s">
        <v>2865</v>
      </c>
    </row>
    <row r="547" spans="1:4" x14ac:dyDescent="0.35">
      <c r="A547">
        <v>408</v>
      </c>
      <c r="B547">
        <v>2023</v>
      </c>
      <c r="C547" t="s">
        <v>35</v>
      </c>
      <c r="D547" t="s">
        <v>2874</v>
      </c>
    </row>
    <row r="548" spans="1:4" x14ac:dyDescent="0.35">
      <c r="A548">
        <v>408</v>
      </c>
      <c r="B548">
        <v>2023</v>
      </c>
      <c r="C548" t="s">
        <v>98</v>
      </c>
      <c r="D548" t="s">
        <v>2874</v>
      </c>
    </row>
    <row r="549" spans="1:4" x14ac:dyDescent="0.35">
      <c r="A549">
        <v>408</v>
      </c>
      <c r="B549">
        <v>2023</v>
      </c>
      <c r="C549" t="s">
        <v>19</v>
      </c>
      <c r="D549" t="s">
        <v>2863</v>
      </c>
    </row>
    <row r="550" spans="1:4" x14ac:dyDescent="0.35">
      <c r="A550">
        <v>408</v>
      </c>
      <c r="B550">
        <v>2023</v>
      </c>
      <c r="C550" t="s">
        <v>189</v>
      </c>
      <c r="D550" t="s">
        <v>2908</v>
      </c>
    </row>
    <row r="551" spans="1:4" x14ac:dyDescent="0.35">
      <c r="A551">
        <v>409</v>
      </c>
      <c r="B551">
        <v>2018</v>
      </c>
      <c r="C551" t="s">
        <v>35</v>
      </c>
      <c r="D551" t="s">
        <v>2874</v>
      </c>
    </row>
    <row r="552" spans="1:4" x14ac:dyDescent="0.35">
      <c r="A552">
        <v>410</v>
      </c>
      <c r="B552">
        <v>2022</v>
      </c>
      <c r="C552" t="s">
        <v>19</v>
      </c>
      <c r="D552" t="s">
        <v>2863</v>
      </c>
    </row>
    <row r="553" spans="1:4" x14ac:dyDescent="0.35">
      <c r="A553">
        <v>411</v>
      </c>
      <c r="B553">
        <v>2019</v>
      </c>
      <c r="C553" t="s">
        <v>3770</v>
      </c>
      <c r="D553" t="s">
        <v>3770</v>
      </c>
    </row>
    <row r="554" spans="1:4" x14ac:dyDescent="0.35">
      <c r="A554">
        <v>411</v>
      </c>
      <c r="B554">
        <v>2019</v>
      </c>
      <c r="C554" t="s">
        <v>35</v>
      </c>
      <c r="D554" t="s">
        <v>2874</v>
      </c>
    </row>
    <row r="555" spans="1:4" x14ac:dyDescent="0.35">
      <c r="A555">
        <v>411</v>
      </c>
      <c r="B555">
        <v>2019</v>
      </c>
      <c r="C555" t="s">
        <v>19</v>
      </c>
      <c r="D555" t="s">
        <v>2863</v>
      </c>
    </row>
    <row r="556" spans="1:4" x14ac:dyDescent="0.35">
      <c r="A556">
        <v>412</v>
      </c>
      <c r="B556">
        <v>2017</v>
      </c>
      <c r="C556" t="s">
        <v>3765</v>
      </c>
      <c r="D556" t="s">
        <v>3765</v>
      </c>
    </row>
    <row r="557" spans="1:4" x14ac:dyDescent="0.35">
      <c r="A557">
        <v>413</v>
      </c>
      <c r="B557">
        <v>2022</v>
      </c>
      <c r="C557" t="s">
        <v>3765</v>
      </c>
      <c r="D557" t="s">
        <v>3765</v>
      </c>
    </row>
    <row r="558" spans="1:4" x14ac:dyDescent="0.35">
      <c r="A558">
        <v>414</v>
      </c>
      <c r="B558">
        <v>2015</v>
      </c>
      <c r="C558" t="s">
        <v>93</v>
      </c>
      <c r="D558" t="s">
        <v>2865</v>
      </c>
    </row>
    <row r="559" spans="1:4" x14ac:dyDescent="0.35">
      <c r="A559">
        <v>414</v>
      </c>
      <c r="B559">
        <v>2015</v>
      </c>
      <c r="C559" t="s">
        <v>517</v>
      </c>
      <c r="D559" t="s">
        <v>2874</v>
      </c>
    </row>
    <row r="560" spans="1:4" x14ac:dyDescent="0.35">
      <c r="A560">
        <v>415</v>
      </c>
      <c r="B560">
        <v>2018</v>
      </c>
      <c r="C560" t="s">
        <v>16</v>
      </c>
      <c r="D560" t="s">
        <v>2885</v>
      </c>
    </row>
    <row r="561" spans="1:4" x14ac:dyDescent="0.35">
      <c r="A561">
        <v>416</v>
      </c>
      <c r="B561">
        <v>2020</v>
      </c>
      <c r="C561" t="s">
        <v>72</v>
      </c>
      <c r="D561" t="s">
        <v>2885</v>
      </c>
    </row>
    <row r="562" spans="1:4" x14ac:dyDescent="0.35">
      <c r="A562">
        <v>416</v>
      </c>
      <c r="B562">
        <v>2020</v>
      </c>
      <c r="C562" t="s">
        <v>48</v>
      </c>
      <c r="D562" t="s">
        <v>3767</v>
      </c>
    </row>
    <row r="563" spans="1:4" x14ac:dyDescent="0.35">
      <c r="A563">
        <v>417</v>
      </c>
      <c r="B563">
        <v>2017</v>
      </c>
      <c r="C563" t="s">
        <v>3770</v>
      </c>
      <c r="D563" t="s">
        <v>3770</v>
      </c>
    </row>
    <row r="564" spans="1:4" x14ac:dyDescent="0.35">
      <c r="A564">
        <v>418</v>
      </c>
      <c r="B564">
        <v>2019</v>
      </c>
      <c r="C564" t="s">
        <v>72</v>
      </c>
      <c r="D564" t="s">
        <v>2885</v>
      </c>
    </row>
    <row r="565" spans="1:4" x14ac:dyDescent="0.35">
      <c r="A565">
        <v>419</v>
      </c>
      <c r="B565">
        <v>2019</v>
      </c>
      <c r="C565" t="s">
        <v>3765</v>
      </c>
      <c r="D565" t="s">
        <v>3765</v>
      </c>
    </row>
    <row r="566" spans="1:4" x14ac:dyDescent="0.35">
      <c r="A566">
        <v>420</v>
      </c>
      <c r="B566">
        <v>2019</v>
      </c>
      <c r="C566" t="s">
        <v>19</v>
      </c>
      <c r="D566" t="s">
        <v>2863</v>
      </c>
    </row>
    <row r="567" spans="1:4" x14ac:dyDescent="0.35">
      <c r="A567">
        <v>421</v>
      </c>
      <c r="B567">
        <v>2017</v>
      </c>
      <c r="C567" t="s">
        <v>72</v>
      </c>
      <c r="D567" t="s">
        <v>2885</v>
      </c>
    </row>
    <row r="568" spans="1:4" x14ac:dyDescent="0.35">
      <c r="A568">
        <v>422</v>
      </c>
      <c r="B568">
        <v>2016</v>
      </c>
      <c r="C568" t="s">
        <v>72</v>
      </c>
      <c r="D568" t="s">
        <v>2885</v>
      </c>
    </row>
    <row r="569" spans="1:4" x14ac:dyDescent="0.35">
      <c r="A569">
        <v>423</v>
      </c>
      <c r="B569">
        <v>2015</v>
      </c>
      <c r="C569" t="s">
        <v>72</v>
      </c>
      <c r="D569" t="s">
        <v>2885</v>
      </c>
    </row>
    <row r="570" spans="1:4" x14ac:dyDescent="0.35">
      <c r="A570">
        <v>423</v>
      </c>
      <c r="B570">
        <v>2015</v>
      </c>
      <c r="C570" t="s">
        <v>35</v>
      </c>
      <c r="D570" t="s">
        <v>2874</v>
      </c>
    </row>
    <row r="571" spans="1:4" x14ac:dyDescent="0.35">
      <c r="A571">
        <v>424</v>
      </c>
      <c r="B571">
        <v>2023</v>
      </c>
      <c r="C571" t="s">
        <v>25</v>
      </c>
      <c r="D571" t="s">
        <v>2893</v>
      </c>
    </row>
    <row r="572" spans="1:4" x14ac:dyDescent="0.35">
      <c r="A572">
        <v>425</v>
      </c>
      <c r="B572">
        <v>2015</v>
      </c>
      <c r="C572" t="s">
        <v>19</v>
      </c>
      <c r="D572" t="s">
        <v>2863</v>
      </c>
    </row>
    <row r="573" spans="1:4" x14ac:dyDescent="0.35">
      <c r="A573">
        <v>426</v>
      </c>
      <c r="B573">
        <v>2016</v>
      </c>
      <c r="C573" t="s">
        <v>101</v>
      </c>
      <c r="D573" t="s">
        <v>2908</v>
      </c>
    </row>
    <row r="574" spans="1:4" x14ac:dyDescent="0.35">
      <c r="A574">
        <v>427</v>
      </c>
      <c r="B574">
        <v>2019</v>
      </c>
      <c r="C574" t="s">
        <v>3769</v>
      </c>
      <c r="D574" t="s">
        <v>3769</v>
      </c>
    </row>
    <row r="575" spans="1:4" x14ac:dyDescent="0.35">
      <c r="A575">
        <v>427</v>
      </c>
      <c r="B575">
        <v>2019</v>
      </c>
      <c r="C575" t="s">
        <v>72</v>
      </c>
      <c r="D575" t="s">
        <v>2885</v>
      </c>
    </row>
    <row r="576" spans="1:4" x14ac:dyDescent="0.35">
      <c r="A576">
        <v>428</v>
      </c>
      <c r="B576">
        <v>2015</v>
      </c>
      <c r="C576" t="s">
        <v>19</v>
      </c>
      <c r="D576" t="s">
        <v>2863</v>
      </c>
    </row>
    <row r="577" spans="1:4" x14ac:dyDescent="0.35">
      <c r="A577">
        <v>429</v>
      </c>
      <c r="B577">
        <v>2023</v>
      </c>
      <c r="C577" t="s">
        <v>72</v>
      </c>
      <c r="D577" t="s">
        <v>2885</v>
      </c>
    </row>
    <row r="578" spans="1:4" x14ac:dyDescent="0.35">
      <c r="A578">
        <v>430</v>
      </c>
      <c r="B578">
        <v>2020</v>
      </c>
      <c r="C578" t="s">
        <v>3765</v>
      </c>
      <c r="D578" t="s">
        <v>3765</v>
      </c>
    </row>
    <row r="579" spans="1:4" x14ac:dyDescent="0.35">
      <c r="A579">
        <v>431</v>
      </c>
      <c r="B579">
        <v>2021</v>
      </c>
      <c r="C579" t="s">
        <v>231</v>
      </c>
      <c r="D579" t="s">
        <v>2908</v>
      </c>
    </row>
    <row r="580" spans="1:4" x14ac:dyDescent="0.35">
      <c r="A580">
        <v>432</v>
      </c>
      <c r="B580">
        <v>2018</v>
      </c>
      <c r="C580" t="s">
        <v>231</v>
      </c>
      <c r="D580" t="s">
        <v>2908</v>
      </c>
    </row>
    <row r="581" spans="1:4" x14ac:dyDescent="0.35">
      <c r="A581">
        <v>433</v>
      </c>
      <c r="B581">
        <v>2021</v>
      </c>
      <c r="C581" t="s">
        <v>16</v>
      </c>
      <c r="D581" t="s">
        <v>2885</v>
      </c>
    </row>
    <row r="582" spans="1:4" x14ac:dyDescent="0.35">
      <c r="A582">
        <v>433</v>
      </c>
      <c r="B582">
        <v>2021</v>
      </c>
      <c r="C582" t="s">
        <v>72</v>
      </c>
      <c r="D582" t="s">
        <v>2885</v>
      </c>
    </row>
    <row r="583" spans="1:4" x14ac:dyDescent="0.35">
      <c r="A583">
        <v>434</v>
      </c>
      <c r="B583">
        <v>2019</v>
      </c>
      <c r="C583" t="s">
        <v>157</v>
      </c>
      <c r="D583" t="s">
        <v>2908</v>
      </c>
    </row>
    <row r="584" spans="1:4" x14ac:dyDescent="0.35">
      <c r="A584">
        <v>435</v>
      </c>
      <c r="B584">
        <v>2017</v>
      </c>
      <c r="C584" t="s">
        <v>25</v>
      </c>
      <c r="D584" t="s">
        <v>2893</v>
      </c>
    </row>
    <row r="585" spans="1:4" x14ac:dyDescent="0.35">
      <c r="A585">
        <v>436</v>
      </c>
      <c r="B585">
        <v>2023</v>
      </c>
      <c r="C585" t="s">
        <v>3765</v>
      </c>
      <c r="D585" t="s">
        <v>3765</v>
      </c>
    </row>
    <row r="586" spans="1:4" x14ac:dyDescent="0.35">
      <c r="A586">
        <v>437</v>
      </c>
      <c r="B586">
        <v>2015</v>
      </c>
      <c r="C586" t="s">
        <v>72</v>
      </c>
      <c r="D586" t="s">
        <v>2885</v>
      </c>
    </row>
    <row r="587" spans="1:4" x14ac:dyDescent="0.35">
      <c r="A587">
        <v>438</v>
      </c>
      <c r="B587">
        <v>2022</v>
      </c>
      <c r="C587" t="s">
        <v>72</v>
      </c>
      <c r="D587" t="s">
        <v>2885</v>
      </c>
    </row>
    <row r="588" spans="1:4" x14ac:dyDescent="0.35">
      <c r="A588">
        <v>439</v>
      </c>
      <c r="B588">
        <v>2018</v>
      </c>
      <c r="C588" t="s">
        <v>517</v>
      </c>
      <c r="D588" t="s">
        <v>2874</v>
      </c>
    </row>
    <row r="589" spans="1:4" x14ac:dyDescent="0.35">
      <c r="A589">
        <v>439</v>
      </c>
      <c r="B589">
        <v>2018</v>
      </c>
      <c r="C589" t="s">
        <v>48</v>
      </c>
      <c r="D589" t="s">
        <v>3767</v>
      </c>
    </row>
    <row r="590" spans="1:4" x14ac:dyDescent="0.35">
      <c r="A590">
        <v>440</v>
      </c>
      <c r="B590">
        <v>2021</v>
      </c>
      <c r="C590" t="s">
        <v>245</v>
      </c>
      <c r="D590" t="s">
        <v>2893</v>
      </c>
    </row>
    <row r="591" spans="1:4" x14ac:dyDescent="0.35">
      <c r="A591">
        <v>440</v>
      </c>
      <c r="B591">
        <v>2021</v>
      </c>
      <c r="C591" t="s">
        <v>231</v>
      </c>
      <c r="D591" t="s">
        <v>2908</v>
      </c>
    </row>
    <row r="592" spans="1:4" x14ac:dyDescent="0.35">
      <c r="A592">
        <v>441</v>
      </c>
      <c r="B592">
        <v>2021</v>
      </c>
      <c r="C592" t="s">
        <v>72</v>
      </c>
      <c r="D592" t="s">
        <v>2885</v>
      </c>
    </row>
    <row r="593" spans="1:4" x14ac:dyDescent="0.35">
      <c r="A593">
        <v>441</v>
      </c>
      <c r="B593">
        <v>2021</v>
      </c>
      <c r="C593" t="s">
        <v>2908</v>
      </c>
      <c r="D593" t="s">
        <v>2908</v>
      </c>
    </row>
    <row r="594" spans="1:4" x14ac:dyDescent="0.35">
      <c r="A594">
        <v>442</v>
      </c>
      <c r="B594">
        <v>2020</v>
      </c>
      <c r="C594" t="s">
        <v>16</v>
      </c>
      <c r="D594" t="s">
        <v>2885</v>
      </c>
    </row>
    <row r="595" spans="1:4" x14ac:dyDescent="0.35">
      <c r="A595">
        <v>443</v>
      </c>
      <c r="B595">
        <v>2017</v>
      </c>
      <c r="C595" t="s">
        <v>16</v>
      </c>
      <c r="D595" t="s">
        <v>2885</v>
      </c>
    </row>
    <row r="596" spans="1:4" x14ac:dyDescent="0.35">
      <c r="A596">
        <v>444</v>
      </c>
      <c r="B596">
        <v>2017</v>
      </c>
      <c r="C596" t="s">
        <v>72</v>
      </c>
      <c r="D596" t="s">
        <v>2885</v>
      </c>
    </row>
    <row r="597" spans="1:4" x14ac:dyDescent="0.35">
      <c r="A597">
        <v>445</v>
      </c>
      <c r="B597">
        <v>2019</v>
      </c>
      <c r="C597" t="s">
        <v>19</v>
      </c>
      <c r="D597" t="s">
        <v>2863</v>
      </c>
    </row>
    <row r="598" spans="1:4" x14ac:dyDescent="0.35">
      <c r="A598">
        <v>445</v>
      </c>
      <c r="B598">
        <v>2019</v>
      </c>
      <c r="C598" t="s">
        <v>72</v>
      </c>
      <c r="D598" t="s">
        <v>2885</v>
      </c>
    </row>
    <row r="599" spans="1:4" x14ac:dyDescent="0.35">
      <c r="A599">
        <v>446</v>
      </c>
      <c r="B599">
        <v>2014</v>
      </c>
      <c r="C599" t="s">
        <v>72</v>
      </c>
      <c r="D599" t="s">
        <v>2885</v>
      </c>
    </row>
    <row r="600" spans="1:4" x14ac:dyDescent="0.35">
      <c r="A600">
        <v>447</v>
      </c>
      <c r="B600">
        <v>2019</v>
      </c>
      <c r="C600" t="s">
        <v>3765</v>
      </c>
      <c r="D600" t="s">
        <v>3765</v>
      </c>
    </row>
    <row r="601" spans="1:4" x14ac:dyDescent="0.35">
      <c r="A601">
        <v>448</v>
      </c>
      <c r="B601">
        <v>2014</v>
      </c>
      <c r="C601" t="s">
        <v>261</v>
      </c>
      <c r="D601" t="s">
        <v>2885</v>
      </c>
    </row>
    <row r="602" spans="1:4" x14ac:dyDescent="0.35">
      <c r="A602">
        <v>449</v>
      </c>
      <c r="B602">
        <v>2023</v>
      </c>
      <c r="C602" t="s">
        <v>35</v>
      </c>
      <c r="D602" t="s">
        <v>2874</v>
      </c>
    </row>
    <row r="603" spans="1:4" x14ac:dyDescent="0.35">
      <c r="A603">
        <v>450</v>
      </c>
      <c r="B603">
        <v>2020</v>
      </c>
      <c r="C603" t="s">
        <v>157</v>
      </c>
      <c r="D603" t="s">
        <v>2908</v>
      </c>
    </row>
    <row r="604" spans="1:4" x14ac:dyDescent="0.35">
      <c r="A604">
        <v>451</v>
      </c>
      <c r="B604">
        <v>2022</v>
      </c>
      <c r="C604" t="s">
        <v>3765</v>
      </c>
      <c r="D604" t="s">
        <v>3765</v>
      </c>
    </row>
    <row r="605" spans="1:4" x14ac:dyDescent="0.35">
      <c r="A605">
        <v>452</v>
      </c>
      <c r="B605">
        <v>2022</v>
      </c>
      <c r="C605" t="s">
        <v>3765</v>
      </c>
      <c r="D605" t="s">
        <v>3765</v>
      </c>
    </row>
    <row r="606" spans="1:4" x14ac:dyDescent="0.35">
      <c r="A606">
        <v>453</v>
      </c>
      <c r="B606">
        <v>2019</v>
      </c>
      <c r="C606" t="s">
        <v>3765</v>
      </c>
      <c r="D606" t="s">
        <v>3765</v>
      </c>
    </row>
    <row r="607" spans="1:4" x14ac:dyDescent="0.35">
      <c r="A607">
        <v>454</v>
      </c>
      <c r="B607">
        <v>2014</v>
      </c>
      <c r="C607" t="s">
        <v>72</v>
      </c>
      <c r="D607" t="s">
        <v>2885</v>
      </c>
    </row>
    <row r="608" spans="1:4" x14ac:dyDescent="0.35">
      <c r="A608">
        <v>455</v>
      </c>
      <c r="B608">
        <v>2020</v>
      </c>
      <c r="C608" t="s">
        <v>5</v>
      </c>
      <c r="D608" t="s">
        <v>2908</v>
      </c>
    </row>
    <row r="609" spans="1:4" x14ac:dyDescent="0.35">
      <c r="A609">
        <v>456</v>
      </c>
      <c r="B609">
        <v>2017</v>
      </c>
      <c r="C609" t="s">
        <v>16</v>
      </c>
      <c r="D609" t="s">
        <v>2885</v>
      </c>
    </row>
    <row r="610" spans="1:4" x14ac:dyDescent="0.35">
      <c r="A610">
        <v>457</v>
      </c>
      <c r="B610">
        <v>2016</v>
      </c>
      <c r="C610" t="s">
        <v>48</v>
      </c>
      <c r="D610" t="s">
        <v>3767</v>
      </c>
    </row>
    <row r="611" spans="1:4" x14ac:dyDescent="0.35">
      <c r="A611">
        <v>458</v>
      </c>
      <c r="B611">
        <v>2015</v>
      </c>
      <c r="C611" t="s">
        <v>16</v>
      </c>
      <c r="D611" t="s">
        <v>2885</v>
      </c>
    </row>
    <row r="612" spans="1:4" x14ac:dyDescent="0.35">
      <c r="A612">
        <v>459</v>
      </c>
      <c r="B612">
        <v>2017</v>
      </c>
      <c r="C612" t="s">
        <v>157</v>
      </c>
      <c r="D612" t="s">
        <v>2908</v>
      </c>
    </row>
    <row r="613" spans="1:4" x14ac:dyDescent="0.35">
      <c r="A613">
        <v>460</v>
      </c>
      <c r="B613">
        <v>2017</v>
      </c>
      <c r="C613" t="s">
        <v>3770</v>
      </c>
      <c r="D613" t="s">
        <v>3770</v>
      </c>
    </row>
    <row r="614" spans="1:4" x14ac:dyDescent="0.35">
      <c r="A614">
        <v>461</v>
      </c>
      <c r="B614">
        <v>2015</v>
      </c>
      <c r="C614" t="s">
        <v>352</v>
      </c>
      <c r="D614" t="s">
        <v>3013</v>
      </c>
    </row>
    <row r="615" spans="1:4" x14ac:dyDescent="0.35">
      <c r="A615">
        <v>462</v>
      </c>
      <c r="B615">
        <v>2015</v>
      </c>
      <c r="C615" t="s">
        <v>19</v>
      </c>
      <c r="D615" t="s">
        <v>2863</v>
      </c>
    </row>
    <row r="616" spans="1:4" x14ac:dyDescent="0.35">
      <c r="A616">
        <v>463</v>
      </c>
      <c r="B616">
        <v>2022</v>
      </c>
      <c r="C616" t="s">
        <v>72</v>
      </c>
      <c r="D616" t="s">
        <v>2885</v>
      </c>
    </row>
    <row r="617" spans="1:4" x14ac:dyDescent="0.35">
      <c r="A617">
        <v>464</v>
      </c>
      <c r="B617">
        <v>2020</v>
      </c>
      <c r="C617" t="s">
        <v>3765</v>
      </c>
      <c r="D617" t="s">
        <v>3765</v>
      </c>
    </row>
    <row r="618" spans="1:4" x14ac:dyDescent="0.35">
      <c r="A618">
        <v>465</v>
      </c>
      <c r="B618">
        <v>2022</v>
      </c>
      <c r="C618" t="s">
        <v>72</v>
      </c>
      <c r="D618" t="s">
        <v>2885</v>
      </c>
    </row>
    <row r="619" spans="1:4" x14ac:dyDescent="0.35">
      <c r="A619">
        <v>466</v>
      </c>
      <c r="B619">
        <v>2018</v>
      </c>
      <c r="C619" t="s">
        <v>72</v>
      </c>
      <c r="D619" t="s">
        <v>2885</v>
      </c>
    </row>
    <row r="620" spans="1:4" x14ac:dyDescent="0.35">
      <c r="A620">
        <v>467</v>
      </c>
      <c r="B620">
        <v>2019</v>
      </c>
      <c r="C620" t="s">
        <v>45</v>
      </c>
      <c r="D620" t="s">
        <v>2908</v>
      </c>
    </row>
    <row r="621" spans="1:4" x14ac:dyDescent="0.35">
      <c r="A621">
        <v>468</v>
      </c>
      <c r="B621">
        <v>2022</v>
      </c>
      <c r="C621" t="s">
        <v>101</v>
      </c>
      <c r="D621" t="s">
        <v>2908</v>
      </c>
    </row>
    <row r="622" spans="1:4" x14ac:dyDescent="0.35">
      <c r="A622">
        <v>468</v>
      </c>
      <c r="B622">
        <v>2022</v>
      </c>
      <c r="C622" t="s">
        <v>19</v>
      </c>
      <c r="D622" t="s">
        <v>2863</v>
      </c>
    </row>
    <row r="623" spans="1:4" x14ac:dyDescent="0.35">
      <c r="A623">
        <v>469</v>
      </c>
      <c r="B623">
        <v>2021</v>
      </c>
      <c r="C623" t="s">
        <v>72</v>
      </c>
      <c r="D623" t="s">
        <v>2885</v>
      </c>
    </row>
    <row r="624" spans="1:4" x14ac:dyDescent="0.35">
      <c r="A624">
        <v>469</v>
      </c>
      <c r="B624">
        <v>2021</v>
      </c>
      <c r="C624" t="s">
        <v>3770</v>
      </c>
      <c r="D624" t="s">
        <v>3770</v>
      </c>
    </row>
    <row r="625" spans="1:4" x14ac:dyDescent="0.35">
      <c r="A625">
        <v>469</v>
      </c>
      <c r="B625">
        <v>2021</v>
      </c>
      <c r="C625" t="s">
        <v>93</v>
      </c>
      <c r="D625" t="s">
        <v>2865</v>
      </c>
    </row>
    <row r="626" spans="1:4" x14ac:dyDescent="0.35">
      <c r="A626">
        <v>469</v>
      </c>
      <c r="B626">
        <v>2021</v>
      </c>
      <c r="C626" t="s">
        <v>19</v>
      </c>
      <c r="D626" t="s">
        <v>2863</v>
      </c>
    </row>
    <row r="627" spans="1:4" x14ac:dyDescent="0.35">
      <c r="A627">
        <v>470</v>
      </c>
      <c r="B627">
        <v>2017</v>
      </c>
      <c r="C627" t="s">
        <v>16</v>
      </c>
      <c r="D627" t="s">
        <v>2885</v>
      </c>
    </row>
    <row r="628" spans="1:4" x14ac:dyDescent="0.35">
      <c r="A628">
        <v>471</v>
      </c>
      <c r="B628">
        <v>2015</v>
      </c>
      <c r="C628" t="s">
        <v>3765</v>
      </c>
      <c r="D628" t="s">
        <v>3765</v>
      </c>
    </row>
    <row r="629" spans="1:4" x14ac:dyDescent="0.35">
      <c r="A629">
        <v>472</v>
      </c>
      <c r="B629">
        <v>2022</v>
      </c>
      <c r="C629" t="s">
        <v>72</v>
      </c>
      <c r="D629" t="s">
        <v>2885</v>
      </c>
    </row>
    <row r="630" spans="1:4" x14ac:dyDescent="0.35">
      <c r="A630">
        <v>473</v>
      </c>
      <c r="B630">
        <v>2019</v>
      </c>
      <c r="C630" t="s">
        <v>157</v>
      </c>
      <c r="D630" t="s">
        <v>2908</v>
      </c>
    </row>
    <row r="631" spans="1:4" x14ac:dyDescent="0.35">
      <c r="A631">
        <v>473</v>
      </c>
      <c r="B631">
        <v>2019</v>
      </c>
      <c r="C631" t="s">
        <v>3766</v>
      </c>
      <c r="D631" t="s">
        <v>3766</v>
      </c>
    </row>
    <row r="632" spans="1:4" x14ac:dyDescent="0.35">
      <c r="A632">
        <v>474</v>
      </c>
      <c r="B632">
        <v>2020</v>
      </c>
      <c r="C632" t="s">
        <v>3765</v>
      </c>
      <c r="D632" t="s">
        <v>3765</v>
      </c>
    </row>
    <row r="633" spans="1:4" x14ac:dyDescent="0.35">
      <c r="A633">
        <v>475</v>
      </c>
      <c r="B633">
        <v>2023</v>
      </c>
      <c r="C633" t="s">
        <v>22</v>
      </c>
      <c r="D633" t="s">
        <v>2885</v>
      </c>
    </row>
    <row r="634" spans="1:4" x14ac:dyDescent="0.35">
      <c r="A634">
        <v>476</v>
      </c>
      <c r="B634">
        <v>2014</v>
      </c>
      <c r="C634" t="s">
        <v>157</v>
      </c>
      <c r="D634" t="s">
        <v>2908</v>
      </c>
    </row>
    <row r="635" spans="1:4" x14ac:dyDescent="0.35">
      <c r="A635">
        <v>477</v>
      </c>
      <c r="B635">
        <v>2022</v>
      </c>
      <c r="C635" t="s">
        <v>19</v>
      </c>
      <c r="D635" t="s">
        <v>2863</v>
      </c>
    </row>
    <row r="636" spans="1:4" x14ac:dyDescent="0.35">
      <c r="A636">
        <v>477</v>
      </c>
      <c r="B636">
        <v>2022</v>
      </c>
      <c r="C636" t="s">
        <v>3771</v>
      </c>
      <c r="D636" t="s">
        <v>3771</v>
      </c>
    </row>
    <row r="637" spans="1:4" x14ac:dyDescent="0.35">
      <c r="A637">
        <v>478</v>
      </c>
      <c r="B637">
        <v>2019</v>
      </c>
      <c r="C637" t="s">
        <v>72</v>
      </c>
      <c r="D637" t="s">
        <v>2885</v>
      </c>
    </row>
    <row r="638" spans="1:4" x14ac:dyDescent="0.35">
      <c r="A638">
        <v>479</v>
      </c>
      <c r="B638">
        <v>2022</v>
      </c>
      <c r="C638" t="s">
        <v>101</v>
      </c>
      <c r="D638" t="s">
        <v>2908</v>
      </c>
    </row>
    <row r="639" spans="1:4" x14ac:dyDescent="0.35">
      <c r="A639">
        <v>480</v>
      </c>
      <c r="B639">
        <v>2022</v>
      </c>
      <c r="C639" t="s">
        <v>19</v>
      </c>
      <c r="D639" t="s">
        <v>2863</v>
      </c>
    </row>
    <row r="640" spans="1:4" x14ac:dyDescent="0.35">
      <c r="A640">
        <v>481</v>
      </c>
      <c r="B640">
        <v>2015</v>
      </c>
      <c r="C640" t="s">
        <v>64</v>
      </c>
      <c r="D640" t="s">
        <v>2863</v>
      </c>
    </row>
    <row r="641" spans="1:4" x14ac:dyDescent="0.35">
      <c r="A641">
        <v>481</v>
      </c>
      <c r="B641">
        <v>2015</v>
      </c>
      <c r="C641" t="s">
        <v>19</v>
      </c>
      <c r="D641" t="s">
        <v>2863</v>
      </c>
    </row>
    <row r="642" spans="1:4" x14ac:dyDescent="0.35">
      <c r="A642">
        <v>481</v>
      </c>
      <c r="B642">
        <v>2015</v>
      </c>
      <c r="C642" t="s">
        <v>3770</v>
      </c>
      <c r="D642" t="s">
        <v>3770</v>
      </c>
    </row>
    <row r="643" spans="1:4" x14ac:dyDescent="0.35">
      <c r="A643">
        <v>481</v>
      </c>
      <c r="B643">
        <v>2015</v>
      </c>
      <c r="C643" t="s">
        <v>93</v>
      </c>
      <c r="D643" t="s">
        <v>2865</v>
      </c>
    </row>
    <row r="644" spans="1:4" x14ac:dyDescent="0.35">
      <c r="A644">
        <v>482</v>
      </c>
      <c r="B644">
        <v>2020</v>
      </c>
      <c r="C644" t="s">
        <v>72</v>
      </c>
      <c r="D644" t="s">
        <v>2885</v>
      </c>
    </row>
    <row r="645" spans="1:4" x14ac:dyDescent="0.35">
      <c r="A645">
        <v>483</v>
      </c>
      <c r="B645">
        <v>2014</v>
      </c>
      <c r="C645" t="s">
        <v>189</v>
      </c>
      <c r="D645" t="s">
        <v>2908</v>
      </c>
    </row>
    <row r="646" spans="1:4" x14ac:dyDescent="0.35">
      <c r="A646">
        <v>483</v>
      </c>
      <c r="B646">
        <v>2014</v>
      </c>
      <c r="C646" t="s">
        <v>16</v>
      </c>
      <c r="D646" t="s">
        <v>2885</v>
      </c>
    </row>
    <row r="647" spans="1:4" x14ac:dyDescent="0.35">
      <c r="A647">
        <v>484</v>
      </c>
      <c r="B647">
        <v>2021</v>
      </c>
      <c r="C647" t="s">
        <v>93</v>
      </c>
      <c r="D647" t="s">
        <v>2865</v>
      </c>
    </row>
    <row r="648" spans="1:4" x14ac:dyDescent="0.35">
      <c r="A648">
        <v>485</v>
      </c>
      <c r="B648">
        <v>2018</v>
      </c>
      <c r="C648" t="s">
        <v>16</v>
      </c>
      <c r="D648" t="s">
        <v>2885</v>
      </c>
    </row>
    <row r="649" spans="1:4" x14ac:dyDescent="0.35">
      <c r="A649">
        <v>486</v>
      </c>
      <c r="B649">
        <v>2014</v>
      </c>
      <c r="C649" t="s">
        <v>3765</v>
      </c>
      <c r="D649" t="s">
        <v>3765</v>
      </c>
    </row>
    <row r="650" spans="1:4" x14ac:dyDescent="0.35">
      <c r="A650">
        <v>487</v>
      </c>
      <c r="B650">
        <v>2022</v>
      </c>
      <c r="C650" t="s">
        <v>19</v>
      </c>
      <c r="D650" t="s">
        <v>2863</v>
      </c>
    </row>
    <row r="651" spans="1:4" x14ac:dyDescent="0.35">
      <c r="A651">
        <v>488</v>
      </c>
      <c r="B651">
        <v>2020</v>
      </c>
      <c r="C651" t="s">
        <v>72</v>
      </c>
      <c r="D651" t="s">
        <v>2885</v>
      </c>
    </row>
    <row r="652" spans="1:4" x14ac:dyDescent="0.35">
      <c r="A652">
        <v>489</v>
      </c>
      <c r="B652">
        <v>2022</v>
      </c>
      <c r="C652" t="s">
        <v>93</v>
      </c>
      <c r="D652" t="s">
        <v>2865</v>
      </c>
    </row>
    <row r="653" spans="1:4" x14ac:dyDescent="0.35">
      <c r="A653">
        <v>490</v>
      </c>
      <c r="B653">
        <v>2018</v>
      </c>
      <c r="C653" t="s">
        <v>72</v>
      </c>
      <c r="D653" t="s">
        <v>2885</v>
      </c>
    </row>
    <row r="654" spans="1:4" x14ac:dyDescent="0.35">
      <c r="A654">
        <v>490</v>
      </c>
      <c r="B654">
        <v>2018</v>
      </c>
      <c r="C654" t="s">
        <v>19</v>
      </c>
      <c r="D654" t="s">
        <v>2863</v>
      </c>
    </row>
    <row r="655" spans="1:4" x14ac:dyDescent="0.35">
      <c r="A655">
        <v>491</v>
      </c>
      <c r="B655">
        <v>2014</v>
      </c>
      <c r="C655" t="s">
        <v>16</v>
      </c>
      <c r="D655" t="s">
        <v>2885</v>
      </c>
    </row>
    <row r="656" spans="1:4" x14ac:dyDescent="0.35">
      <c r="A656">
        <v>492</v>
      </c>
      <c r="B656">
        <v>2018</v>
      </c>
      <c r="C656" t="s">
        <v>157</v>
      </c>
      <c r="D656" t="s">
        <v>2908</v>
      </c>
    </row>
    <row r="657" spans="1:4" x14ac:dyDescent="0.35">
      <c r="A657">
        <v>493</v>
      </c>
      <c r="B657">
        <v>2014</v>
      </c>
      <c r="C657" t="s">
        <v>3765</v>
      </c>
      <c r="D657" t="s">
        <v>3765</v>
      </c>
    </row>
    <row r="658" spans="1:4" x14ac:dyDescent="0.35">
      <c r="A658">
        <v>494</v>
      </c>
      <c r="B658">
        <v>2018</v>
      </c>
      <c r="C658" t="s">
        <v>93</v>
      </c>
      <c r="D658" t="s">
        <v>2865</v>
      </c>
    </row>
    <row r="659" spans="1:4" x14ac:dyDescent="0.35">
      <c r="A659">
        <v>495</v>
      </c>
      <c r="B659">
        <v>2023</v>
      </c>
      <c r="C659" t="s">
        <v>72</v>
      </c>
      <c r="D659" t="s">
        <v>2885</v>
      </c>
    </row>
    <row r="660" spans="1:4" x14ac:dyDescent="0.35">
      <c r="A660">
        <v>496</v>
      </c>
      <c r="B660">
        <v>2017</v>
      </c>
      <c r="C660" t="s">
        <v>22</v>
      </c>
      <c r="D660" t="s">
        <v>2885</v>
      </c>
    </row>
    <row r="661" spans="1:4" x14ac:dyDescent="0.35">
      <c r="A661">
        <v>497</v>
      </c>
      <c r="B661">
        <v>2018</v>
      </c>
      <c r="C661" t="s">
        <v>3770</v>
      </c>
      <c r="D661" t="s">
        <v>3770</v>
      </c>
    </row>
    <row r="662" spans="1:4" x14ac:dyDescent="0.35">
      <c r="A662">
        <v>497</v>
      </c>
      <c r="B662">
        <v>2018</v>
      </c>
      <c r="C662" t="s">
        <v>352</v>
      </c>
      <c r="D662" t="s">
        <v>3013</v>
      </c>
    </row>
    <row r="663" spans="1:4" x14ac:dyDescent="0.35">
      <c r="A663">
        <v>498</v>
      </c>
      <c r="B663">
        <v>2015</v>
      </c>
      <c r="C663" t="s">
        <v>72</v>
      </c>
      <c r="D663" t="s">
        <v>2885</v>
      </c>
    </row>
    <row r="664" spans="1:4" x14ac:dyDescent="0.35">
      <c r="A664">
        <v>499</v>
      </c>
      <c r="B664">
        <v>2017</v>
      </c>
      <c r="C664" t="s">
        <v>157</v>
      </c>
      <c r="D664" t="s">
        <v>2908</v>
      </c>
    </row>
    <row r="665" spans="1:4" x14ac:dyDescent="0.35">
      <c r="A665">
        <v>500</v>
      </c>
      <c r="B665">
        <v>2016</v>
      </c>
      <c r="C665" t="s">
        <v>72</v>
      </c>
      <c r="D665" t="s">
        <v>2885</v>
      </c>
    </row>
    <row r="666" spans="1:4" x14ac:dyDescent="0.35">
      <c r="A666">
        <v>500</v>
      </c>
      <c r="B666">
        <v>2016</v>
      </c>
      <c r="C666" t="s">
        <v>157</v>
      </c>
      <c r="D666" t="s">
        <v>2908</v>
      </c>
    </row>
    <row r="667" spans="1:4" x14ac:dyDescent="0.35">
      <c r="A667">
        <v>501</v>
      </c>
      <c r="B667">
        <v>2020</v>
      </c>
      <c r="C667" t="s">
        <v>22</v>
      </c>
      <c r="D667" t="s">
        <v>2885</v>
      </c>
    </row>
    <row r="668" spans="1:4" x14ac:dyDescent="0.35">
      <c r="A668">
        <v>502</v>
      </c>
      <c r="B668">
        <v>2017</v>
      </c>
      <c r="C668" t="s">
        <v>72</v>
      </c>
      <c r="D668" t="s">
        <v>2885</v>
      </c>
    </row>
    <row r="669" spans="1:4" x14ac:dyDescent="0.35">
      <c r="A669">
        <v>503</v>
      </c>
      <c r="B669">
        <v>2021</v>
      </c>
      <c r="C669" t="s">
        <v>19</v>
      </c>
      <c r="D669" t="s">
        <v>2863</v>
      </c>
    </row>
    <row r="670" spans="1:4" x14ac:dyDescent="0.35">
      <c r="A670">
        <v>504</v>
      </c>
      <c r="B670">
        <v>2019</v>
      </c>
      <c r="C670" t="s">
        <v>16</v>
      </c>
      <c r="D670" t="s">
        <v>2885</v>
      </c>
    </row>
    <row r="671" spans="1:4" x14ac:dyDescent="0.35">
      <c r="A671">
        <v>505</v>
      </c>
      <c r="B671">
        <v>2015</v>
      </c>
      <c r="C671" t="s">
        <v>261</v>
      </c>
      <c r="D671" t="s">
        <v>2885</v>
      </c>
    </row>
    <row r="672" spans="1:4" x14ac:dyDescent="0.35">
      <c r="A672">
        <v>505</v>
      </c>
      <c r="B672">
        <v>2015</v>
      </c>
      <c r="C672" t="s">
        <v>19</v>
      </c>
      <c r="D672" t="s">
        <v>2863</v>
      </c>
    </row>
    <row r="673" spans="1:4" x14ac:dyDescent="0.35">
      <c r="A673">
        <v>506</v>
      </c>
      <c r="B673">
        <v>2016</v>
      </c>
      <c r="C673" t="s">
        <v>157</v>
      </c>
      <c r="D673" t="s">
        <v>2908</v>
      </c>
    </row>
    <row r="674" spans="1:4" x14ac:dyDescent="0.35">
      <c r="A674">
        <v>507</v>
      </c>
      <c r="B674">
        <v>2022</v>
      </c>
      <c r="C674" t="s">
        <v>48</v>
      </c>
      <c r="D674" t="s">
        <v>3767</v>
      </c>
    </row>
    <row r="675" spans="1:4" x14ac:dyDescent="0.35">
      <c r="A675">
        <v>507</v>
      </c>
      <c r="B675">
        <v>2022</v>
      </c>
      <c r="C675" t="s">
        <v>189</v>
      </c>
      <c r="D675" t="s">
        <v>2908</v>
      </c>
    </row>
    <row r="676" spans="1:4" x14ac:dyDescent="0.35">
      <c r="A676">
        <v>508</v>
      </c>
      <c r="B676">
        <v>2019</v>
      </c>
      <c r="C676" t="s">
        <v>56</v>
      </c>
      <c r="D676" t="s">
        <v>2874</v>
      </c>
    </row>
    <row r="677" spans="1:4" x14ac:dyDescent="0.35">
      <c r="A677">
        <v>509</v>
      </c>
      <c r="B677">
        <v>2017</v>
      </c>
      <c r="C677" t="s">
        <v>157</v>
      </c>
      <c r="D677" t="s">
        <v>2908</v>
      </c>
    </row>
    <row r="678" spans="1:4" x14ac:dyDescent="0.35">
      <c r="A678">
        <v>510</v>
      </c>
      <c r="B678">
        <v>2016</v>
      </c>
      <c r="C678" t="s">
        <v>5</v>
      </c>
      <c r="D678" t="s">
        <v>2908</v>
      </c>
    </row>
    <row r="679" spans="1:4" x14ac:dyDescent="0.35">
      <c r="A679">
        <v>510</v>
      </c>
      <c r="B679">
        <v>2016</v>
      </c>
      <c r="C679" t="s">
        <v>157</v>
      </c>
      <c r="D679" t="s">
        <v>2908</v>
      </c>
    </row>
    <row r="680" spans="1:4" x14ac:dyDescent="0.35">
      <c r="A680">
        <v>511</v>
      </c>
      <c r="B680">
        <v>2023</v>
      </c>
      <c r="C680" t="s">
        <v>5</v>
      </c>
      <c r="D680" t="s">
        <v>2908</v>
      </c>
    </row>
    <row r="681" spans="1:4" x14ac:dyDescent="0.35">
      <c r="A681">
        <v>512</v>
      </c>
      <c r="B681">
        <v>2014</v>
      </c>
      <c r="C681" t="s">
        <v>5</v>
      </c>
      <c r="D681" t="s">
        <v>2908</v>
      </c>
    </row>
    <row r="682" spans="1:4" x14ac:dyDescent="0.35">
      <c r="A682">
        <v>513</v>
      </c>
      <c r="B682">
        <v>2015</v>
      </c>
      <c r="C682" t="s">
        <v>157</v>
      </c>
      <c r="D682" t="s">
        <v>2908</v>
      </c>
    </row>
    <row r="683" spans="1:4" x14ac:dyDescent="0.35">
      <c r="A683">
        <v>514</v>
      </c>
      <c r="B683">
        <v>2017</v>
      </c>
      <c r="C683" t="s">
        <v>231</v>
      </c>
      <c r="D683" t="s">
        <v>2908</v>
      </c>
    </row>
    <row r="684" spans="1:4" x14ac:dyDescent="0.35">
      <c r="A684">
        <v>515</v>
      </c>
      <c r="B684">
        <v>2023</v>
      </c>
      <c r="C684" t="s">
        <v>3765</v>
      </c>
      <c r="D684" t="s">
        <v>3765</v>
      </c>
    </row>
    <row r="685" spans="1:4" x14ac:dyDescent="0.35">
      <c r="A685">
        <v>516</v>
      </c>
      <c r="B685">
        <v>2021</v>
      </c>
      <c r="C685" t="s">
        <v>72</v>
      </c>
      <c r="D685" t="s">
        <v>2885</v>
      </c>
    </row>
    <row r="686" spans="1:4" x14ac:dyDescent="0.35">
      <c r="A686">
        <v>517</v>
      </c>
      <c r="B686">
        <v>2020</v>
      </c>
      <c r="C686" t="s">
        <v>3769</v>
      </c>
      <c r="D686" t="s">
        <v>3769</v>
      </c>
    </row>
    <row r="687" spans="1:4" x14ac:dyDescent="0.35">
      <c r="A687">
        <v>517</v>
      </c>
      <c r="B687">
        <v>2020</v>
      </c>
      <c r="C687" t="s">
        <v>231</v>
      </c>
      <c r="D687" t="s">
        <v>2908</v>
      </c>
    </row>
    <row r="688" spans="1:4" x14ac:dyDescent="0.35">
      <c r="A688">
        <v>517</v>
      </c>
      <c r="B688">
        <v>2020</v>
      </c>
      <c r="C688" t="s">
        <v>5</v>
      </c>
      <c r="D688" t="s">
        <v>2908</v>
      </c>
    </row>
    <row r="689" spans="1:4" x14ac:dyDescent="0.35">
      <c r="A689">
        <v>517</v>
      </c>
      <c r="B689">
        <v>2020</v>
      </c>
      <c r="C689" t="s">
        <v>189</v>
      </c>
      <c r="D689" t="s">
        <v>2908</v>
      </c>
    </row>
    <row r="690" spans="1:4" x14ac:dyDescent="0.35">
      <c r="A690">
        <v>517</v>
      </c>
      <c r="B690">
        <v>2020</v>
      </c>
      <c r="C690" t="s">
        <v>101</v>
      </c>
      <c r="D690" t="s">
        <v>2908</v>
      </c>
    </row>
    <row r="691" spans="1:4" x14ac:dyDescent="0.35">
      <c r="A691">
        <v>517</v>
      </c>
      <c r="B691">
        <v>2020</v>
      </c>
      <c r="C691" t="s">
        <v>16</v>
      </c>
      <c r="D691" t="s">
        <v>2885</v>
      </c>
    </row>
    <row r="692" spans="1:4" x14ac:dyDescent="0.35">
      <c r="A692">
        <v>517</v>
      </c>
      <c r="B692">
        <v>2020</v>
      </c>
      <c r="C692" t="s">
        <v>341</v>
      </c>
      <c r="D692" t="s">
        <v>2940</v>
      </c>
    </row>
    <row r="693" spans="1:4" x14ac:dyDescent="0.35">
      <c r="A693">
        <v>517</v>
      </c>
      <c r="B693">
        <v>2020</v>
      </c>
      <c r="C693" t="s">
        <v>45</v>
      </c>
      <c r="D693" t="s">
        <v>2908</v>
      </c>
    </row>
    <row r="694" spans="1:4" x14ac:dyDescent="0.35">
      <c r="A694">
        <v>517</v>
      </c>
      <c r="B694">
        <v>2020</v>
      </c>
      <c r="C694" t="s">
        <v>25</v>
      </c>
      <c r="D694" t="s">
        <v>2893</v>
      </c>
    </row>
    <row r="695" spans="1:4" x14ac:dyDescent="0.35">
      <c r="A695">
        <v>518</v>
      </c>
      <c r="B695">
        <v>2019</v>
      </c>
      <c r="C695" t="s">
        <v>48</v>
      </c>
      <c r="D695" t="s">
        <v>3767</v>
      </c>
    </row>
    <row r="696" spans="1:4" x14ac:dyDescent="0.35">
      <c r="A696">
        <v>518</v>
      </c>
      <c r="B696">
        <v>2019</v>
      </c>
      <c r="C696" t="s">
        <v>19</v>
      </c>
      <c r="D696" t="s">
        <v>2863</v>
      </c>
    </row>
    <row r="697" spans="1:4" x14ac:dyDescent="0.35">
      <c r="A697">
        <v>519</v>
      </c>
      <c r="B697">
        <v>2014</v>
      </c>
      <c r="C697" t="s">
        <v>72</v>
      </c>
      <c r="D697" t="s">
        <v>2885</v>
      </c>
    </row>
    <row r="698" spans="1:4" x14ac:dyDescent="0.35">
      <c r="A698">
        <v>520</v>
      </c>
      <c r="B698">
        <v>2022</v>
      </c>
      <c r="C698" t="s">
        <v>3765</v>
      </c>
      <c r="D698" t="s">
        <v>3765</v>
      </c>
    </row>
    <row r="699" spans="1:4" x14ac:dyDescent="0.35">
      <c r="A699">
        <v>521</v>
      </c>
      <c r="B699">
        <v>2019</v>
      </c>
      <c r="C699" t="s">
        <v>72</v>
      </c>
      <c r="D699" t="s">
        <v>2885</v>
      </c>
    </row>
    <row r="700" spans="1:4" x14ac:dyDescent="0.35">
      <c r="A700">
        <v>522</v>
      </c>
      <c r="B700">
        <v>2020</v>
      </c>
      <c r="C700" t="s">
        <v>3771</v>
      </c>
      <c r="D700" t="s">
        <v>3771</v>
      </c>
    </row>
    <row r="701" spans="1:4" x14ac:dyDescent="0.35">
      <c r="A701">
        <v>523</v>
      </c>
      <c r="B701">
        <v>2017</v>
      </c>
      <c r="C701" t="s">
        <v>72</v>
      </c>
      <c r="D701" t="s">
        <v>2885</v>
      </c>
    </row>
    <row r="702" spans="1:4" x14ac:dyDescent="0.35">
      <c r="A702">
        <v>524</v>
      </c>
      <c r="B702">
        <v>2016</v>
      </c>
      <c r="C702" t="s">
        <v>72</v>
      </c>
      <c r="D702" t="s">
        <v>2885</v>
      </c>
    </row>
    <row r="703" spans="1:4" x14ac:dyDescent="0.35">
      <c r="A703">
        <v>525</v>
      </c>
      <c r="B703">
        <v>2023</v>
      </c>
      <c r="C703" t="s">
        <v>3765</v>
      </c>
      <c r="D703" t="s">
        <v>3765</v>
      </c>
    </row>
    <row r="704" spans="1:4" x14ac:dyDescent="0.35">
      <c r="A704">
        <v>526</v>
      </c>
      <c r="B704">
        <v>2021</v>
      </c>
      <c r="C704" t="s">
        <v>3769</v>
      </c>
      <c r="D704" t="s">
        <v>3769</v>
      </c>
    </row>
    <row r="705" spans="1:4" x14ac:dyDescent="0.35">
      <c r="A705">
        <v>526</v>
      </c>
      <c r="B705">
        <v>2021</v>
      </c>
      <c r="C705" t="s">
        <v>45</v>
      </c>
      <c r="D705" t="s">
        <v>2908</v>
      </c>
    </row>
    <row r="706" spans="1:4" x14ac:dyDescent="0.35">
      <c r="A706">
        <v>526</v>
      </c>
      <c r="B706">
        <v>2021</v>
      </c>
      <c r="C706" t="s">
        <v>101</v>
      </c>
      <c r="D706" t="s">
        <v>2908</v>
      </c>
    </row>
    <row r="707" spans="1:4" x14ac:dyDescent="0.35">
      <c r="A707">
        <v>526</v>
      </c>
      <c r="B707">
        <v>2021</v>
      </c>
      <c r="C707" t="s">
        <v>231</v>
      </c>
      <c r="D707" t="s">
        <v>2908</v>
      </c>
    </row>
    <row r="708" spans="1:4" x14ac:dyDescent="0.35">
      <c r="A708">
        <v>527</v>
      </c>
      <c r="B708">
        <v>2019</v>
      </c>
      <c r="C708" t="s">
        <v>72</v>
      </c>
      <c r="D708" t="s">
        <v>2885</v>
      </c>
    </row>
    <row r="709" spans="1:4" x14ac:dyDescent="0.35">
      <c r="A709">
        <v>528</v>
      </c>
      <c r="B709">
        <v>2022</v>
      </c>
      <c r="C709" t="s">
        <v>3765</v>
      </c>
      <c r="D709" t="s">
        <v>3765</v>
      </c>
    </row>
    <row r="710" spans="1:4" x14ac:dyDescent="0.35">
      <c r="A710">
        <v>529</v>
      </c>
      <c r="B710">
        <v>2017</v>
      </c>
      <c r="C710" t="s">
        <v>72</v>
      </c>
      <c r="D710" t="s">
        <v>2885</v>
      </c>
    </row>
    <row r="711" spans="1:4" x14ac:dyDescent="0.35">
      <c r="A711">
        <v>530</v>
      </c>
      <c r="B711">
        <v>2015</v>
      </c>
      <c r="C711" t="s">
        <v>19</v>
      </c>
      <c r="D711" t="s">
        <v>2863</v>
      </c>
    </row>
    <row r="712" spans="1:4" x14ac:dyDescent="0.35">
      <c r="A712">
        <v>531</v>
      </c>
      <c r="B712">
        <v>2022</v>
      </c>
      <c r="C712" t="s">
        <v>72</v>
      </c>
      <c r="D712" t="s">
        <v>2885</v>
      </c>
    </row>
    <row r="713" spans="1:4" x14ac:dyDescent="0.35">
      <c r="A713">
        <v>531</v>
      </c>
      <c r="B713">
        <v>2022</v>
      </c>
      <c r="C713" t="s">
        <v>19</v>
      </c>
      <c r="D713" t="s">
        <v>2863</v>
      </c>
    </row>
    <row r="714" spans="1:4" x14ac:dyDescent="0.35">
      <c r="A714">
        <v>532</v>
      </c>
      <c r="B714">
        <v>2020</v>
      </c>
      <c r="C714" t="s">
        <v>25</v>
      </c>
      <c r="D714" t="s">
        <v>2893</v>
      </c>
    </row>
    <row r="715" spans="1:4" x14ac:dyDescent="0.35">
      <c r="A715">
        <v>532</v>
      </c>
      <c r="B715">
        <v>2020</v>
      </c>
      <c r="C715" t="s">
        <v>101</v>
      </c>
      <c r="D715" t="s">
        <v>2908</v>
      </c>
    </row>
    <row r="716" spans="1:4" x14ac:dyDescent="0.35">
      <c r="A716">
        <v>533</v>
      </c>
      <c r="B716">
        <v>2016</v>
      </c>
      <c r="C716" t="s">
        <v>19</v>
      </c>
      <c r="D716" t="s">
        <v>2863</v>
      </c>
    </row>
    <row r="717" spans="1:4" x14ac:dyDescent="0.35">
      <c r="A717">
        <v>534</v>
      </c>
      <c r="B717">
        <v>2021</v>
      </c>
      <c r="C717" t="s">
        <v>72</v>
      </c>
      <c r="D717" t="s">
        <v>2885</v>
      </c>
    </row>
    <row r="718" spans="1:4" x14ac:dyDescent="0.35">
      <c r="A718">
        <v>535</v>
      </c>
      <c r="B718">
        <v>2017</v>
      </c>
      <c r="C718" t="s">
        <v>19</v>
      </c>
      <c r="D718" t="s">
        <v>2863</v>
      </c>
    </row>
    <row r="719" spans="1:4" x14ac:dyDescent="0.35">
      <c r="A719">
        <v>536</v>
      </c>
      <c r="B719">
        <v>2022</v>
      </c>
      <c r="C719" t="s">
        <v>35</v>
      </c>
      <c r="D719" t="s">
        <v>2874</v>
      </c>
    </row>
    <row r="720" spans="1:4" x14ac:dyDescent="0.35">
      <c r="A720">
        <v>537</v>
      </c>
      <c r="B720">
        <v>2022</v>
      </c>
      <c r="C720" t="s">
        <v>25</v>
      </c>
      <c r="D720" t="s">
        <v>2893</v>
      </c>
    </row>
    <row r="721" spans="1:4" x14ac:dyDescent="0.35">
      <c r="A721">
        <v>538</v>
      </c>
      <c r="B721">
        <v>2021</v>
      </c>
      <c r="C721" t="s">
        <v>25</v>
      </c>
      <c r="D721" t="s">
        <v>2893</v>
      </c>
    </row>
    <row r="722" spans="1:4" x14ac:dyDescent="0.35">
      <c r="A722">
        <v>539</v>
      </c>
      <c r="B722">
        <v>2021</v>
      </c>
      <c r="C722" t="s">
        <v>189</v>
      </c>
      <c r="D722" t="s">
        <v>2908</v>
      </c>
    </row>
    <row r="723" spans="1:4" x14ac:dyDescent="0.35">
      <c r="A723">
        <v>539</v>
      </c>
      <c r="B723">
        <v>2021</v>
      </c>
      <c r="C723" t="s">
        <v>72</v>
      </c>
      <c r="D723" t="s">
        <v>2885</v>
      </c>
    </row>
    <row r="724" spans="1:4" x14ac:dyDescent="0.35">
      <c r="A724">
        <v>540</v>
      </c>
      <c r="B724">
        <v>2021</v>
      </c>
      <c r="C724" t="s">
        <v>3765</v>
      </c>
      <c r="D724" t="s">
        <v>3765</v>
      </c>
    </row>
    <row r="725" spans="1:4" x14ac:dyDescent="0.35">
      <c r="A725">
        <v>541</v>
      </c>
      <c r="B725">
        <v>2019</v>
      </c>
      <c r="C725" t="s">
        <v>164</v>
      </c>
      <c r="D725" t="s">
        <v>3013</v>
      </c>
    </row>
    <row r="726" spans="1:4" x14ac:dyDescent="0.35">
      <c r="A726">
        <v>541</v>
      </c>
      <c r="B726">
        <v>2019</v>
      </c>
      <c r="C726" t="s">
        <v>3770</v>
      </c>
      <c r="D726" t="s">
        <v>3770</v>
      </c>
    </row>
    <row r="727" spans="1:4" x14ac:dyDescent="0.35">
      <c r="A727">
        <v>542</v>
      </c>
      <c r="B727">
        <v>2019</v>
      </c>
      <c r="C727" t="s">
        <v>517</v>
      </c>
      <c r="D727" t="s">
        <v>2874</v>
      </c>
    </row>
    <row r="728" spans="1:4" x14ac:dyDescent="0.35">
      <c r="A728">
        <v>543</v>
      </c>
      <c r="B728">
        <v>2022</v>
      </c>
      <c r="C728" t="s">
        <v>16</v>
      </c>
      <c r="D728" t="s">
        <v>2885</v>
      </c>
    </row>
    <row r="729" spans="1:4" x14ac:dyDescent="0.35">
      <c r="A729">
        <v>544</v>
      </c>
      <c r="B729">
        <v>2018</v>
      </c>
      <c r="C729" t="s">
        <v>16</v>
      </c>
      <c r="D729" t="s">
        <v>2885</v>
      </c>
    </row>
    <row r="730" spans="1:4" x14ac:dyDescent="0.35">
      <c r="A730">
        <v>545</v>
      </c>
      <c r="B730">
        <v>2021</v>
      </c>
      <c r="C730" t="s">
        <v>16</v>
      </c>
      <c r="D730" t="s">
        <v>2885</v>
      </c>
    </row>
    <row r="731" spans="1:4" x14ac:dyDescent="0.35">
      <c r="A731">
        <v>546</v>
      </c>
      <c r="B731">
        <v>2020</v>
      </c>
      <c r="C731" t="s">
        <v>3765</v>
      </c>
      <c r="D731" t="s">
        <v>3765</v>
      </c>
    </row>
    <row r="732" spans="1:4" x14ac:dyDescent="0.35">
      <c r="A732">
        <v>547</v>
      </c>
      <c r="B732">
        <v>2016</v>
      </c>
      <c r="C732" t="s">
        <v>56</v>
      </c>
      <c r="D732" t="s">
        <v>2874</v>
      </c>
    </row>
    <row r="733" spans="1:4" x14ac:dyDescent="0.35">
      <c r="A733">
        <v>547</v>
      </c>
      <c r="B733">
        <v>2016</v>
      </c>
      <c r="C733" t="s">
        <v>667</v>
      </c>
      <c r="D733" t="s">
        <v>2865</v>
      </c>
    </row>
    <row r="734" spans="1:4" x14ac:dyDescent="0.35">
      <c r="A734">
        <v>547</v>
      </c>
      <c r="B734">
        <v>2016</v>
      </c>
      <c r="C734" t="s">
        <v>19</v>
      </c>
      <c r="D734" t="s">
        <v>2863</v>
      </c>
    </row>
    <row r="735" spans="1:4" x14ac:dyDescent="0.35">
      <c r="A735">
        <v>548</v>
      </c>
      <c r="B735">
        <v>2017</v>
      </c>
      <c r="C735" t="s">
        <v>72</v>
      </c>
      <c r="D735" t="s">
        <v>2885</v>
      </c>
    </row>
    <row r="736" spans="1:4" x14ac:dyDescent="0.35">
      <c r="A736">
        <v>549</v>
      </c>
      <c r="B736">
        <v>2023</v>
      </c>
      <c r="C736" t="s">
        <v>93</v>
      </c>
      <c r="D736" t="s">
        <v>2865</v>
      </c>
    </row>
    <row r="737" spans="1:4" x14ac:dyDescent="0.35">
      <c r="A737">
        <v>549</v>
      </c>
      <c r="B737">
        <v>2023</v>
      </c>
      <c r="C737" t="s">
        <v>231</v>
      </c>
      <c r="D737" t="s">
        <v>2908</v>
      </c>
    </row>
    <row r="738" spans="1:4" x14ac:dyDescent="0.35">
      <c r="A738">
        <v>550</v>
      </c>
      <c r="B738">
        <v>2022</v>
      </c>
      <c r="C738" t="s">
        <v>3765</v>
      </c>
      <c r="D738" t="s">
        <v>3765</v>
      </c>
    </row>
    <row r="739" spans="1:4" x14ac:dyDescent="0.35">
      <c r="A739">
        <v>551</v>
      </c>
      <c r="B739">
        <v>2019</v>
      </c>
      <c r="C739" t="s">
        <v>3765</v>
      </c>
      <c r="D739" t="s">
        <v>3765</v>
      </c>
    </row>
    <row r="740" spans="1:4" x14ac:dyDescent="0.35">
      <c r="A740">
        <v>552</v>
      </c>
      <c r="B740">
        <v>2023</v>
      </c>
      <c r="C740" t="s">
        <v>19</v>
      </c>
      <c r="D740" t="s">
        <v>2863</v>
      </c>
    </row>
    <row r="741" spans="1:4" x14ac:dyDescent="0.35">
      <c r="A741">
        <v>552</v>
      </c>
      <c r="B741">
        <v>2023</v>
      </c>
      <c r="C741" t="s">
        <v>78</v>
      </c>
      <c r="D741" t="s">
        <v>2865</v>
      </c>
    </row>
    <row r="742" spans="1:4" x14ac:dyDescent="0.35">
      <c r="A742">
        <v>553</v>
      </c>
      <c r="B742">
        <v>2016</v>
      </c>
      <c r="C742" t="s">
        <v>189</v>
      </c>
      <c r="D742" t="s">
        <v>2908</v>
      </c>
    </row>
    <row r="743" spans="1:4" x14ac:dyDescent="0.35">
      <c r="A743">
        <v>553</v>
      </c>
      <c r="B743">
        <v>2016</v>
      </c>
      <c r="C743" t="s">
        <v>3770</v>
      </c>
      <c r="D743" t="s">
        <v>3770</v>
      </c>
    </row>
    <row r="744" spans="1:4" x14ac:dyDescent="0.35">
      <c r="A744">
        <v>553</v>
      </c>
      <c r="B744">
        <v>2016</v>
      </c>
      <c r="C744" t="s">
        <v>56</v>
      </c>
      <c r="D744" t="s">
        <v>2874</v>
      </c>
    </row>
    <row r="745" spans="1:4" x14ac:dyDescent="0.35">
      <c r="A745">
        <v>554</v>
      </c>
      <c r="B745">
        <v>2022</v>
      </c>
      <c r="C745" t="s">
        <v>16</v>
      </c>
      <c r="D745" t="s">
        <v>2885</v>
      </c>
    </row>
    <row r="746" spans="1:4" x14ac:dyDescent="0.35">
      <c r="A746">
        <v>555</v>
      </c>
      <c r="B746">
        <v>2015</v>
      </c>
      <c r="C746" t="s">
        <v>25</v>
      </c>
      <c r="D746" t="s">
        <v>2893</v>
      </c>
    </row>
    <row r="747" spans="1:4" x14ac:dyDescent="0.35">
      <c r="A747">
        <v>556</v>
      </c>
      <c r="B747">
        <v>2023</v>
      </c>
      <c r="C747" t="s">
        <v>189</v>
      </c>
      <c r="D747" t="s">
        <v>2908</v>
      </c>
    </row>
    <row r="748" spans="1:4" x14ac:dyDescent="0.35">
      <c r="A748">
        <v>557</v>
      </c>
      <c r="B748">
        <v>2021</v>
      </c>
      <c r="C748" t="s">
        <v>35</v>
      </c>
      <c r="D748" t="s">
        <v>2874</v>
      </c>
    </row>
    <row r="749" spans="1:4" x14ac:dyDescent="0.35">
      <c r="A749">
        <v>557</v>
      </c>
      <c r="B749">
        <v>2021</v>
      </c>
      <c r="C749" t="s">
        <v>189</v>
      </c>
      <c r="D749" t="s">
        <v>2908</v>
      </c>
    </row>
    <row r="750" spans="1:4" x14ac:dyDescent="0.35">
      <c r="A750">
        <v>558</v>
      </c>
      <c r="B750">
        <v>2014</v>
      </c>
      <c r="C750" t="s">
        <v>35</v>
      </c>
      <c r="D750" t="s">
        <v>2874</v>
      </c>
    </row>
    <row r="751" spans="1:4" x14ac:dyDescent="0.35">
      <c r="A751">
        <v>559</v>
      </c>
      <c r="B751">
        <v>2022</v>
      </c>
      <c r="C751" t="s">
        <v>3765</v>
      </c>
      <c r="D751" t="s">
        <v>3765</v>
      </c>
    </row>
    <row r="752" spans="1:4" x14ac:dyDescent="0.35">
      <c r="A752">
        <v>560</v>
      </c>
      <c r="B752">
        <v>2022</v>
      </c>
      <c r="C752" t="s">
        <v>72</v>
      </c>
      <c r="D752" t="s">
        <v>2885</v>
      </c>
    </row>
    <row r="753" spans="1:4" x14ac:dyDescent="0.35">
      <c r="A753">
        <v>561</v>
      </c>
      <c r="B753">
        <v>2019</v>
      </c>
      <c r="C753" t="s">
        <v>72</v>
      </c>
      <c r="D753" t="s">
        <v>2885</v>
      </c>
    </row>
    <row r="754" spans="1:4" x14ac:dyDescent="0.35">
      <c r="A754">
        <v>562</v>
      </c>
      <c r="B754">
        <v>2014</v>
      </c>
      <c r="C754" t="s">
        <v>5</v>
      </c>
      <c r="D754" t="s">
        <v>2908</v>
      </c>
    </row>
    <row r="755" spans="1:4" x14ac:dyDescent="0.35">
      <c r="A755">
        <v>563</v>
      </c>
      <c r="B755">
        <v>2023</v>
      </c>
      <c r="C755" t="s">
        <v>16</v>
      </c>
      <c r="D755" t="s">
        <v>2885</v>
      </c>
    </row>
    <row r="756" spans="1:4" x14ac:dyDescent="0.35">
      <c r="A756">
        <v>564</v>
      </c>
      <c r="B756">
        <v>2016</v>
      </c>
      <c r="C756" t="s">
        <v>72</v>
      </c>
      <c r="D756" t="s">
        <v>2885</v>
      </c>
    </row>
    <row r="757" spans="1:4" x14ac:dyDescent="0.35">
      <c r="A757">
        <v>565</v>
      </c>
      <c r="B757">
        <v>2016</v>
      </c>
      <c r="C757" t="s">
        <v>72</v>
      </c>
      <c r="D757" t="s">
        <v>2885</v>
      </c>
    </row>
    <row r="758" spans="1:4" x14ac:dyDescent="0.35">
      <c r="A758">
        <v>566</v>
      </c>
      <c r="B758">
        <v>2019</v>
      </c>
      <c r="C758" t="s">
        <v>72</v>
      </c>
      <c r="D758" t="s">
        <v>2885</v>
      </c>
    </row>
    <row r="759" spans="1:4" x14ac:dyDescent="0.35">
      <c r="A759">
        <v>567</v>
      </c>
      <c r="B759">
        <v>2021</v>
      </c>
      <c r="C759" t="s">
        <v>3765</v>
      </c>
      <c r="D759" t="s">
        <v>3765</v>
      </c>
    </row>
    <row r="760" spans="1:4" x14ac:dyDescent="0.35">
      <c r="A760">
        <v>568</v>
      </c>
      <c r="B760">
        <v>2014</v>
      </c>
      <c r="C760" t="s">
        <v>19</v>
      </c>
      <c r="D760" t="s">
        <v>2863</v>
      </c>
    </row>
    <row r="761" spans="1:4" x14ac:dyDescent="0.35">
      <c r="A761">
        <v>569</v>
      </c>
      <c r="B761">
        <v>2021</v>
      </c>
      <c r="C761" t="s">
        <v>72</v>
      </c>
      <c r="D761" t="s">
        <v>2885</v>
      </c>
    </row>
    <row r="762" spans="1:4" x14ac:dyDescent="0.35">
      <c r="A762">
        <v>570</v>
      </c>
      <c r="B762">
        <v>2016</v>
      </c>
      <c r="C762" t="s">
        <v>19</v>
      </c>
      <c r="D762" t="s">
        <v>2863</v>
      </c>
    </row>
    <row r="763" spans="1:4" x14ac:dyDescent="0.35">
      <c r="A763">
        <v>571</v>
      </c>
      <c r="B763">
        <v>2018</v>
      </c>
      <c r="C763" t="s">
        <v>157</v>
      </c>
      <c r="D763" t="s">
        <v>2908</v>
      </c>
    </row>
    <row r="764" spans="1:4" x14ac:dyDescent="0.35">
      <c r="A764">
        <v>572</v>
      </c>
      <c r="B764">
        <v>2021</v>
      </c>
      <c r="C764" t="s">
        <v>261</v>
      </c>
      <c r="D764" t="s">
        <v>2885</v>
      </c>
    </row>
    <row r="765" spans="1:4" x14ac:dyDescent="0.35">
      <c r="A765">
        <v>573</v>
      </c>
      <c r="B765">
        <v>2021</v>
      </c>
      <c r="C765" t="s">
        <v>93</v>
      </c>
      <c r="D765" t="s">
        <v>2865</v>
      </c>
    </row>
    <row r="766" spans="1:4" x14ac:dyDescent="0.35">
      <c r="A766">
        <v>574</v>
      </c>
      <c r="B766">
        <v>2022</v>
      </c>
      <c r="C766" t="s">
        <v>72</v>
      </c>
      <c r="D766" t="s">
        <v>2885</v>
      </c>
    </row>
    <row r="767" spans="1:4" x14ac:dyDescent="0.35">
      <c r="A767">
        <v>575</v>
      </c>
      <c r="B767">
        <v>2017</v>
      </c>
      <c r="C767" t="s">
        <v>19</v>
      </c>
      <c r="D767" t="s">
        <v>2863</v>
      </c>
    </row>
    <row r="768" spans="1:4" x14ac:dyDescent="0.35">
      <c r="A768">
        <v>576</v>
      </c>
      <c r="B768">
        <v>2019</v>
      </c>
      <c r="C768" t="s">
        <v>231</v>
      </c>
      <c r="D768" t="s">
        <v>2908</v>
      </c>
    </row>
    <row r="769" spans="1:4" x14ac:dyDescent="0.35">
      <c r="A769">
        <v>577</v>
      </c>
      <c r="B769">
        <v>2023</v>
      </c>
      <c r="C769" t="s">
        <v>231</v>
      </c>
      <c r="D769" t="s">
        <v>2908</v>
      </c>
    </row>
    <row r="770" spans="1:4" x14ac:dyDescent="0.35">
      <c r="A770">
        <v>578</v>
      </c>
      <c r="B770">
        <v>2018</v>
      </c>
      <c r="C770" t="s">
        <v>3765</v>
      </c>
      <c r="D770" t="s">
        <v>3765</v>
      </c>
    </row>
    <row r="771" spans="1:4" x14ac:dyDescent="0.35">
      <c r="A771">
        <v>579</v>
      </c>
      <c r="B771">
        <v>2018</v>
      </c>
      <c r="C771" t="s">
        <v>231</v>
      </c>
      <c r="D771" t="s">
        <v>2908</v>
      </c>
    </row>
    <row r="772" spans="1:4" x14ac:dyDescent="0.35">
      <c r="A772">
        <v>580</v>
      </c>
      <c r="B772">
        <v>2014</v>
      </c>
      <c r="C772" t="s">
        <v>231</v>
      </c>
      <c r="D772" t="s">
        <v>2908</v>
      </c>
    </row>
    <row r="773" spans="1:4" x14ac:dyDescent="0.35">
      <c r="A773">
        <v>581</v>
      </c>
      <c r="B773">
        <v>2014</v>
      </c>
      <c r="C773" t="s">
        <v>231</v>
      </c>
      <c r="D773" t="s">
        <v>2908</v>
      </c>
    </row>
    <row r="774" spans="1:4" x14ac:dyDescent="0.35">
      <c r="A774">
        <v>582</v>
      </c>
      <c r="B774">
        <v>2015</v>
      </c>
      <c r="C774" t="s">
        <v>2285</v>
      </c>
      <c r="D774" t="s">
        <v>3023</v>
      </c>
    </row>
    <row r="775" spans="1:4" x14ac:dyDescent="0.35">
      <c r="A775">
        <v>583</v>
      </c>
      <c r="B775">
        <v>2023</v>
      </c>
      <c r="C775" t="s">
        <v>72</v>
      </c>
      <c r="D775" t="s">
        <v>2885</v>
      </c>
    </row>
    <row r="776" spans="1:4" x14ac:dyDescent="0.35">
      <c r="A776">
        <v>584</v>
      </c>
      <c r="B776">
        <v>2018</v>
      </c>
      <c r="C776" t="s">
        <v>3770</v>
      </c>
      <c r="D776" t="s">
        <v>3770</v>
      </c>
    </row>
    <row r="777" spans="1:4" x14ac:dyDescent="0.35">
      <c r="A777">
        <v>584</v>
      </c>
      <c r="B777">
        <v>2018</v>
      </c>
      <c r="C777" t="s">
        <v>164</v>
      </c>
      <c r="D777" t="s">
        <v>3013</v>
      </c>
    </row>
    <row r="778" spans="1:4" x14ac:dyDescent="0.35">
      <c r="A778">
        <v>584</v>
      </c>
      <c r="B778">
        <v>2018</v>
      </c>
      <c r="C778" t="s">
        <v>93</v>
      </c>
      <c r="D778" t="s">
        <v>2865</v>
      </c>
    </row>
    <row r="779" spans="1:4" x14ac:dyDescent="0.35">
      <c r="A779">
        <v>585</v>
      </c>
      <c r="B779">
        <v>2021</v>
      </c>
      <c r="C779" t="s">
        <v>3765</v>
      </c>
      <c r="D779" t="s">
        <v>3765</v>
      </c>
    </row>
    <row r="780" spans="1:4" x14ac:dyDescent="0.35">
      <c r="A780">
        <v>586</v>
      </c>
      <c r="B780">
        <v>2021</v>
      </c>
      <c r="C780" t="s">
        <v>93</v>
      </c>
      <c r="D780" t="s">
        <v>2865</v>
      </c>
    </row>
    <row r="781" spans="1:4" x14ac:dyDescent="0.35">
      <c r="A781">
        <v>586</v>
      </c>
      <c r="B781">
        <v>2021</v>
      </c>
      <c r="C781" t="s">
        <v>72</v>
      </c>
      <c r="D781" t="s">
        <v>2885</v>
      </c>
    </row>
    <row r="782" spans="1:4" x14ac:dyDescent="0.35">
      <c r="A782">
        <v>586</v>
      </c>
      <c r="B782">
        <v>2021</v>
      </c>
      <c r="C782" t="s">
        <v>25</v>
      </c>
      <c r="D782" t="s">
        <v>2893</v>
      </c>
    </row>
    <row r="783" spans="1:4" x14ac:dyDescent="0.35">
      <c r="A783">
        <v>587</v>
      </c>
      <c r="B783">
        <v>2020</v>
      </c>
      <c r="C783" t="s">
        <v>72</v>
      </c>
      <c r="D783" t="s">
        <v>2885</v>
      </c>
    </row>
    <row r="784" spans="1:4" x14ac:dyDescent="0.35">
      <c r="A784">
        <v>588</v>
      </c>
      <c r="B784">
        <v>2022</v>
      </c>
      <c r="C784" t="s">
        <v>3765</v>
      </c>
      <c r="D784" t="s">
        <v>3765</v>
      </c>
    </row>
    <row r="785" spans="1:4" x14ac:dyDescent="0.35">
      <c r="A785">
        <v>589</v>
      </c>
      <c r="B785">
        <v>2016</v>
      </c>
      <c r="C785" t="s">
        <v>72</v>
      </c>
      <c r="D785" t="s">
        <v>2885</v>
      </c>
    </row>
    <row r="786" spans="1:4" x14ac:dyDescent="0.35">
      <c r="A786">
        <v>590</v>
      </c>
      <c r="B786">
        <v>2022</v>
      </c>
      <c r="C786" t="s">
        <v>3765</v>
      </c>
      <c r="D786" t="s">
        <v>3765</v>
      </c>
    </row>
    <row r="787" spans="1:4" x14ac:dyDescent="0.35">
      <c r="A787">
        <v>591</v>
      </c>
      <c r="B787">
        <v>2014</v>
      </c>
      <c r="C787" t="s">
        <v>93</v>
      </c>
      <c r="D787" t="s">
        <v>2865</v>
      </c>
    </row>
    <row r="788" spans="1:4" x14ac:dyDescent="0.35">
      <c r="A788">
        <v>592</v>
      </c>
      <c r="B788">
        <v>2022</v>
      </c>
      <c r="C788" t="s">
        <v>45</v>
      </c>
      <c r="D788" t="s">
        <v>2908</v>
      </c>
    </row>
    <row r="789" spans="1:4" x14ac:dyDescent="0.35">
      <c r="A789">
        <v>592</v>
      </c>
      <c r="B789">
        <v>2022</v>
      </c>
      <c r="C789" t="s">
        <v>341</v>
      </c>
      <c r="D789" t="s">
        <v>2940</v>
      </c>
    </row>
    <row r="790" spans="1:4" x14ac:dyDescent="0.35">
      <c r="A790">
        <v>593</v>
      </c>
      <c r="B790">
        <v>2020</v>
      </c>
      <c r="C790" t="s">
        <v>261</v>
      </c>
      <c r="D790" t="s">
        <v>2885</v>
      </c>
    </row>
    <row r="791" spans="1:4" x14ac:dyDescent="0.35">
      <c r="A791">
        <v>594</v>
      </c>
      <c r="B791">
        <v>2014</v>
      </c>
      <c r="C791" t="s">
        <v>19</v>
      </c>
      <c r="D791" t="s">
        <v>2863</v>
      </c>
    </row>
    <row r="792" spans="1:4" x14ac:dyDescent="0.35">
      <c r="A792">
        <v>595</v>
      </c>
      <c r="B792">
        <v>2018</v>
      </c>
      <c r="C792" t="s">
        <v>3765</v>
      </c>
      <c r="D792" t="s">
        <v>3765</v>
      </c>
    </row>
    <row r="793" spans="1:4" x14ac:dyDescent="0.35">
      <c r="A793">
        <v>596</v>
      </c>
      <c r="B793">
        <v>2018</v>
      </c>
      <c r="C793" t="s">
        <v>3765</v>
      </c>
      <c r="D793" t="s">
        <v>3765</v>
      </c>
    </row>
    <row r="794" spans="1:4" x14ac:dyDescent="0.35">
      <c r="A794">
        <v>597</v>
      </c>
      <c r="B794">
        <v>2019</v>
      </c>
      <c r="C794" t="s">
        <v>72</v>
      </c>
      <c r="D794" t="s">
        <v>2885</v>
      </c>
    </row>
    <row r="795" spans="1:4" x14ac:dyDescent="0.35">
      <c r="A795">
        <v>598</v>
      </c>
      <c r="B795">
        <v>2021</v>
      </c>
      <c r="C795" t="s">
        <v>3765</v>
      </c>
      <c r="D795" t="s">
        <v>3765</v>
      </c>
    </row>
    <row r="796" spans="1:4" x14ac:dyDescent="0.35">
      <c r="A796">
        <v>599</v>
      </c>
      <c r="B796">
        <v>2018</v>
      </c>
      <c r="C796" t="s">
        <v>48</v>
      </c>
      <c r="D796" t="s">
        <v>3767</v>
      </c>
    </row>
    <row r="797" spans="1:4" x14ac:dyDescent="0.35">
      <c r="A797">
        <v>599</v>
      </c>
      <c r="B797">
        <v>2018</v>
      </c>
      <c r="C797" t="s">
        <v>35</v>
      </c>
      <c r="D797" t="s">
        <v>2874</v>
      </c>
    </row>
    <row r="798" spans="1:4" x14ac:dyDescent="0.35">
      <c r="A798">
        <v>600</v>
      </c>
      <c r="B798">
        <v>2022</v>
      </c>
      <c r="C798" t="s">
        <v>189</v>
      </c>
      <c r="D798" t="s">
        <v>2908</v>
      </c>
    </row>
    <row r="799" spans="1:4" x14ac:dyDescent="0.35">
      <c r="A799">
        <v>601</v>
      </c>
      <c r="B799">
        <v>2019</v>
      </c>
      <c r="C799" t="s">
        <v>72</v>
      </c>
      <c r="D799" t="s">
        <v>2885</v>
      </c>
    </row>
    <row r="800" spans="1:4" x14ac:dyDescent="0.35">
      <c r="A800">
        <v>602</v>
      </c>
      <c r="B800">
        <v>2019</v>
      </c>
      <c r="C800" t="s">
        <v>261</v>
      </c>
      <c r="D800" t="s">
        <v>2885</v>
      </c>
    </row>
    <row r="801" spans="1:4" x14ac:dyDescent="0.35">
      <c r="A801">
        <v>602</v>
      </c>
      <c r="B801">
        <v>2019</v>
      </c>
      <c r="C801" t="s">
        <v>189</v>
      </c>
      <c r="D801" t="s">
        <v>2908</v>
      </c>
    </row>
    <row r="802" spans="1:4" x14ac:dyDescent="0.35">
      <c r="A802">
        <v>603</v>
      </c>
      <c r="B802">
        <v>2016</v>
      </c>
      <c r="C802" t="s">
        <v>19</v>
      </c>
      <c r="D802" t="s">
        <v>2863</v>
      </c>
    </row>
    <row r="803" spans="1:4" x14ac:dyDescent="0.35">
      <c r="A803">
        <v>604</v>
      </c>
      <c r="B803">
        <v>2015</v>
      </c>
      <c r="C803" t="s">
        <v>93</v>
      </c>
      <c r="D803" t="s">
        <v>2865</v>
      </c>
    </row>
    <row r="804" spans="1:4" x14ac:dyDescent="0.35">
      <c r="A804">
        <v>604</v>
      </c>
      <c r="B804">
        <v>2015</v>
      </c>
      <c r="C804" t="s">
        <v>98</v>
      </c>
      <c r="D804" t="s">
        <v>2874</v>
      </c>
    </row>
    <row r="805" spans="1:4" x14ac:dyDescent="0.35">
      <c r="A805">
        <v>604</v>
      </c>
      <c r="B805">
        <v>2015</v>
      </c>
      <c r="C805" t="s">
        <v>3770</v>
      </c>
      <c r="D805" t="s">
        <v>3770</v>
      </c>
    </row>
    <row r="806" spans="1:4" x14ac:dyDescent="0.35">
      <c r="A806">
        <v>604</v>
      </c>
      <c r="B806">
        <v>2015</v>
      </c>
      <c r="C806" t="s">
        <v>48</v>
      </c>
      <c r="D806" t="s">
        <v>3767</v>
      </c>
    </row>
    <row r="807" spans="1:4" x14ac:dyDescent="0.35">
      <c r="A807">
        <v>604</v>
      </c>
      <c r="B807">
        <v>2015</v>
      </c>
      <c r="C807" t="s">
        <v>2378</v>
      </c>
      <c r="D807" t="s">
        <v>2940</v>
      </c>
    </row>
    <row r="808" spans="1:4" x14ac:dyDescent="0.35">
      <c r="A808">
        <v>604</v>
      </c>
      <c r="B808">
        <v>2015</v>
      </c>
      <c r="C808" t="s">
        <v>562</v>
      </c>
      <c r="D808" t="s">
        <v>2865</v>
      </c>
    </row>
    <row r="809" spans="1:4" x14ac:dyDescent="0.35">
      <c r="A809">
        <v>604</v>
      </c>
      <c r="B809">
        <v>2015</v>
      </c>
      <c r="C809" t="s">
        <v>1072</v>
      </c>
      <c r="D809" t="s">
        <v>2940</v>
      </c>
    </row>
    <row r="810" spans="1:4" x14ac:dyDescent="0.35">
      <c r="A810">
        <v>604</v>
      </c>
      <c r="B810">
        <v>2015</v>
      </c>
      <c r="C810" t="s">
        <v>2384</v>
      </c>
      <c r="D810" t="s">
        <v>2987</v>
      </c>
    </row>
    <row r="811" spans="1:4" x14ac:dyDescent="0.35">
      <c r="A811">
        <v>605</v>
      </c>
      <c r="B811">
        <v>2023</v>
      </c>
      <c r="C811" t="s">
        <v>56</v>
      </c>
      <c r="D811" t="s">
        <v>2874</v>
      </c>
    </row>
    <row r="812" spans="1:4" x14ac:dyDescent="0.35">
      <c r="A812">
        <v>605</v>
      </c>
      <c r="B812">
        <v>2023</v>
      </c>
      <c r="C812" t="s">
        <v>3770</v>
      </c>
      <c r="D812" t="s">
        <v>3770</v>
      </c>
    </row>
    <row r="813" spans="1:4" x14ac:dyDescent="0.35">
      <c r="A813">
        <v>606</v>
      </c>
      <c r="B813">
        <v>2023</v>
      </c>
      <c r="C813" t="s">
        <v>3765</v>
      </c>
      <c r="D813" t="s">
        <v>3765</v>
      </c>
    </row>
    <row r="814" spans="1:4" x14ac:dyDescent="0.35">
      <c r="A814">
        <v>607</v>
      </c>
      <c r="B814">
        <v>2018</v>
      </c>
      <c r="C814" t="s">
        <v>3770</v>
      </c>
      <c r="D814" t="s">
        <v>3770</v>
      </c>
    </row>
    <row r="815" spans="1:4" x14ac:dyDescent="0.35">
      <c r="A815">
        <v>607</v>
      </c>
      <c r="B815">
        <v>2018</v>
      </c>
      <c r="C815" t="s">
        <v>93</v>
      </c>
      <c r="D815" t="s">
        <v>2865</v>
      </c>
    </row>
    <row r="816" spans="1:4" x14ac:dyDescent="0.35">
      <c r="A816">
        <v>607</v>
      </c>
      <c r="B816">
        <v>2018</v>
      </c>
      <c r="C816" t="s">
        <v>19</v>
      </c>
      <c r="D816" t="s">
        <v>2863</v>
      </c>
    </row>
    <row r="817" spans="1:4" x14ac:dyDescent="0.35">
      <c r="A817">
        <v>607</v>
      </c>
      <c r="B817">
        <v>2018</v>
      </c>
      <c r="C817" t="s">
        <v>64</v>
      </c>
      <c r="D817" t="s">
        <v>2863</v>
      </c>
    </row>
    <row r="818" spans="1:4" x14ac:dyDescent="0.35">
      <c r="A818">
        <v>607</v>
      </c>
      <c r="B818">
        <v>2018</v>
      </c>
      <c r="C818" t="s">
        <v>189</v>
      </c>
      <c r="D818" t="s">
        <v>2908</v>
      </c>
    </row>
    <row r="819" spans="1:4" x14ac:dyDescent="0.35">
      <c r="A819">
        <v>608</v>
      </c>
      <c r="B819">
        <v>2014</v>
      </c>
      <c r="C819" t="s">
        <v>562</v>
      </c>
      <c r="D819" t="s">
        <v>2865</v>
      </c>
    </row>
    <row r="820" spans="1:4" x14ac:dyDescent="0.35">
      <c r="A820">
        <v>609</v>
      </c>
      <c r="B820">
        <v>2019</v>
      </c>
      <c r="C820" t="s">
        <v>5</v>
      </c>
      <c r="D820" t="s">
        <v>2908</v>
      </c>
    </row>
    <row r="821" spans="1:4" x14ac:dyDescent="0.35">
      <c r="A821">
        <v>610</v>
      </c>
      <c r="B821">
        <v>2023</v>
      </c>
      <c r="C821" t="s">
        <v>189</v>
      </c>
      <c r="D821" t="s">
        <v>2908</v>
      </c>
    </row>
    <row r="822" spans="1:4" x14ac:dyDescent="0.35">
      <c r="A822">
        <v>611</v>
      </c>
      <c r="B822">
        <v>2022</v>
      </c>
      <c r="C822" t="s">
        <v>231</v>
      </c>
      <c r="D822" t="s">
        <v>2908</v>
      </c>
    </row>
    <row r="823" spans="1:4" x14ac:dyDescent="0.35">
      <c r="A823">
        <v>611</v>
      </c>
      <c r="B823">
        <v>2022</v>
      </c>
      <c r="C823" t="s">
        <v>16</v>
      </c>
      <c r="D823" t="s">
        <v>2885</v>
      </c>
    </row>
    <row r="824" spans="1:4" x14ac:dyDescent="0.35">
      <c r="A824">
        <v>612</v>
      </c>
      <c r="B824">
        <v>2020</v>
      </c>
      <c r="C824" t="s">
        <v>157</v>
      </c>
      <c r="D824" t="s">
        <v>2908</v>
      </c>
    </row>
    <row r="825" spans="1:4" x14ac:dyDescent="0.35">
      <c r="A825">
        <v>613</v>
      </c>
      <c r="B825">
        <v>2018</v>
      </c>
      <c r="C825" t="s">
        <v>19</v>
      </c>
      <c r="D825" t="s">
        <v>2863</v>
      </c>
    </row>
    <row r="826" spans="1:4" x14ac:dyDescent="0.35">
      <c r="A826">
        <v>614</v>
      </c>
      <c r="B826">
        <v>2015</v>
      </c>
      <c r="C826" t="s">
        <v>5</v>
      </c>
      <c r="D826" t="s">
        <v>2908</v>
      </c>
    </row>
    <row r="827" spans="1:4" x14ac:dyDescent="0.35">
      <c r="A827">
        <v>615</v>
      </c>
      <c r="B827">
        <v>2022</v>
      </c>
      <c r="C827" t="s">
        <v>189</v>
      </c>
      <c r="D827" t="s">
        <v>2908</v>
      </c>
    </row>
    <row r="828" spans="1:4" x14ac:dyDescent="0.35">
      <c r="A828">
        <v>616</v>
      </c>
      <c r="B828">
        <v>2022</v>
      </c>
      <c r="C828" t="s">
        <v>189</v>
      </c>
      <c r="D828" t="s">
        <v>2908</v>
      </c>
    </row>
    <row r="829" spans="1:4" x14ac:dyDescent="0.35">
      <c r="A829">
        <v>616</v>
      </c>
      <c r="B829">
        <v>2022</v>
      </c>
      <c r="C829" t="s">
        <v>3770</v>
      </c>
      <c r="D829" t="s">
        <v>3770</v>
      </c>
    </row>
    <row r="830" spans="1:4" x14ac:dyDescent="0.35">
      <c r="A830">
        <v>618</v>
      </c>
      <c r="B830">
        <v>2019</v>
      </c>
      <c r="C830" t="s">
        <v>157</v>
      </c>
      <c r="D830" t="s">
        <v>2908</v>
      </c>
    </row>
    <row r="831" spans="1:4" x14ac:dyDescent="0.35">
      <c r="A831">
        <v>618</v>
      </c>
      <c r="B831">
        <v>2019</v>
      </c>
      <c r="C831" t="s">
        <v>22</v>
      </c>
      <c r="D831" t="s">
        <v>2885</v>
      </c>
    </row>
    <row r="832" spans="1:4" x14ac:dyDescent="0.35">
      <c r="A832">
        <v>619</v>
      </c>
      <c r="B832">
        <v>2014</v>
      </c>
      <c r="C832" t="s">
        <v>157</v>
      </c>
      <c r="D832" t="s">
        <v>2908</v>
      </c>
    </row>
    <row r="833" spans="1:4" x14ac:dyDescent="0.35">
      <c r="A833">
        <v>620</v>
      </c>
      <c r="B833">
        <v>2021</v>
      </c>
      <c r="C833" t="s">
        <v>2450</v>
      </c>
      <c r="D833" t="s">
        <v>3773</v>
      </c>
    </row>
    <row r="834" spans="1:4" x14ac:dyDescent="0.35">
      <c r="A834">
        <v>621</v>
      </c>
      <c r="B834">
        <v>2022</v>
      </c>
      <c r="C834" t="s">
        <v>3765</v>
      </c>
      <c r="D834" t="s">
        <v>3765</v>
      </c>
    </row>
    <row r="835" spans="1:4" x14ac:dyDescent="0.35">
      <c r="A835">
        <v>622</v>
      </c>
      <c r="B835">
        <v>2016</v>
      </c>
      <c r="C835" t="s">
        <v>72</v>
      </c>
      <c r="D835" t="s">
        <v>2885</v>
      </c>
    </row>
    <row r="836" spans="1:4" x14ac:dyDescent="0.35">
      <c r="A836">
        <v>622</v>
      </c>
      <c r="B836">
        <v>2016</v>
      </c>
      <c r="C836" t="s">
        <v>93</v>
      </c>
      <c r="D836" t="s">
        <v>2865</v>
      </c>
    </row>
    <row r="837" spans="1:4" x14ac:dyDescent="0.35">
      <c r="A837">
        <v>623</v>
      </c>
      <c r="B837">
        <v>2021</v>
      </c>
      <c r="C837" t="s">
        <v>22</v>
      </c>
      <c r="D837" t="s">
        <v>2885</v>
      </c>
    </row>
    <row r="838" spans="1:4" x14ac:dyDescent="0.35">
      <c r="A838">
        <v>624</v>
      </c>
      <c r="B838">
        <v>2019</v>
      </c>
      <c r="C838" t="s">
        <v>72</v>
      </c>
      <c r="D838" t="s">
        <v>2885</v>
      </c>
    </row>
    <row r="839" spans="1:4" x14ac:dyDescent="0.35">
      <c r="A839">
        <v>624</v>
      </c>
      <c r="B839">
        <v>2019</v>
      </c>
      <c r="C839" t="s">
        <v>19</v>
      </c>
      <c r="D839" t="s">
        <v>2863</v>
      </c>
    </row>
    <row r="840" spans="1:4" x14ac:dyDescent="0.35">
      <c r="A840">
        <v>625</v>
      </c>
      <c r="B840">
        <v>2019</v>
      </c>
      <c r="C840" t="s">
        <v>3770</v>
      </c>
      <c r="D840" t="s">
        <v>3770</v>
      </c>
    </row>
    <row r="841" spans="1:4" x14ac:dyDescent="0.35">
      <c r="A841">
        <v>626</v>
      </c>
      <c r="B841">
        <v>2022</v>
      </c>
      <c r="C841" t="s">
        <v>72</v>
      </c>
      <c r="D841" t="s">
        <v>2885</v>
      </c>
    </row>
    <row r="842" spans="1:4" x14ac:dyDescent="0.35">
      <c r="A842">
        <v>626</v>
      </c>
      <c r="B842">
        <v>2022</v>
      </c>
      <c r="C842" t="s">
        <v>22</v>
      </c>
      <c r="D842" t="s">
        <v>2885</v>
      </c>
    </row>
    <row r="843" spans="1:4" x14ac:dyDescent="0.35">
      <c r="A843">
        <v>627</v>
      </c>
      <c r="B843">
        <v>2022</v>
      </c>
      <c r="C843" t="s">
        <v>72</v>
      </c>
      <c r="D843" t="s">
        <v>2885</v>
      </c>
    </row>
    <row r="844" spans="1:4" x14ac:dyDescent="0.35">
      <c r="A844">
        <v>628</v>
      </c>
      <c r="B844">
        <v>2019</v>
      </c>
      <c r="C844" t="s">
        <v>3765</v>
      </c>
      <c r="D844" t="s">
        <v>3765</v>
      </c>
    </row>
    <row r="845" spans="1:4" x14ac:dyDescent="0.35">
      <c r="A845">
        <v>629</v>
      </c>
      <c r="B845">
        <v>2022</v>
      </c>
      <c r="C845" t="s">
        <v>3770</v>
      </c>
      <c r="D845" t="s">
        <v>3770</v>
      </c>
    </row>
    <row r="846" spans="1:4" x14ac:dyDescent="0.35">
      <c r="A846">
        <v>630</v>
      </c>
      <c r="B846">
        <v>2014</v>
      </c>
      <c r="C846" t="s">
        <v>72</v>
      </c>
      <c r="D846" t="s">
        <v>2885</v>
      </c>
    </row>
    <row r="847" spans="1:4" x14ac:dyDescent="0.35">
      <c r="A847">
        <v>631</v>
      </c>
      <c r="B847">
        <v>2016</v>
      </c>
      <c r="C847" t="s">
        <v>56</v>
      </c>
      <c r="D847" t="s">
        <v>2874</v>
      </c>
    </row>
    <row r="848" spans="1:4" x14ac:dyDescent="0.35">
      <c r="A848">
        <v>632</v>
      </c>
      <c r="B848">
        <v>2022</v>
      </c>
      <c r="C848" t="s">
        <v>72</v>
      </c>
      <c r="D848" t="s">
        <v>2885</v>
      </c>
    </row>
    <row r="849" spans="1:4" x14ac:dyDescent="0.35">
      <c r="A849">
        <v>633</v>
      </c>
      <c r="B849">
        <v>2021</v>
      </c>
      <c r="C849" t="s">
        <v>72</v>
      </c>
      <c r="D849" t="s">
        <v>2885</v>
      </c>
    </row>
    <row r="850" spans="1:4" x14ac:dyDescent="0.35">
      <c r="A850">
        <v>633</v>
      </c>
      <c r="B850">
        <v>2021</v>
      </c>
      <c r="C850" t="s">
        <v>93</v>
      </c>
      <c r="D850" t="s">
        <v>2865</v>
      </c>
    </row>
    <row r="851" spans="1:4" x14ac:dyDescent="0.35">
      <c r="A851">
        <v>634</v>
      </c>
      <c r="B851">
        <v>2014</v>
      </c>
      <c r="C851" t="s">
        <v>164</v>
      </c>
      <c r="D851" t="s">
        <v>3013</v>
      </c>
    </row>
    <row r="852" spans="1:4" x14ac:dyDescent="0.35">
      <c r="A852">
        <v>635</v>
      </c>
      <c r="B852">
        <v>2023</v>
      </c>
      <c r="C852" t="s">
        <v>72</v>
      </c>
      <c r="D852" t="s">
        <v>2885</v>
      </c>
    </row>
    <row r="853" spans="1:4" x14ac:dyDescent="0.35">
      <c r="A853">
        <v>636</v>
      </c>
      <c r="B853">
        <v>2019</v>
      </c>
      <c r="C853" t="s">
        <v>3765</v>
      </c>
      <c r="D853" t="s">
        <v>3765</v>
      </c>
    </row>
    <row r="854" spans="1:4" x14ac:dyDescent="0.35">
      <c r="A854">
        <v>637</v>
      </c>
      <c r="B854">
        <v>2023</v>
      </c>
      <c r="C854" t="s">
        <v>72</v>
      </c>
      <c r="D854" t="s">
        <v>2885</v>
      </c>
    </row>
    <row r="855" spans="1:4" x14ac:dyDescent="0.35">
      <c r="A855">
        <v>638</v>
      </c>
      <c r="B855">
        <v>2022</v>
      </c>
      <c r="C855" t="s">
        <v>3765</v>
      </c>
      <c r="D855" t="s">
        <v>3765</v>
      </c>
    </row>
    <row r="856" spans="1:4" x14ac:dyDescent="0.35">
      <c r="A856">
        <v>639</v>
      </c>
      <c r="B856">
        <v>2020</v>
      </c>
      <c r="C856" t="s">
        <v>189</v>
      </c>
      <c r="D856" t="s">
        <v>2908</v>
      </c>
    </row>
    <row r="857" spans="1:4" x14ac:dyDescent="0.35">
      <c r="A857">
        <v>640</v>
      </c>
      <c r="B857">
        <v>2018</v>
      </c>
      <c r="C857" t="s">
        <v>189</v>
      </c>
      <c r="D857" t="s">
        <v>2908</v>
      </c>
    </row>
    <row r="858" spans="1:4" x14ac:dyDescent="0.35">
      <c r="A858">
        <v>640</v>
      </c>
      <c r="B858">
        <v>2018</v>
      </c>
      <c r="C858" t="s">
        <v>517</v>
      </c>
      <c r="D858" t="s">
        <v>2874</v>
      </c>
    </row>
    <row r="859" spans="1:4" x14ac:dyDescent="0.35">
      <c r="A859">
        <v>641</v>
      </c>
      <c r="B859">
        <v>2017</v>
      </c>
      <c r="C859" t="s">
        <v>1744</v>
      </c>
      <c r="D859" t="s">
        <v>2987</v>
      </c>
    </row>
    <row r="860" spans="1:4" x14ac:dyDescent="0.35">
      <c r="A860">
        <v>642</v>
      </c>
      <c r="B860">
        <v>2023</v>
      </c>
      <c r="C860" t="s">
        <v>3765</v>
      </c>
      <c r="D860" t="s">
        <v>3765</v>
      </c>
    </row>
    <row r="861" spans="1:4" x14ac:dyDescent="0.35">
      <c r="A861">
        <v>643</v>
      </c>
      <c r="B861">
        <v>2020</v>
      </c>
      <c r="C861" t="s">
        <v>3765</v>
      </c>
      <c r="D861" t="s">
        <v>3765</v>
      </c>
    </row>
    <row r="862" spans="1:4" x14ac:dyDescent="0.35">
      <c r="A862">
        <v>644</v>
      </c>
      <c r="B862">
        <v>2018</v>
      </c>
      <c r="C862" t="s">
        <v>3771</v>
      </c>
      <c r="D862" t="s">
        <v>3771</v>
      </c>
    </row>
    <row r="863" spans="1:4" x14ac:dyDescent="0.35">
      <c r="A863">
        <v>645</v>
      </c>
      <c r="B863">
        <v>2019</v>
      </c>
      <c r="C863" t="s">
        <v>72</v>
      </c>
      <c r="D863" t="s">
        <v>2885</v>
      </c>
    </row>
    <row r="864" spans="1:4" x14ac:dyDescent="0.35">
      <c r="A864">
        <v>646</v>
      </c>
      <c r="B864">
        <v>2020</v>
      </c>
      <c r="C864" t="s">
        <v>3765</v>
      </c>
      <c r="D864" t="s">
        <v>3765</v>
      </c>
    </row>
    <row r="865" spans="1:4" x14ac:dyDescent="0.35">
      <c r="A865">
        <v>647</v>
      </c>
      <c r="B865">
        <v>2021</v>
      </c>
      <c r="C865" t="s">
        <v>93</v>
      </c>
      <c r="D865" t="s">
        <v>2865</v>
      </c>
    </row>
    <row r="866" spans="1:4" x14ac:dyDescent="0.35">
      <c r="A866">
        <v>648</v>
      </c>
      <c r="B866">
        <v>2019</v>
      </c>
      <c r="C866" t="s">
        <v>72</v>
      </c>
      <c r="D866" t="s">
        <v>2885</v>
      </c>
    </row>
    <row r="867" spans="1:4" x14ac:dyDescent="0.35">
      <c r="A867">
        <v>649</v>
      </c>
      <c r="B867">
        <v>2014</v>
      </c>
      <c r="C867" t="s">
        <v>19</v>
      </c>
      <c r="D867" t="s">
        <v>2863</v>
      </c>
    </row>
    <row r="868" spans="1:4" x14ac:dyDescent="0.35">
      <c r="A868">
        <v>650</v>
      </c>
      <c r="B868">
        <v>2016</v>
      </c>
      <c r="C868" t="s">
        <v>72</v>
      </c>
      <c r="D868" t="s">
        <v>2885</v>
      </c>
    </row>
    <row r="869" spans="1:4" x14ac:dyDescent="0.35">
      <c r="A869">
        <v>650</v>
      </c>
      <c r="B869">
        <v>2016</v>
      </c>
      <c r="C869" t="s">
        <v>64</v>
      </c>
      <c r="D869" t="s">
        <v>2863</v>
      </c>
    </row>
    <row r="870" spans="1:4" x14ac:dyDescent="0.35">
      <c r="A870">
        <v>651</v>
      </c>
      <c r="B870">
        <v>2023</v>
      </c>
      <c r="C870" t="s">
        <v>72</v>
      </c>
      <c r="D870" t="s">
        <v>2885</v>
      </c>
    </row>
    <row r="871" spans="1:4" x14ac:dyDescent="0.35">
      <c r="A871">
        <v>652</v>
      </c>
      <c r="B871">
        <v>2017</v>
      </c>
      <c r="C871" t="s">
        <v>19</v>
      </c>
      <c r="D871" t="s">
        <v>2863</v>
      </c>
    </row>
    <row r="872" spans="1:4" x14ac:dyDescent="0.35">
      <c r="A872">
        <v>653</v>
      </c>
      <c r="B872">
        <v>2017</v>
      </c>
      <c r="C872" t="s">
        <v>48</v>
      </c>
      <c r="D872" t="s">
        <v>3767</v>
      </c>
    </row>
    <row r="873" spans="1:4" x14ac:dyDescent="0.35">
      <c r="A873">
        <v>653</v>
      </c>
      <c r="B873">
        <v>2017</v>
      </c>
      <c r="C873" t="s">
        <v>35</v>
      </c>
      <c r="D873" t="s">
        <v>2874</v>
      </c>
    </row>
    <row r="874" spans="1:4" x14ac:dyDescent="0.35">
      <c r="A874">
        <v>654</v>
      </c>
      <c r="B874">
        <v>2015</v>
      </c>
      <c r="C874" t="s">
        <v>72</v>
      </c>
      <c r="D874" t="s">
        <v>2885</v>
      </c>
    </row>
    <row r="875" spans="1:4" x14ac:dyDescent="0.35">
      <c r="A875">
        <v>654</v>
      </c>
      <c r="B875">
        <v>2015</v>
      </c>
      <c r="C875" t="s">
        <v>19</v>
      </c>
      <c r="D875" t="s">
        <v>2863</v>
      </c>
    </row>
    <row r="876" spans="1:4" x14ac:dyDescent="0.35">
      <c r="A876">
        <v>655</v>
      </c>
      <c r="B876">
        <v>2019</v>
      </c>
      <c r="C876" t="s">
        <v>45</v>
      </c>
      <c r="D876" t="s">
        <v>2908</v>
      </c>
    </row>
    <row r="877" spans="1:4" x14ac:dyDescent="0.35">
      <c r="A877">
        <v>655</v>
      </c>
      <c r="B877">
        <v>2019</v>
      </c>
      <c r="C877" t="s">
        <v>16</v>
      </c>
      <c r="D877" t="s">
        <v>2885</v>
      </c>
    </row>
    <row r="878" spans="1:4" x14ac:dyDescent="0.35">
      <c r="A878">
        <v>656</v>
      </c>
      <c r="B878">
        <v>2019</v>
      </c>
      <c r="C878" t="s">
        <v>157</v>
      </c>
      <c r="D878" t="s">
        <v>2908</v>
      </c>
    </row>
    <row r="879" spans="1:4" x14ac:dyDescent="0.35">
      <c r="A879">
        <v>657</v>
      </c>
      <c r="B879">
        <v>2017</v>
      </c>
      <c r="C879" t="s">
        <v>35</v>
      </c>
      <c r="D879" t="s">
        <v>2874</v>
      </c>
    </row>
    <row r="880" spans="1:4" x14ac:dyDescent="0.35">
      <c r="A880">
        <v>657</v>
      </c>
      <c r="B880">
        <v>2017</v>
      </c>
      <c r="C880" t="s">
        <v>45</v>
      </c>
      <c r="D880" t="s">
        <v>2908</v>
      </c>
    </row>
    <row r="881" spans="1:4" x14ac:dyDescent="0.35">
      <c r="A881">
        <v>658</v>
      </c>
      <c r="B881">
        <v>2017</v>
      </c>
      <c r="C881" t="s">
        <v>3766</v>
      </c>
      <c r="D881" t="s">
        <v>3766</v>
      </c>
    </row>
    <row r="882" spans="1:4" x14ac:dyDescent="0.35">
      <c r="A882">
        <v>658</v>
      </c>
      <c r="B882">
        <v>2017</v>
      </c>
      <c r="C882" t="s">
        <v>157</v>
      </c>
      <c r="D882" t="s">
        <v>2908</v>
      </c>
    </row>
    <row r="883" spans="1:4" x14ac:dyDescent="0.35">
      <c r="A883">
        <v>658</v>
      </c>
      <c r="B883">
        <v>2017</v>
      </c>
      <c r="C883" t="s">
        <v>19</v>
      </c>
      <c r="D883" t="s">
        <v>2863</v>
      </c>
    </row>
    <row r="884" spans="1:4" x14ac:dyDescent="0.35">
      <c r="A884">
        <v>658</v>
      </c>
      <c r="B884">
        <v>2017</v>
      </c>
      <c r="C884" t="s">
        <v>45</v>
      </c>
      <c r="D884" t="s">
        <v>2908</v>
      </c>
    </row>
    <row r="885" spans="1:4" x14ac:dyDescent="0.35">
      <c r="A885">
        <v>659</v>
      </c>
      <c r="B885">
        <v>2017</v>
      </c>
      <c r="C885" t="s">
        <v>3770</v>
      </c>
      <c r="D885" t="s">
        <v>3770</v>
      </c>
    </row>
    <row r="886" spans="1:4" x14ac:dyDescent="0.35">
      <c r="A886">
        <v>659</v>
      </c>
      <c r="B886">
        <v>2017</v>
      </c>
      <c r="C886" t="s">
        <v>35</v>
      </c>
      <c r="D886" t="s">
        <v>2874</v>
      </c>
    </row>
    <row r="887" spans="1:4" x14ac:dyDescent="0.35">
      <c r="A887">
        <v>660</v>
      </c>
      <c r="B887">
        <v>2023</v>
      </c>
      <c r="C887" t="s">
        <v>72</v>
      </c>
      <c r="D887" t="s">
        <v>2885</v>
      </c>
    </row>
    <row r="888" spans="1:4" x14ac:dyDescent="0.35">
      <c r="A888">
        <v>660</v>
      </c>
      <c r="B888">
        <v>2023</v>
      </c>
      <c r="C888" t="s">
        <v>78</v>
      </c>
      <c r="D888" t="s">
        <v>2865</v>
      </c>
    </row>
    <row r="889" spans="1:4" x14ac:dyDescent="0.35">
      <c r="A889">
        <v>661</v>
      </c>
      <c r="B889">
        <v>2022</v>
      </c>
      <c r="C889" t="s">
        <v>2593</v>
      </c>
      <c r="D889" t="s">
        <v>2987</v>
      </c>
    </row>
    <row r="890" spans="1:4" x14ac:dyDescent="0.35">
      <c r="A890">
        <v>661</v>
      </c>
      <c r="B890">
        <v>2022</v>
      </c>
      <c r="C890" t="s">
        <v>3766</v>
      </c>
      <c r="D890" t="s">
        <v>3766</v>
      </c>
    </row>
    <row r="891" spans="1:4" x14ac:dyDescent="0.35">
      <c r="A891">
        <v>662</v>
      </c>
      <c r="B891">
        <v>2023</v>
      </c>
      <c r="C891" t="s">
        <v>72</v>
      </c>
      <c r="D891" t="s">
        <v>2885</v>
      </c>
    </row>
    <row r="892" spans="1:4" x14ac:dyDescent="0.35">
      <c r="A892">
        <v>663</v>
      </c>
      <c r="B892">
        <v>2023</v>
      </c>
      <c r="C892" t="s">
        <v>72</v>
      </c>
      <c r="D892" t="s">
        <v>2885</v>
      </c>
    </row>
    <row r="893" spans="1:4" x14ac:dyDescent="0.35">
      <c r="A893">
        <v>664</v>
      </c>
      <c r="B893">
        <v>2022</v>
      </c>
      <c r="C893" t="s">
        <v>72</v>
      </c>
      <c r="D893" t="s">
        <v>2885</v>
      </c>
    </row>
    <row r="894" spans="1:4" x14ac:dyDescent="0.35">
      <c r="A894">
        <v>664</v>
      </c>
      <c r="B894">
        <v>2022</v>
      </c>
      <c r="C894" t="s">
        <v>261</v>
      </c>
      <c r="D894" t="s">
        <v>2885</v>
      </c>
    </row>
    <row r="895" spans="1:4" x14ac:dyDescent="0.35">
      <c r="A895">
        <v>665</v>
      </c>
      <c r="B895">
        <v>2022</v>
      </c>
      <c r="C895" t="s">
        <v>157</v>
      </c>
      <c r="D895" t="s">
        <v>2908</v>
      </c>
    </row>
    <row r="896" spans="1:4" x14ac:dyDescent="0.35">
      <c r="A896">
        <v>665</v>
      </c>
      <c r="B896">
        <v>2022</v>
      </c>
      <c r="C896" t="s">
        <v>261</v>
      </c>
      <c r="D896" t="s">
        <v>2885</v>
      </c>
    </row>
    <row r="897" spans="1:4" x14ac:dyDescent="0.35">
      <c r="A897">
        <v>665</v>
      </c>
      <c r="B897">
        <v>2022</v>
      </c>
      <c r="C897" t="s">
        <v>72</v>
      </c>
      <c r="D897" t="s">
        <v>2885</v>
      </c>
    </row>
    <row r="898" spans="1:4" x14ac:dyDescent="0.35">
      <c r="A898">
        <v>666</v>
      </c>
      <c r="B898">
        <v>2023</v>
      </c>
      <c r="C898" t="s">
        <v>3765</v>
      </c>
      <c r="D898" t="s">
        <v>3765</v>
      </c>
    </row>
    <row r="899" spans="1:4" x14ac:dyDescent="0.35">
      <c r="A899">
        <v>667</v>
      </c>
      <c r="B899">
        <v>2019</v>
      </c>
      <c r="C899" t="s">
        <v>93</v>
      </c>
      <c r="D899" t="s">
        <v>2865</v>
      </c>
    </row>
    <row r="900" spans="1:4" x14ac:dyDescent="0.35">
      <c r="A900">
        <v>667</v>
      </c>
      <c r="B900">
        <v>2019</v>
      </c>
      <c r="C900" t="s">
        <v>231</v>
      </c>
      <c r="D900" t="s">
        <v>2908</v>
      </c>
    </row>
    <row r="901" spans="1:4" x14ac:dyDescent="0.35">
      <c r="A901">
        <v>668</v>
      </c>
      <c r="B901">
        <v>2015</v>
      </c>
      <c r="C901" t="s">
        <v>3765</v>
      </c>
      <c r="D901" t="s">
        <v>3765</v>
      </c>
    </row>
    <row r="902" spans="1:4" x14ac:dyDescent="0.35">
      <c r="A902">
        <v>669</v>
      </c>
      <c r="B902">
        <v>2018</v>
      </c>
      <c r="C902" t="s">
        <v>25</v>
      </c>
      <c r="D902" t="s">
        <v>2893</v>
      </c>
    </row>
    <row r="903" spans="1:4" x14ac:dyDescent="0.35">
      <c r="A903">
        <v>670</v>
      </c>
      <c r="B903">
        <v>2016</v>
      </c>
      <c r="C903" t="s">
        <v>3765</v>
      </c>
      <c r="D903" t="s">
        <v>3765</v>
      </c>
    </row>
    <row r="904" spans="1:4" x14ac:dyDescent="0.35">
      <c r="A904">
        <v>671</v>
      </c>
      <c r="B904">
        <v>2015</v>
      </c>
      <c r="C904" t="s">
        <v>231</v>
      </c>
      <c r="D904" t="s">
        <v>2908</v>
      </c>
    </row>
    <row r="905" spans="1:4" x14ac:dyDescent="0.35">
      <c r="A905">
        <v>671</v>
      </c>
      <c r="B905">
        <v>2015</v>
      </c>
      <c r="C905" t="s">
        <v>16</v>
      </c>
      <c r="D905" t="s">
        <v>2885</v>
      </c>
    </row>
    <row r="906" spans="1:4" x14ac:dyDescent="0.35">
      <c r="A906">
        <v>672</v>
      </c>
      <c r="B906">
        <v>2021</v>
      </c>
      <c r="C906" t="s">
        <v>72</v>
      </c>
      <c r="D906" t="s">
        <v>2885</v>
      </c>
    </row>
    <row r="907" spans="1:4" x14ac:dyDescent="0.35">
      <c r="A907">
        <v>672</v>
      </c>
      <c r="B907">
        <v>2021</v>
      </c>
      <c r="C907" t="s">
        <v>19</v>
      </c>
      <c r="D907" t="s">
        <v>2863</v>
      </c>
    </row>
    <row r="908" spans="1:4" x14ac:dyDescent="0.35">
      <c r="A908">
        <v>673</v>
      </c>
      <c r="B908">
        <v>2015</v>
      </c>
      <c r="C908" t="s">
        <v>517</v>
      </c>
      <c r="D908" t="s">
        <v>2874</v>
      </c>
    </row>
    <row r="909" spans="1:4" x14ac:dyDescent="0.35">
      <c r="A909">
        <v>674</v>
      </c>
      <c r="B909">
        <v>2022</v>
      </c>
      <c r="C909" t="s">
        <v>261</v>
      </c>
      <c r="D909" t="s">
        <v>2885</v>
      </c>
    </row>
    <row r="910" spans="1:4" x14ac:dyDescent="0.35">
      <c r="A910">
        <v>675</v>
      </c>
      <c r="B910">
        <v>2014</v>
      </c>
      <c r="C910" t="s">
        <v>72</v>
      </c>
      <c r="D910" t="s">
        <v>2885</v>
      </c>
    </row>
    <row r="911" spans="1:4" x14ac:dyDescent="0.35">
      <c r="A911">
        <v>675</v>
      </c>
      <c r="B911">
        <v>2014</v>
      </c>
      <c r="C911" t="s">
        <v>93</v>
      </c>
      <c r="D911" t="s">
        <v>2865</v>
      </c>
    </row>
    <row r="912" spans="1:4" x14ac:dyDescent="0.35">
      <c r="A912">
        <v>676</v>
      </c>
      <c r="B912">
        <v>2020</v>
      </c>
      <c r="C912" t="s">
        <v>72</v>
      </c>
      <c r="D912" t="s">
        <v>2885</v>
      </c>
    </row>
    <row r="913" spans="1:4" x14ac:dyDescent="0.35">
      <c r="A913">
        <v>677</v>
      </c>
      <c r="B913">
        <v>2021</v>
      </c>
      <c r="C913" t="s">
        <v>189</v>
      </c>
      <c r="D913" t="s">
        <v>2908</v>
      </c>
    </row>
    <row r="914" spans="1:4" x14ac:dyDescent="0.35">
      <c r="A914">
        <v>678</v>
      </c>
      <c r="B914">
        <v>2019</v>
      </c>
      <c r="C914" t="s">
        <v>16</v>
      </c>
      <c r="D914" t="s">
        <v>2885</v>
      </c>
    </row>
    <row r="915" spans="1:4" x14ac:dyDescent="0.35">
      <c r="A915">
        <v>678</v>
      </c>
      <c r="B915">
        <v>2019</v>
      </c>
      <c r="C915" t="s">
        <v>64</v>
      </c>
      <c r="D915" t="s">
        <v>2863</v>
      </c>
    </row>
    <row r="916" spans="1:4" x14ac:dyDescent="0.35">
      <c r="A916">
        <v>679</v>
      </c>
      <c r="B916">
        <v>2015</v>
      </c>
      <c r="C916" t="s">
        <v>3765</v>
      </c>
      <c r="D916" t="s">
        <v>3765</v>
      </c>
    </row>
    <row r="917" spans="1:4" x14ac:dyDescent="0.35">
      <c r="A917">
        <v>680</v>
      </c>
      <c r="B917">
        <v>2014</v>
      </c>
      <c r="C917" t="s">
        <v>48</v>
      </c>
      <c r="D917" t="s">
        <v>3767</v>
      </c>
    </row>
    <row r="918" spans="1:4" x14ac:dyDescent="0.35">
      <c r="A918">
        <v>681</v>
      </c>
      <c r="B918">
        <v>2016</v>
      </c>
      <c r="C918" t="s">
        <v>189</v>
      </c>
      <c r="D918" t="s">
        <v>2908</v>
      </c>
    </row>
    <row r="919" spans="1:4" x14ac:dyDescent="0.35">
      <c r="A919">
        <v>682</v>
      </c>
      <c r="B919">
        <v>2015</v>
      </c>
      <c r="C919" t="s">
        <v>56</v>
      </c>
      <c r="D919" t="s">
        <v>2874</v>
      </c>
    </row>
    <row r="920" spans="1:4" x14ac:dyDescent="0.35">
      <c r="A920">
        <v>683</v>
      </c>
      <c r="B920">
        <v>2022</v>
      </c>
      <c r="C920" t="s">
        <v>56</v>
      </c>
      <c r="D920" t="s">
        <v>2874</v>
      </c>
    </row>
    <row r="921" spans="1:4" x14ac:dyDescent="0.35">
      <c r="A921">
        <v>683</v>
      </c>
      <c r="B921">
        <v>2022</v>
      </c>
      <c r="C921" t="s">
        <v>189</v>
      </c>
      <c r="D921" t="s">
        <v>2908</v>
      </c>
    </row>
    <row r="922" spans="1:4" x14ac:dyDescent="0.35">
      <c r="A922">
        <v>684</v>
      </c>
      <c r="B922">
        <v>2016</v>
      </c>
      <c r="C922" t="s">
        <v>3770</v>
      </c>
      <c r="D922" t="s">
        <v>3770</v>
      </c>
    </row>
    <row r="923" spans="1:4" x14ac:dyDescent="0.35">
      <c r="A923">
        <v>685</v>
      </c>
      <c r="B923">
        <v>2021</v>
      </c>
      <c r="C923" t="s">
        <v>72</v>
      </c>
      <c r="D923" t="s">
        <v>2885</v>
      </c>
    </row>
    <row r="924" spans="1:4" x14ac:dyDescent="0.35">
      <c r="A924">
        <v>686</v>
      </c>
      <c r="B924">
        <v>2016</v>
      </c>
      <c r="C924" t="s">
        <v>56</v>
      </c>
      <c r="D924" t="s">
        <v>2874</v>
      </c>
    </row>
    <row r="925" spans="1:4" x14ac:dyDescent="0.35">
      <c r="A925">
        <v>686</v>
      </c>
      <c r="B925">
        <v>2016</v>
      </c>
      <c r="C925" t="s">
        <v>189</v>
      </c>
      <c r="D925" t="s">
        <v>2908</v>
      </c>
    </row>
    <row r="926" spans="1:4" x14ac:dyDescent="0.35">
      <c r="A926">
        <v>687</v>
      </c>
      <c r="B926">
        <v>2022</v>
      </c>
      <c r="C926" t="s">
        <v>19</v>
      </c>
      <c r="D926" t="s">
        <v>2863</v>
      </c>
    </row>
    <row r="927" spans="1:4" x14ac:dyDescent="0.35">
      <c r="A927">
        <v>688</v>
      </c>
      <c r="B927">
        <v>2023</v>
      </c>
      <c r="C927" t="s">
        <v>72</v>
      </c>
      <c r="D927" t="s">
        <v>2885</v>
      </c>
    </row>
    <row r="928" spans="1:4" x14ac:dyDescent="0.35">
      <c r="A928">
        <v>688</v>
      </c>
      <c r="B928">
        <v>2023</v>
      </c>
      <c r="C928" t="s">
        <v>2686</v>
      </c>
      <c r="D928" t="s">
        <v>3772</v>
      </c>
    </row>
    <row r="929" spans="1:4" x14ac:dyDescent="0.35">
      <c r="A929">
        <v>689</v>
      </c>
      <c r="B929">
        <v>2016</v>
      </c>
      <c r="C929" t="s">
        <v>3765</v>
      </c>
      <c r="D929" t="s">
        <v>3765</v>
      </c>
    </row>
    <row r="930" spans="1:4" x14ac:dyDescent="0.35">
      <c r="A930">
        <v>690</v>
      </c>
      <c r="B930">
        <v>2018</v>
      </c>
      <c r="C930" t="s">
        <v>72</v>
      </c>
      <c r="D930" t="s">
        <v>2885</v>
      </c>
    </row>
    <row r="931" spans="1:4" x14ac:dyDescent="0.35">
      <c r="A931">
        <v>691</v>
      </c>
      <c r="B931">
        <v>2016</v>
      </c>
      <c r="C931" t="s">
        <v>72</v>
      </c>
      <c r="D931" t="s">
        <v>2885</v>
      </c>
    </row>
    <row r="932" spans="1:4" x14ac:dyDescent="0.35">
      <c r="A932">
        <v>691</v>
      </c>
      <c r="B932">
        <v>2016</v>
      </c>
      <c r="C932" t="s">
        <v>341</v>
      </c>
      <c r="D932" t="s">
        <v>2940</v>
      </c>
    </row>
    <row r="933" spans="1:4" x14ac:dyDescent="0.35">
      <c r="A933">
        <v>692</v>
      </c>
      <c r="B933">
        <v>2020</v>
      </c>
      <c r="C933" t="s">
        <v>72</v>
      </c>
      <c r="D933" t="s">
        <v>2885</v>
      </c>
    </row>
    <row r="934" spans="1:4" x14ac:dyDescent="0.35">
      <c r="A934">
        <v>693</v>
      </c>
      <c r="B934">
        <v>2018</v>
      </c>
      <c r="C934" t="s">
        <v>3770</v>
      </c>
      <c r="D934" t="s">
        <v>3770</v>
      </c>
    </row>
    <row r="935" spans="1:4" x14ac:dyDescent="0.35">
      <c r="A935">
        <v>694</v>
      </c>
      <c r="B935">
        <v>2016</v>
      </c>
      <c r="C935" t="s">
        <v>3765</v>
      </c>
      <c r="D935" t="s">
        <v>3765</v>
      </c>
    </row>
    <row r="936" spans="1:4" x14ac:dyDescent="0.35">
      <c r="A936">
        <v>695</v>
      </c>
      <c r="B936">
        <v>2021</v>
      </c>
      <c r="C936" t="s">
        <v>19</v>
      </c>
      <c r="D936" t="s">
        <v>2863</v>
      </c>
    </row>
    <row r="937" spans="1:4" x14ac:dyDescent="0.35">
      <c r="A937">
        <v>696</v>
      </c>
      <c r="B937">
        <v>2022</v>
      </c>
      <c r="C937" t="s">
        <v>72</v>
      </c>
      <c r="D937" t="s">
        <v>2885</v>
      </c>
    </row>
    <row r="938" spans="1:4" x14ac:dyDescent="0.35">
      <c r="A938">
        <v>697</v>
      </c>
      <c r="B938">
        <v>2023</v>
      </c>
      <c r="C938" t="s">
        <v>72</v>
      </c>
      <c r="D938" t="s">
        <v>2885</v>
      </c>
    </row>
    <row r="939" spans="1:4" x14ac:dyDescent="0.35">
      <c r="A939">
        <v>698</v>
      </c>
      <c r="B939">
        <v>2016</v>
      </c>
      <c r="C939" t="s">
        <v>231</v>
      </c>
      <c r="D939" t="s">
        <v>2908</v>
      </c>
    </row>
    <row r="940" spans="1:4" x14ac:dyDescent="0.35">
      <c r="A940">
        <v>699</v>
      </c>
      <c r="B940">
        <v>2021</v>
      </c>
      <c r="C940" t="s">
        <v>19</v>
      </c>
      <c r="D940" t="s">
        <v>2863</v>
      </c>
    </row>
    <row r="941" spans="1:4" x14ac:dyDescent="0.35">
      <c r="A941">
        <v>700</v>
      </c>
      <c r="B941">
        <v>2019</v>
      </c>
      <c r="C941" t="s">
        <v>3765</v>
      </c>
      <c r="D941" t="s">
        <v>3765</v>
      </c>
    </row>
    <row r="942" spans="1:4" x14ac:dyDescent="0.35">
      <c r="A942">
        <v>701</v>
      </c>
      <c r="B942">
        <v>2018</v>
      </c>
      <c r="C942" t="s">
        <v>72</v>
      </c>
      <c r="D942" t="s">
        <v>2885</v>
      </c>
    </row>
    <row r="943" spans="1:4" x14ac:dyDescent="0.35">
      <c r="A943">
        <v>702</v>
      </c>
      <c r="B943">
        <v>2017</v>
      </c>
      <c r="C943" t="s">
        <v>1744</v>
      </c>
      <c r="D943" t="s">
        <v>2987</v>
      </c>
    </row>
    <row r="944" spans="1:4" x14ac:dyDescent="0.35">
      <c r="A944">
        <v>702</v>
      </c>
      <c r="B944">
        <v>2017</v>
      </c>
      <c r="C944" t="s">
        <v>93</v>
      </c>
      <c r="D944" t="s">
        <v>2865</v>
      </c>
    </row>
    <row r="945" spans="1:4" x14ac:dyDescent="0.35">
      <c r="A945">
        <v>703</v>
      </c>
      <c r="B945">
        <v>2017</v>
      </c>
      <c r="C945" t="s">
        <v>72</v>
      </c>
      <c r="D945" t="s">
        <v>2885</v>
      </c>
    </row>
    <row r="946" spans="1:4" x14ac:dyDescent="0.35">
      <c r="A946">
        <v>703</v>
      </c>
      <c r="B946">
        <v>2017</v>
      </c>
      <c r="C946" t="s">
        <v>341</v>
      </c>
      <c r="D946" t="s">
        <v>2940</v>
      </c>
    </row>
    <row r="947" spans="1:4" x14ac:dyDescent="0.35">
      <c r="A947">
        <v>703</v>
      </c>
      <c r="B947">
        <v>2017</v>
      </c>
      <c r="C947" t="s">
        <v>164</v>
      </c>
      <c r="D947" t="s">
        <v>3013</v>
      </c>
    </row>
    <row r="948" spans="1:4" x14ac:dyDescent="0.35">
      <c r="A948">
        <v>704</v>
      </c>
      <c r="B948">
        <v>2023</v>
      </c>
      <c r="C948" t="s">
        <v>19</v>
      </c>
      <c r="D948" t="s">
        <v>2863</v>
      </c>
    </row>
    <row r="949" spans="1:4" x14ac:dyDescent="0.35">
      <c r="A949">
        <v>704</v>
      </c>
      <c r="B949">
        <v>2023</v>
      </c>
      <c r="C949" t="s">
        <v>72</v>
      </c>
      <c r="D949" t="s">
        <v>2885</v>
      </c>
    </row>
    <row r="950" spans="1:4" x14ac:dyDescent="0.35">
      <c r="A950">
        <v>705</v>
      </c>
      <c r="B950">
        <v>2022</v>
      </c>
      <c r="C950" t="s">
        <v>3765</v>
      </c>
      <c r="D950" t="s">
        <v>3765</v>
      </c>
    </row>
    <row r="951" spans="1:4" x14ac:dyDescent="0.35">
      <c r="A951">
        <v>706</v>
      </c>
      <c r="B951">
        <v>2021</v>
      </c>
      <c r="C951" t="s">
        <v>72</v>
      </c>
      <c r="D951" t="s">
        <v>2885</v>
      </c>
    </row>
    <row r="952" spans="1:4" x14ac:dyDescent="0.35">
      <c r="A952">
        <v>707</v>
      </c>
      <c r="B952">
        <v>2015</v>
      </c>
      <c r="C952" t="s">
        <v>72</v>
      </c>
      <c r="D952" t="s">
        <v>2885</v>
      </c>
    </row>
    <row r="953" spans="1:4" x14ac:dyDescent="0.35">
      <c r="A953">
        <v>708</v>
      </c>
      <c r="B953">
        <v>2021</v>
      </c>
      <c r="C953" t="s">
        <v>72</v>
      </c>
      <c r="D953" t="s">
        <v>2885</v>
      </c>
    </row>
    <row r="954" spans="1:4" x14ac:dyDescent="0.35">
      <c r="A954">
        <v>709</v>
      </c>
      <c r="B954">
        <v>2023</v>
      </c>
      <c r="C954" t="s">
        <v>78</v>
      </c>
      <c r="D954" t="s">
        <v>2865</v>
      </c>
    </row>
    <row r="955" spans="1:4" x14ac:dyDescent="0.35">
      <c r="A955">
        <v>710</v>
      </c>
      <c r="B955">
        <v>2018</v>
      </c>
      <c r="C955" t="s">
        <v>517</v>
      </c>
      <c r="D955" t="s">
        <v>2874</v>
      </c>
    </row>
    <row r="956" spans="1:4" x14ac:dyDescent="0.35">
      <c r="A956">
        <v>711</v>
      </c>
      <c r="B956">
        <v>2021</v>
      </c>
      <c r="C956" t="s">
        <v>231</v>
      </c>
      <c r="D956" t="s">
        <v>2908</v>
      </c>
    </row>
    <row r="957" spans="1:4" x14ac:dyDescent="0.35">
      <c r="A957">
        <v>712</v>
      </c>
      <c r="B957">
        <v>2023</v>
      </c>
      <c r="C957" t="s">
        <v>48</v>
      </c>
      <c r="D957" t="s">
        <v>3767</v>
      </c>
    </row>
    <row r="958" spans="1:4" x14ac:dyDescent="0.35">
      <c r="A958">
        <v>713</v>
      </c>
      <c r="B958">
        <v>2021</v>
      </c>
      <c r="C958" t="s">
        <v>19</v>
      </c>
      <c r="D958" t="s">
        <v>2863</v>
      </c>
    </row>
    <row r="959" spans="1:4" x14ac:dyDescent="0.35">
      <c r="A959">
        <v>713</v>
      </c>
      <c r="B959">
        <v>2021</v>
      </c>
      <c r="C959" t="s">
        <v>231</v>
      </c>
      <c r="D959" t="s">
        <v>2908</v>
      </c>
    </row>
    <row r="960" spans="1:4" x14ac:dyDescent="0.35">
      <c r="A960">
        <v>714</v>
      </c>
      <c r="B960">
        <v>2014</v>
      </c>
      <c r="C960" t="s">
        <v>231</v>
      </c>
      <c r="D960" t="s">
        <v>2908</v>
      </c>
    </row>
    <row r="961" spans="1:4" x14ac:dyDescent="0.35">
      <c r="A961">
        <v>715</v>
      </c>
      <c r="B961">
        <v>2021</v>
      </c>
      <c r="C961" t="s">
        <v>497</v>
      </c>
      <c r="D961" t="s">
        <v>3772</v>
      </c>
    </row>
    <row r="962" spans="1:4" x14ac:dyDescent="0.35">
      <c r="A962">
        <v>716</v>
      </c>
      <c r="B962">
        <v>2022</v>
      </c>
      <c r="C962" t="s">
        <v>3765</v>
      </c>
      <c r="D962" t="s">
        <v>3765</v>
      </c>
    </row>
    <row r="963" spans="1:4" x14ac:dyDescent="0.35">
      <c r="A963">
        <v>717</v>
      </c>
      <c r="B963">
        <v>2022</v>
      </c>
      <c r="C963" t="s">
        <v>98</v>
      </c>
      <c r="D963" t="s">
        <v>2874</v>
      </c>
    </row>
    <row r="964" spans="1:4" x14ac:dyDescent="0.35">
      <c r="A964">
        <v>718</v>
      </c>
      <c r="B964">
        <v>2018</v>
      </c>
      <c r="C964" t="s">
        <v>72</v>
      </c>
      <c r="D964" t="s">
        <v>2885</v>
      </c>
    </row>
    <row r="965" spans="1:4" x14ac:dyDescent="0.35">
      <c r="A965">
        <v>719</v>
      </c>
      <c r="B965">
        <v>2019</v>
      </c>
      <c r="C965" t="s">
        <v>19</v>
      </c>
      <c r="D965" t="s">
        <v>2863</v>
      </c>
    </row>
    <row r="966" spans="1:4" x14ac:dyDescent="0.35">
      <c r="A966">
        <v>720</v>
      </c>
      <c r="B966">
        <v>2015</v>
      </c>
      <c r="C966" t="s">
        <v>19</v>
      </c>
      <c r="D966" t="s">
        <v>2863</v>
      </c>
    </row>
    <row r="967" spans="1:4" x14ac:dyDescent="0.35">
      <c r="A967">
        <v>721</v>
      </c>
      <c r="B967">
        <v>2017</v>
      </c>
      <c r="C967" t="s">
        <v>19</v>
      </c>
      <c r="D967" t="s">
        <v>2863</v>
      </c>
    </row>
    <row r="968" spans="1:4" x14ac:dyDescent="0.35">
      <c r="A968">
        <v>722</v>
      </c>
      <c r="B968">
        <v>2019</v>
      </c>
      <c r="C968" t="s">
        <v>231</v>
      </c>
      <c r="D968" t="s">
        <v>2908</v>
      </c>
    </row>
    <row r="969" spans="1:4" x14ac:dyDescent="0.35">
      <c r="A969">
        <v>723</v>
      </c>
      <c r="B969">
        <v>2016</v>
      </c>
      <c r="C969" t="s">
        <v>3765</v>
      </c>
      <c r="D969" t="s">
        <v>3765</v>
      </c>
    </row>
    <row r="970" spans="1:4" x14ac:dyDescent="0.35">
      <c r="A970">
        <v>724</v>
      </c>
      <c r="B970">
        <v>2015</v>
      </c>
      <c r="C970" t="s">
        <v>3774</v>
      </c>
      <c r="D970" t="s">
        <v>3775</v>
      </c>
    </row>
    <row r="971" spans="1:4" x14ac:dyDescent="0.35">
      <c r="A971">
        <v>724</v>
      </c>
      <c r="B971">
        <v>2015</v>
      </c>
      <c r="C971" t="s">
        <v>93</v>
      </c>
      <c r="D971" t="s">
        <v>2865</v>
      </c>
    </row>
    <row r="972" spans="1:4" x14ac:dyDescent="0.35">
      <c r="A972">
        <v>725</v>
      </c>
      <c r="B972">
        <v>2014</v>
      </c>
      <c r="C972" t="s">
        <v>56</v>
      </c>
      <c r="D972" t="s">
        <v>2874</v>
      </c>
    </row>
    <row r="973" spans="1:4" x14ac:dyDescent="0.35">
      <c r="A973">
        <v>726</v>
      </c>
      <c r="B973">
        <v>2014</v>
      </c>
      <c r="C973" t="s">
        <v>72</v>
      </c>
      <c r="D973" t="s">
        <v>2885</v>
      </c>
    </row>
    <row r="974" spans="1:4" x14ac:dyDescent="0.35">
      <c r="A974">
        <v>726</v>
      </c>
      <c r="B974">
        <v>2014</v>
      </c>
      <c r="C974" t="s">
        <v>25</v>
      </c>
      <c r="D974" t="s">
        <v>2893</v>
      </c>
    </row>
    <row r="975" spans="1:4" x14ac:dyDescent="0.35">
      <c r="A975">
        <v>727</v>
      </c>
      <c r="B975">
        <v>2020</v>
      </c>
      <c r="C975" t="s">
        <v>72</v>
      </c>
      <c r="D975" t="s">
        <v>2885</v>
      </c>
    </row>
    <row r="976" spans="1:4" x14ac:dyDescent="0.35">
      <c r="A976">
        <v>727</v>
      </c>
      <c r="B976">
        <v>2020</v>
      </c>
      <c r="C976" t="s">
        <v>231</v>
      </c>
      <c r="D976" t="s">
        <v>2908</v>
      </c>
    </row>
    <row r="977" spans="1:4" x14ac:dyDescent="0.35">
      <c r="A977">
        <v>728</v>
      </c>
      <c r="B977">
        <v>2016</v>
      </c>
      <c r="C977" t="s">
        <v>5</v>
      </c>
      <c r="D977" t="s">
        <v>2908</v>
      </c>
    </row>
    <row r="978" spans="1:4" x14ac:dyDescent="0.35">
      <c r="A978">
        <v>729</v>
      </c>
      <c r="B978">
        <v>2018</v>
      </c>
      <c r="C978" t="s">
        <v>19</v>
      </c>
      <c r="D978" t="s">
        <v>2863</v>
      </c>
    </row>
    <row r="979" spans="1:4" x14ac:dyDescent="0.35">
      <c r="A979">
        <v>729</v>
      </c>
      <c r="B979">
        <v>2018</v>
      </c>
      <c r="C979" t="s">
        <v>517</v>
      </c>
      <c r="D979" t="s">
        <v>2874</v>
      </c>
    </row>
    <row r="980" spans="1:4" x14ac:dyDescent="0.35">
      <c r="A980">
        <v>730</v>
      </c>
      <c r="B980">
        <v>2018</v>
      </c>
      <c r="C980" t="s">
        <v>3770</v>
      </c>
      <c r="D980" t="s">
        <v>3770</v>
      </c>
    </row>
    <row r="981" spans="1:4" x14ac:dyDescent="0.35">
      <c r="A981">
        <v>731</v>
      </c>
      <c r="B981">
        <v>2018</v>
      </c>
      <c r="C981" t="s">
        <v>72</v>
      </c>
      <c r="D981" t="s">
        <v>2885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data_notes</vt:lpstr>
      <vt:lpstr>complete_dataset</vt:lpstr>
      <vt:lpstr>figures</vt:lpstr>
      <vt:lpstr>author_data_clean</vt:lpstr>
      <vt:lpstr>publication_data_clean</vt:lpstr>
      <vt:lpstr>funding_statement_data_clean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Custado, Manuel Justin</dc:creator>
  <cp:lastModifiedBy>Custado, Manuel Justin</cp:lastModifiedBy>
  <dcterms:created xsi:type="dcterms:W3CDTF">2025-02-18T18:22:48Z</dcterms:created>
  <dcterms:modified xsi:type="dcterms:W3CDTF">2025-06-02T19:04:52Z</dcterms:modified>
</cp:coreProperties>
</file>