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P&amp;L" sheetId="1" r:id="rId4"/>
    <sheet state="visible" name="CombinedHelper" sheetId="2" r:id="rId5"/>
    <sheet state="visible" name="LocationGrowth" sheetId="3" r:id="rId6"/>
    <sheet state="visible" name="Products" sheetId="4" r:id="rId7"/>
    <sheet state="visible" name="InputVariables" sheetId="5" r:id="rId8"/>
    <sheet state="visible" name="CustomerGrowthandMix" sheetId="6" r:id="rId9"/>
    <sheet state="visible" name="Subscription Support Costs" sheetId="7" r:id="rId10"/>
  </sheets>
  <definedNames>
    <definedName name="ProductsTable">Products!$A:$G</definedName>
    <definedName name="Categories">InputVariables!$A$2:$A$9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9">
      <text>
        <t xml:space="preserve">Citations: https://chatgpt.com/share/67d12dbd-51c0-8000-b3de-fd13aa85a07b
	-Justin Leader</t>
      </text>
    </comment>
  </commentList>
</comments>
</file>

<file path=xl/sharedStrings.xml><?xml version="1.0" encoding="utf-8"?>
<sst xmlns="http://schemas.openxmlformats.org/spreadsheetml/2006/main" count="1520" uniqueCount="694">
  <si>
    <t>Services Matrix</t>
  </si>
  <si>
    <t>NOTE: Final combined numbers are from A58:R68</t>
  </si>
  <si>
    <t>pricing for each individual service</t>
  </si>
  <si>
    <t>Basic</t>
  </si>
  <si>
    <t>Enthusiast</t>
  </si>
  <si>
    <t>Luxury</t>
  </si>
  <si>
    <t>New Home Build</t>
  </si>
  <si>
    <t>Renovation</t>
  </si>
  <si>
    <t>Smaller Improvement</t>
  </si>
  <si>
    <t>Hardware Revenue</t>
  </si>
  <si>
    <t>Hardware COGS</t>
  </si>
  <si>
    <t>Labor Hours</t>
  </si>
  <si>
    <t>Labor Revenue</t>
  </si>
  <si>
    <t>Labor Internal COGS</t>
  </si>
  <si>
    <t>Gross Profit</t>
  </si>
  <si>
    <t>Average Location</t>
  </si>
  <si>
    <t>Acquired - Basic Tier Only</t>
  </si>
  <si>
    <t>Grown - Basic  Tier Only</t>
  </si>
  <si>
    <t>Year 1</t>
  </si>
  <si>
    <t>Year 2</t>
  </si>
  <si>
    <t>Year 3</t>
  </si>
  <si>
    <t>Year 4</t>
  </si>
  <si>
    <t>Year 5</t>
  </si>
  <si>
    <t>Year 6</t>
  </si>
  <si>
    <t>Year 7</t>
  </si>
  <si>
    <t>Basic Hardware Margin</t>
  </si>
  <si>
    <t>Basic Labor Margin</t>
  </si>
  <si>
    <t>Basic Customers</t>
  </si>
  <si>
    <t>Acquired - Enthusiast Tier Only</t>
  </si>
  <si>
    <t>Grown - Enthusiast  Tier Only</t>
  </si>
  <si>
    <t>Enthusiast Hardware Revenue</t>
  </si>
  <si>
    <t>Enthusiast Hardware COGs</t>
  </si>
  <si>
    <t>Enthusiast Hardware Margin</t>
  </si>
  <si>
    <t>Enthusiast Labor Hours</t>
  </si>
  <si>
    <t>Enthusiast Labor Revenue</t>
  </si>
  <si>
    <t>Enthusiast Labor Internal COGS</t>
  </si>
  <si>
    <t>Enthusiast Labor Margin</t>
  </si>
  <si>
    <t>Enthusiast Customers</t>
  </si>
  <si>
    <t>Acquired - Luxury  Tier Only</t>
  </si>
  <si>
    <t>Grown - Luxury  Tier Only</t>
  </si>
  <si>
    <t>Luxury Hardware Revenue</t>
  </si>
  <si>
    <t>Luxury Hardware COGs</t>
  </si>
  <si>
    <t>Luxury Hardware Margin</t>
  </si>
  <si>
    <t>Luxury Labor Hours</t>
  </si>
  <si>
    <t>Luxury Labor Revenue</t>
  </si>
  <si>
    <t>Luxury Labor Internal COGS</t>
  </si>
  <si>
    <t>Luxury Labor Margin</t>
  </si>
  <si>
    <t>Luxury Customers</t>
  </si>
  <si>
    <t>Financials for One Average Acquired Location</t>
  </si>
  <si>
    <t>Financials for One Average Grown Location</t>
  </si>
  <si>
    <t>Hardware Margin</t>
  </si>
  <si>
    <t>Labor Margin</t>
  </si>
  <si>
    <t>Customers</t>
  </si>
  <si>
    <t>Year</t>
  </si>
  <si>
    <t>Location Counts</t>
  </si>
  <si>
    <t>Acquired Locations by Maturity Year</t>
  </si>
  <si>
    <t>Year 1 Maturity</t>
  </si>
  <si>
    <t>Year 2 Maturity</t>
  </si>
  <si>
    <t>Year 3 Maturity</t>
  </si>
  <si>
    <t>Year 4 Maturity</t>
  </si>
  <si>
    <t>Year 5 Maturity</t>
  </si>
  <si>
    <t>Year 6 Maturity</t>
  </si>
  <si>
    <t>Year 7 Maturity</t>
  </si>
  <si>
    <t>Grown Locations by Maturity Year</t>
  </si>
  <si>
    <t>Total Locations</t>
  </si>
  <si>
    <t>Helper numbers do not delete</t>
  </si>
  <si>
    <t>Metric</t>
  </si>
  <si>
    <t>Year 0</t>
  </si>
  <si>
    <t>Lux Hardware Revenue</t>
  </si>
  <si>
    <t>Revenue</t>
  </si>
  <si>
    <t>Lux Hardware Margin</t>
  </si>
  <si>
    <t>Lux Labor Revenue</t>
  </si>
  <si>
    <t>Lux Customers</t>
  </si>
  <si>
    <t>Labor Internal Cost</t>
  </si>
  <si>
    <t>Labor Cost</t>
  </si>
  <si>
    <t>Gross Revenue</t>
  </si>
  <si>
    <t>Support Revenue</t>
  </si>
  <si>
    <t>Support Cost</t>
  </si>
  <si>
    <t>Support Margin</t>
  </si>
  <si>
    <t>Referral Revenue</t>
  </si>
  <si>
    <r>
      <rPr>
        <rFont val="Arial"/>
        <b/>
        <color theme="1"/>
      </rPr>
      <t xml:space="preserve">Net Revenue 
</t>
    </r>
    <r>
      <rPr>
        <rFont val="Arial"/>
        <b val="0"/>
        <color theme="1"/>
      </rPr>
      <t>(Hardware Margin + Labor Revenue)</t>
    </r>
  </si>
  <si>
    <t>Net Revenue</t>
  </si>
  <si>
    <t>Marketing</t>
  </si>
  <si>
    <t>Operations</t>
  </si>
  <si>
    <t>Executive (HR, Mgmt, etc)</t>
  </si>
  <si>
    <t>Debt Service</t>
  </si>
  <si>
    <t>Corporate Overhead</t>
  </si>
  <si>
    <t>EBITDA</t>
  </si>
  <si>
    <t>Locations</t>
  </si>
  <si>
    <t>Total Customers</t>
  </si>
  <si>
    <t>Grown (New)</t>
  </si>
  <si>
    <t>Acquired (New)</t>
  </si>
  <si>
    <t>Basic Support Customers (New)</t>
  </si>
  <si>
    <t>Total (New)</t>
  </si>
  <si>
    <t>Basic Support Subscribers (Cumulative)</t>
  </si>
  <si>
    <t>Total Cumulative</t>
  </si>
  <si>
    <t>Churning Subscribers</t>
  </si>
  <si>
    <t>Total Subscribers</t>
  </si>
  <si>
    <t>Total Support Customers</t>
  </si>
  <si>
    <t>Revenue of Support</t>
  </si>
  <si>
    <t>Cost of Support</t>
  </si>
  <si>
    <t>Basic Revenue</t>
  </si>
  <si>
    <t>Capital Investment Cost Predicted</t>
  </si>
  <si>
    <t>Basic Costs</t>
  </si>
  <si>
    <t>Cash Cushion % Target</t>
  </si>
  <si>
    <t>Basic Margin</t>
  </si>
  <si>
    <t>Cash Cushion Target</t>
  </si>
  <si>
    <t>Total Investment Needed</t>
  </si>
  <si>
    <t>Debt Portion of Investment</t>
  </si>
  <si>
    <t>Equity Investment</t>
  </si>
  <si>
    <t>Debt Portion of Investment (Cumulative)</t>
  </si>
  <si>
    <t>Total Investment Target</t>
  </si>
  <si>
    <t>Capital Flow</t>
  </si>
  <si>
    <t>Capital Balance (Cumulative)</t>
  </si>
  <si>
    <t xml:space="preserve">Corporate Value </t>
  </si>
  <si>
    <t>Support Customers (New)</t>
  </si>
  <si>
    <t>Support Subscribers (Cumulative)</t>
  </si>
  <si>
    <t>Enthusiast Revenue</t>
  </si>
  <si>
    <t>Enthusiast Costs</t>
  </si>
  <si>
    <t>Enthusiast Margin</t>
  </si>
  <si>
    <r>
      <rPr>
        <rFont val="Arial"/>
        <b/>
        <color theme="1"/>
      </rPr>
      <t xml:space="preserve">Net Revenue 
</t>
    </r>
    <r>
      <rPr>
        <rFont val="Arial"/>
        <b val="0"/>
        <color theme="1"/>
      </rPr>
      <t>(Hardware Margin + Labor Revenue)</t>
    </r>
  </si>
  <si>
    <t>Executive (Management, HR, Legal, etc.)</t>
  </si>
  <si>
    <t>Luxury Revenue</t>
  </si>
  <si>
    <t>Luxury Costs</t>
  </si>
  <si>
    <t>Luxury Margin</t>
  </si>
  <si>
    <t>Total Support Revenue</t>
  </si>
  <si>
    <t>Total Support Costs</t>
  </si>
  <si>
    <t>Combined P&amp;L - Generated 2025-03-11 17:23:53</t>
  </si>
  <si>
    <t>Acquire or Organic</t>
  </si>
  <si>
    <t>City</t>
  </si>
  <si>
    <t>State</t>
  </si>
  <si>
    <t>Population</t>
  </si>
  <si>
    <t>Labor Cost Multiplier</t>
  </si>
  <si>
    <t>Notes</t>
  </si>
  <si>
    <t>Acquisition</t>
  </si>
  <si>
    <t>Los Angeles</t>
  </si>
  <si>
    <t>CA</t>
  </si>
  <si>
    <t>12.68 M</t>
  </si>
  <si>
    <t>High-income market (top smart-home listings) ([Smart Homes 2025: Trends, Pricing, and Buyer Insights</t>
  </si>
  <si>
    <t>San Francisco</t>
  </si>
  <si>
    <t>3.36 M</t>
  </si>
  <si>
    <r>
      <t>Affluent tech hub (Bay Area ~7.5 M people (</t>
    </r>
    <r>
      <rPr>
        <color rgb="FF1155CC"/>
        <u/>
      </rPr>
      <t>San Francisco Bay Area - Wikipedia</t>
    </r>
    <r>
      <rPr/>
      <t>)); regional wildfire seasons (smoke from NorCal fires) spur interest in air quality and safety monitoring.</t>
    </r>
  </si>
  <si>
    <t>Organic</t>
  </si>
  <si>
    <t>Seattle</t>
  </si>
  <si>
    <t>WA</t>
  </si>
  <si>
    <t>3.58 M</t>
  </si>
  <si>
    <r>
      <t>Tech-driven affluent city; overall crime rose ~10% post-2020 (</t>
    </r>
    <r>
      <rPr>
        <color rgb="FF1155CC"/>
        <u/>
      </rPr>
      <t>Violence and property crime are up in Seattle. Here's how officials ...</t>
    </r>
    <r>
      <rPr/>
      <t>), boosting home security adoption. Regional wildfire smoke issues also increase demand for air quality monitors.</t>
    </r>
  </si>
  <si>
    <t>Phoenix</t>
  </si>
  <si>
    <t>AZ</t>
  </si>
  <si>
    <t>4.83 M</t>
  </si>
  <si>
    <r>
      <t>Fast-growing metro (1.9% annual growth) (</t>
    </r>
    <r>
      <rPr>
        <color rgb="FF1155CC"/>
        <u/>
      </rPr>
      <t>Phoenix is one of the fastest-growing cities in the nation. How does it plan to handle population growth, pollution? - Blaze Radio</t>
    </r>
    <r>
      <rPr/>
      <t>) with extensive new home construction; strong demand for smart thermostats and water leak sensors in extreme heat and monsoon season.</t>
    </r>
  </si>
  <si>
    <t>Houston</t>
  </si>
  <si>
    <t>TX</t>
  </si>
  <si>
    <t>6.89 M</t>
  </si>
  <si>
    <t>Huge, wealthy metro with rapid growth ([Los Angeles Metro Area Population 1950-2025</t>
  </si>
  <si>
    <t>Denver</t>
  </si>
  <si>
    <t>CO</t>
  </si>
  <si>
    <t>2.99 M</t>
  </si>
  <si>
    <r>
      <t>Booming population and new builds in Colorado; the 2021 Marshall Fire destroyed 1,000+ homes nearby (</t>
    </r>
    <r>
      <rPr>
        <color rgb="FF1155CC"/>
        <u/>
      </rPr>
      <t>Boulder County Protects Residents with Clarity</t>
    </r>
    <r>
      <rPr/>
      <t>), raising local awareness for wildfire sensors and air filtration tech.</t>
    </r>
  </si>
  <si>
    <t>Dallas</t>
  </si>
  <si>
    <t>6.73 M</t>
  </si>
  <si>
    <t>High-income sprawling metro; among the top U.S. markets for smart-home adoption ([Smart Homes 2025: Trends, Pricing, and Buyer Insights</t>
  </si>
  <si>
    <t>Chicago</t>
  </si>
  <si>
    <t>IL</t>
  </si>
  <si>
    <t>9.04 M</t>
  </si>
  <si>
    <t>Midwest’s largest metro and financial hub; establishes central U.S. presence. Some recent upticks in property crime prompt demand for advanced security systems in upscale neighborhoods.</t>
  </si>
  <si>
    <t>Atlanta</t>
  </si>
  <si>
    <t>GA</t>
  </si>
  <si>
    <t>6.27 M</t>
  </si>
  <si>
    <t>Southeast business hub with rapid suburban growth; significant in-migration and new housing. Expansion here addresses regional security concerns amid a recovering crime rate.</t>
  </si>
  <si>
    <t>Washington</t>
  </si>
  <si>
    <t>DC</t>
  </si>
  <si>
    <t>5.60 M</t>
  </si>
  <si>
    <r>
      <t>One of the nation’s highest-income metros (</t>
    </r>
    <r>
      <rPr>
        <color rgb="FF1155CC"/>
        <u/>
      </rPr>
      <t>Purchasing Power Map: Most Expensive US Cities &amp; Metros</t>
    </r>
    <r>
      <rPr/>
      <t>) with tech-savvy, security-conscious consumers. Presence in D.C. area targets affluent suburbs and upselling of smart security to government contractors.</t>
    </r>
  </si>
  <si>
    <t>Miami</t>
  </si>
  <si>
    <t>FL</t>
  </si>
  <si>
    <t>6.37 M</t>
  </si>
  <si>
    <t>Luxury coastal market with strong demand for smart home tech ([Smart Homes 2025: Trends, Pricing, and Buyer Insights</t>
  </si>
  <si>
    <t>Boston</t>
  </si>
  <si>
    <t>MA</t>
  </si>
  <si>
    <t>4.40 M</t>
  </si>
  <si>
    <r>
      <t>Educated, affluent market (top 15 costliest metro)​</t>
    </r>
    <r>
      <rPr>
        <color rgb="FF1155CC"/>
        <u/>
      </rPr>
      <t>taxfoundation.org</t>
    </r>
    <r>
      <rPr/>
      <t xml:space="preserve">
 with many high-spending consumers. High rate of smart home adoption in tech/biotech executive communities; occasional nor’easter storms underscore value of flood and power monitoring.</t>
    </r>
  </si>
  <si>
    <t>Austin</t>
  </si>
  <si>
    <t>2.31 M</t>
  </si>
  <si>
    <r>
      <t>Tech boomtown attracting high earners​</t>
    </r>
    <r>
      <rPr>
        <color rgb="FF1155CC"/>
        <u/>
      </rPr>
      <t>connect.onefpa.org</t>
    </r>
    <r>
      <rPr/>
      <t xml:space="preserve">
 (Tesla, Oracle relocations); rapid new luxury home development. Growing upper-mid customer base drives organic expansion in smart security and energy management solutions.</t>
    </r>
  </si>
  <si>
    <t>Detroit</t>
  </si>
  <si>
    <t>MI</t>
  </si>
  <si>
    <t>4.33 M</t>
  </si>
  <si>
    <t>New York</t>
  </si>
  <si>
    <t>NY</t>
  </si>
  <si>
    <t>19.15 M</t>
  </si>
  <si>
    <r>
      <t>Nation’s largest metro​</t>
    </r>
    <r>
      <rPr>
        <color rgb="FF1155CC"/>
        <u/>
      </rPr>
      <t>macrotrends.net</t>
    </r>
    <r>
      <rPr/>
      <t xml:space="preserve">
 and financial center; extremely high concentration of affluent customers. NYC is a top smart-home market by volume​</t>
    </r>
    <r>
      <rPr>
        <color rgb="FF1155CC"/>
        <u/>
      </rPr>
      <t>vivint.com</t>
    </r>
    <r>
      <rPr/>
      <t xml:space="preserve">
, warranting entry via acquisition for an established client base.</t>
    </r>
  </si>
  <si>
    <t>Philadelphia</t>
  </si>
  <si>
    <t>PA</t>
  </si>
  <si>
    <t>5.86 M</t>
  </si>
  <si>
    <r>
      <t>Dense Northeast corridor market with affluent suburbs (Main Line). The area’s violent crime rate is higher than national averages​</t>
    </r>
    <r>
      <rPr>
        <color rgb="FF1155CC"/>
        <u/>
      </rPr>
      <t>en.wikipedia.org</t>
    </r>
    <r>
      <rPr/>
      <t xml:space="preserve">
, fueling demand for professional security and surveillance systems in upscale communities.</t>
    </r>
  </si>
  <si>
    <t>Charlotte</t>
  </si>
  <si>
    <t>NC</t>
  </si>
  <si>
    <t>2.37 M</t>
  </si>
  <si>
    <r>
      <t>Banking center with surging population (117 new residents per day)​</t>
    </r>
    <r>
      <rPr>
        <color rgb="FF1155CC"/>
        <u/>
      </rPr>
      <t>gaston.org</t>
    </r>
    <r>
      <rPr/>
      <t xml:space="preserve">
 and home construction. Expansion captures the Carolinas’ high-growth, high-income suburban market with interest in smart security and energy savings tech.</t>
    </r>
  </si>
  <si>
    <t>Minneapolis</t>
  </si>
  <si>
    <t>MN</t>
  </si>
  <si>
    <t>3.04 M</t>
  </si>
  <si>
    <r>
      <t>High per-capita income, stable Midwest market (HQ for many Fortune 500s). After 2020 unrest, Minnesota saw a 17% surge in violent crime​</t>
    </r>
    <r>
      <rPr>
        <color rgb="FF1155CC"/>
        <u/>
      </rPr>
      <t>mprnews.org</t>
    </r>
    <r>
      <rPr/>
      <t xml:space="preserve">
, prompting greater interest in advanced home security and monitoring in the Twin Cities.</t>
    </r>
  </si>
  <si>
    <t>Columbus</t>
  </si>
  <si>
    <t>OH</t>
  </si>
  <si>
    <t>2.13 M</t>
  </si>
  <si>
    <t>Indianapolis</t>
  </si>
  <si>
    <t>IN</t>
  </si>
  <si>
    <t>2.02 M</t>
  </si>
  <si>
    <t>San Antonio</t>
  </si>
  <si>
    <t>2.55 M</t>
  </si>
  <si>
    <t>San Diego</t>
  </si>
  <si>
    <t>3.37 M</t>
  </si>
  <si>
    <r>
      <t>Affluent coastal metro; second-most expensive U.S. housing market​</t>
    </r>
    <r>
      <rPr>
        <color rgb="FF1155CC"/>
        <u/>
      </rPr>
      <t>taxfoundation.org</t>
    </r>
    <r>
      <rPr/>
      <t xml:space="preserve">
. History of wildfires (2007 fires destroyed ~1,600 homes)​</t>
    </r>
    <r>
      <rPr>
        <color rgb="FF1155CC"/>
        <u/>
      </rPr>
      <t>10news.com</t>
    </r>
    <r>
      <rPr/>
      <t xml:space="preserve">
 drives demand for air quality, fire detection, and backup power solutions.</t>
    </r>
  </si>
  <si>
    <t>Tampa</t>
  </si>
  <si>
    <r>
      <t>Fast-growing Florida metro​</t>
    </r>
    <r>
      <rPr>
        <color rgb="FF1155CC"/>
        <u/>
      </rPr>
      <t>macrotrends.net</t>
    </r>
    <r>
      <rPr/>
      <t xml:space="preserve">
 with extensive new suburbs. Highly hurricane-exposed area – Tampa Bay is rated the most vulnerable U.S. city to hurricane damage (storm surge risk ~$175 B)​</t>
    </r>
    <r>
      <rPr>
        <color rgb="FF1155CC"/>
        <u/>
      </rPr>
      <t>wired.com</t>
    </r>
    <r>
      <rPr/>
      <t xml:space="preserve">
 – boosting demand for flood sensors and resilient smart home installs.</t>
    </r>
  </si>
  <si>
    <t>Portland</t>
  </si>
  <si>
    <t>OR</t>
  </si>
  <si>
    <t>2.27 M</t>
  </si>
  <si>
    <r>
      <t>Tech-influenced market with steady growth. In 2020, nearby wildfires gave Portland the world’s worst air quality​</t>
    </r>
    <r>
      <rPr>
        <color rgb="FF1155CC"/>
        <u/>
      </rPr>
      <t>pbs.org</t>
    </r>
    <r>
      <rPr/>
      <t xml:space="preserve">
, spurring adoption of smart air purifiers and environmental sensors; civil unrest in 2020 also increased interest in security systems.</t>
    </r>
  </si>
  <si>
    <t>Nashville</t>
  </si>
  <si>
    <t>TN</t>
  </si>
  <si>
    <t>2.10 M</t>
  </si>
  <si>
    <r>
      <t>Booming Sunbelt metro (projected 38% population growth 2010–2025)​</t>
    </r>
    <r>
      <rPr>
        <color rgb="FF1155CC"/>
        <u/>
      </rPr>
      <t>lawnstarter.com</t>
    </r>
    <r>
      <rPr/>
      <t xml:space="preserve">
 and thriving construction of upscale homes. Expansion targets its high-income suburbs and rapid urbanization, amid recent tornado and crime concerns driving smart security uptake.</t>
    </r>
  </si>
  <si>
    <t>Las Vegas</t>
  </si>
  <si>
    <t>NV</t>
  </si>
  <si>
    <t>3.00 M</t>
  </si>
  <si>
    <r>
      <t>Tourism hub with ongoing new home development. Property crime rates ~22% above U.S. average​</t>
    </r>
    <r>
      <rPr>
        <color rgb="FF1155CC"/>
        <u/>
      </rPr>
      <t>goldbergloren.com</t>
    </r>
    <r>
      <rPr/>
      <t xml:space="preserve">
 in Las Vegas are motivating homeowners to invest in smart security, while growth in high-end communities supports a local integrator acquisition.</t>
    </r>
  </si>
  <si>
    <t>Pittsburgh</t>
  </si>
  <si>
    <t>2.32 M</t>
  </si>
  <si>
    <t>Kansas City</t>
  </si>
  <si>
    <t>MO</t>
  </si>
  <si>
    <t>2.15 M</t>
  </si>
  <si>
    <t>Madison</t>
  </si>
  <si>
    <t>WI</t>
  </si>
  <si>
    <t>0.67 M</t>
  </si>
  <si>
    <t>Orlando</t>
  </si>
  <si>
    <t>2.57 M</t>
  </si>
  <si>
    <t>Salt Lake City</t>
  </si>
  <si>
    <t>UT</t>
  </si>
  <si>
    <t>1.27 M</t>
  </si>
  <si>
    <r>
      <t>Mountain West tech hub (“Silicon Slopes”) anchoring Utah. Utah was the fastest-growing state from 2010–2023 (23.9% increase)​</t>
    </r>
    <r>
      <rPr>
        <color rgb="FF1155CC"/>
        <u/>
      </rPr>
      <t>worldpopulationreview.com</t>
    </r>
    <r>
      <rPr/>
      <t xml:space="preserve">
, creating strong demand for smart home integration in new master-planned communities and high-tech homes.</t>
    </r>
  </si>
  <si>
    <t># of locations new each year</t>
  </si>
  <si>
    <t>Total</t>
  </si>
  <si>
    <t>Cumulative Locations Over Time</t>
  </si>
  <si>
    <t>Acquisition Cost (That Year)</t>
  </si>
  <si>
    <t>Acquisition Cost (Cumulative)</t>
  </si>
  <si>
    <r>
      <rPr>
        <rFont val="Arial"/>
        <b/>
        <color theme="1"/>
      </rPr>
      <t xml:space="preserve">Organic Cost </t>
    </r>
    <r>
      <rPr>
        <rFont val="Arial"/>
        <b/>
        <color theme="1"/>
        <sz val="7.0"/>
      </rPr>
      <t>(That Year, commited in year 1 of each new location but spent over 2 years)</t>
    </r>
  </si>
  <si>
    <t>Organic Cost (Cumulative)</t>
  </si>
  <si>
    <t>Total Cost (That Year)</t>
  </si>
  <si>
    <t>Total Cost (Cumulative)</t>
  </si>
  <si>
    <t>Customer Tier</t>
  </si>
  <si>
    <t>Project Type</t>
  </si>
  <si>
    <t>Category</t>
  </si>
  <si>
    <t>Products/Devices</t>
  </si>
  <si>
    <t>Quantity</t>
  </si>
  <si>
    <t>Individual Hardware Revenue</t>
  </si>
  <si>
    <t>Blinds &amp; Windows</t>
  </si>
  <si>
    <t>Lutron Palladiom Motorized Shades (custom shades with Sivoia QS motor)</t>
  </si>
  <si>
    <t>Approximately $3,000 each; includes installation of 15 shades</t>
  </si>
  <si>
    <t>Somfy Motorized Drapery System (premium motorized drapery track system)</t>
  </si>
  <si>
    <t>Approximately $2,000 each; includes installation of 3 drapes</t>
  </si>
  <si>
    <t>Velux Solar-Powered Skylight Opener Kit (e.g. KSX 100 model)</t>
  </si>
  <si>
    <t>Approximately $442 each; includes installation of 2 skylight openers</t>
  </si>
  <si>
    <t>Climate Control</t>
  </si>
  <si>
    <t>Ecobee Premium Smart Thermostat</t>
  </si>
  <si>
    <t>$250 each; includes installation and integration</t>
  </si>
  <si>
    <t>Ecobee SmartSensors (remote temperature/occupancy sensors)</t>
  </si>
  <si>
    <t>$50 each; includes placement and pairing</t>
  </si>
  <si>
    <t>Smart HVAC Dampers (motorized smart vents for zoned A/C)</t>
  </si>
  <si>
    <t>$100 each; includes installation</t>
  </si>
  <si>
    <t>Smart Ceiling Fans (Wi-Fi enabled with integrated LED light kit, e.g. Haiku L series)</t>
  </si>
  <si>
    <t>$500 each; includes installation</t>
  </si>
  <si>
    <t>Amaircare AirWash Whisper 350 HEPA Filtration System</t>
  </si>
  <si>
    <t>Aprilaire 801-APR Series 801 Modulating Steam Humidifier</t>
  </si>
  <si>
    <t>Aprilaire controller 62</t>
  </si>
  <si>
    <t>Aprilaire 8100 Energy Recovery Ventilation System</t>
  </si>
  <si>
    <t>AIR-1 Air Quality Sensor For Home Assistan</t>
  </si>
  <si>
    <t>Custom mount for AIR-1</t>
  </si>
  <si>
    <t>Entertainment (TV/Theater)</t>
  </si>
  <si>
    <t>Kaleidescape - Ultimate 4K Lossless Streaming Home Cinema Server + 88TB Storage</t>
  </si>
  <si>
    <t>JVC DLA‑NZ9 4K Laser Projector (8K e‑shift, HDR support, 3,000 lumens)</t>
  </si>
  <si>
    <t>Top-tier projector; ceiling mount, alignment &amp; calibration required</t>
  </si>
  <si>
    <t>Stewart StudioTek 130 G4 120″ Fixed-Frame Projector Screen</t>
  </si>
  <si>
    <t>Premium high‑end screen; assembled, wall-mounted and tensioned</t>
  </si>
  <si>
    <t>9.2.4 Atmos Speaker System (premium package, e.g. Klipsch Reference series components)</t>
  </si>
  <si>
    <t>High‑end Atmos audio setup</t>
  </si>
  <si>
    <t>Main Living 85″ OLED TV (e.g. LG OLED85C2, 4K HDR smart TV)</t>
  </si>
  <si>
    <t>Main living area TV installation</t>
  </si>
  <si>
    <t>Additional 4K TVs with Crestron NVX Distribution (integrated with Crestron DM-NVX system)</t>
  </si>
  <si>
    <t>Crestron NVX distribution and installation for 5 TVs</t>
  </si>
  <si>
    <t>Infrastructure (Water)</t>
  </si>
  <si>
    <t>Smart Water Leak Sensors (e.g. Flo by Moen Wi‑Fi sensors)</t>
  </si>
  <si>
    <t>Approximately $50 each; includes installation</t>
  </si>
  <si>
    <t>FloLogic Automatic Shutoff Valve</t>
  </si>
  <si>
    <t>Valve priced at $1,000; includes installation</t>
  </si>
  <si>
    <t>Smart Sump Pump (e.g. Wayne Basement Guardian HALO)</t>
  </si>
  <si>
    <t>Smart sump pump at $300; includes installation</t>
  </si>
  <si>
    <t>Hot Water Recirc Pump (Taco SmartPlus or equivalent)</t>
  </si>
  <si>
    <t>Pump at $1,500; includes installation</t>
  </si>
  <si>
    <t>Lighting &amp; Controls</t>
  </si>
  <si>
    <t>Lutron HomeWorks QSX Processor</t>
  </si>
  <si>
    <t>QSX Processor; requires certified Lutron installer</t>
  </si>
  <si>
    <t>Lutron Dimmers/Switches (LED‑compatible in‑wall controls)</t>
  </si>
  <si>
    <t>Approximately $200 each; includes wiring &amp; trim installation</t>
  </si>
  <si>
    <t>Lutron Designer Keypads</t>
  </si>
  <si>
    <t>Approximately $300 each; includes mounting and wiring</t>
  </si>
  <si>
    <t>Low-Voltage Wiring</t>
  </si>
  <si>
    <t>Lutron Motion Sensors</t>
  </si>
  <si>
    <t>Approximately $104 each; includes mounting and linking</t>
  </si>
  <si>
    <t>Cat6A runs?</t>
  </si>
  <si>
    <t>Approximately 50 runs for network wiring</t>
  </si>
  <si>
    <t>Fiber Optic Backbone (OM4 multimode, rack-to-rack links)</t>
  </si>
  <si>
    <t>2 fiber optic runs</t>
  </si>
  <si>
    <t>16/4 Speaker Wire (audio wiring for speaker zones)</t>
  </si>
  <si>
    <t>Wiring for 10 speaker zones</t>
  </si>
  <si>
    <t>Security Sensor Wiring (alarm wiring, e.g. 18/2 cable)</t>
  </si>
  <si>
    <t>Wiring for over 40 security sensors</t>
  </si>
  <si>
    <t>Lutron HomeWorks QS Lighting Backbone (QS Link cable)</t>
  </si>
  <si>
    <t>Dedicated wired backbone for HomeWorks QS</t>
  </si>
  <si>
    <t>Home Assistant Hub</t>
  </si>
  <si>
    <t>Raspberry Pi 4 running Home Assistant (1)</t>
  </si>
  <si>
    <t>Price based on 4GB model; Home Assistant Blue discontinued</t>
  </si>
  <si>
    <t>Assumes 3 hours for setup and configuration</t>
  </si>
  <si>
    <t>Cat6 data runs (8)</t>
  </si>
  <si>
    <t>Estimated at $0.25/ft; lengths assumed (480ft Cat6, 150ft RG6, 100ft speaker)</t>
  </si>
  <si>
    <t>Assumes 15 hours for running and terminating cables</t>
  </si>
  <si>
    <t>RG6 coax (3)</t>
  </si>
  <si>
    <t>16/2 speaker wires (2 zones)</t>
  </si>
  <si>
    <t>Networking &amp; Wi-Fi</t>
  </si>
  <si>
    <t>Unifi Security Gateway (1), PoE switch (1), UniFi access points (3)</t>
  </si>
  <si>
    <t>Gateway $150, PoE switch $200, APs $100 each; was $300 for Eero</t>
  </si>
  <si>
    <t>Assumes 2.5 hours for setup; PoE may require extra wiring time</t>
  </si>
  <si>
    <t>PoE switch (1)</t>
  </si>
  <si>
    <t>Unifi access points (3)</t>
  </si>
  <si>
    <t>Multi-Room Audio</t>
  </si>
  <si>
    <t>Denon AVR-X receiver (1), 5.1 speaker setup (1), AirPlay 2 amplifiers (2), in-ceiling speakers (2 pairs), outdoor speakers (2)</t>
  </si>
  <si>
    <t>Receiver $500, 5.1 speakers $1,000, amplifiers $300 each, in-ceiling $100/pair, outdoor $200 each; was $900</t>
  </si>
  <si>
    <t>Assumes 2 hours; outdoor and 5.1 setup may increase time</t>
  </si>
  <si>
    <t>65″ TV (1), streaming device (1)</t>
  </si>
  <si>
    <t>TV $800, streaming $50; soundbar removed (was $1,200 total)</t>
  </si>
  <si>
    <t>Assumes 2.5 hours for mounting TV and setup</t>
  </si>
  <si>
    <t>Security System (Alarm)</t>
  </si>
  <si>
    <t>Ring Alarm kit (1 base, 4 sensors, 1 keypad, 1 siren)</t>
  </si>
  <si>
    <t>Retail price for standard kit</t>
  </si>
  <si>
    <t>Assumes 3 hours for installing sensors and base</t>
  </si>
  <si>
    <t>Surveillance Cameras</t>
  </si>
  <si>
    <t>Ring Video Doorbell (1), Ring Floodlight Cam (1)</t>
  </si>
  <si>
    <t>Doorbell $150, Floodlight $200</t>
  </si>
  <si>
    <t>Assumes 2 hours for installing both cameras</t>
  </si>
  <si>
    <t>Access Control</t>
  </si>
  <si>
    <t>Smart lock (1), Wi-Fi garage door opener (1)</t>
  </si>
  <si>
    <t>Lock $250, opener $150</t>
  </si>
  <si>
    <t>Assumes 2 hours for installing lock and opener</t>
  </si>
  <si>
    <t>Air Quality &amp; Ventilation</t>
  </si>
  <si>
    <t>Indoor air quality monitor (1), HVAC filter (1)</t>
  </si>
  <si>
    <t>Monitor $130, filter $20</t>
  </si>
  <si>
    <t>Assumes 0.5 hours for setup and filter replacement</t>
  </si>
  <si>
    <t>Safety (Smoke/CO)</t>
  </si>
  <si>
    <t>Smart smoke/CO alarms (3)</t>
  </si>
  <si>
    <t>$60 each, battery-operated</t>
  </si>
  <si>
    <t>Assumes 1 hour for installing 3 alarms</t>
  </si>
  <si>
    <t>Infrastructure (Water Protection)</t>
  </si>
  <si>
    <t>Water leak sensors (3)</t>
  </si>
  <si>
    <t>$30 each, battery-operated</t>
  </si>
  <si>
    <t>Assumes 1 hour for placing and configuring 3 sensors</t>
  </si>
  <si>
    <t>Lutron Caséta Smart Bridge PRO (1), dimmers (10)</t>
  </si>
  <si>
    <t>Bridge $150, dimmers $45 each</t>
  </si>
  <si>
    <t>Assumes 4 hours for installing bridge and 10 dimmers</t>
  </si>
  <si>
    <t>Climate Control (HVAC)</t>
  </si>
  <si>
    <t>Ecobee Lite Smart Thermostat (1)</t>
  </si>
  <si>
    <t>Retail price for Ecobee Lite; was $250</t>
  </si>
  <si>
    <t>Assumes 1 hour for installing thermostat</t>
  </si>
  <si>
    <t>Blinds &amp; Window Automation</t>
  </si>
  <si>
    <t>Pre-wiring for future shades; optional roller shade (1)</t>
  </si>
  <si>
    <t>Optional shade $300 not included</t>
  </si>
  <si>
    <t>Pre-wiring included in Low-Voltage Wiring; shade not installed</t>
  </si>
  <si>
    <t>Smart Irrigation</t>
  </si>
  <si>
    <t>Smart sprinkler controller (1)</t>
  </si>
  <si>
    <t>Retail price for 8-zone model</t>
  </si>
  <si>
    <t>Assumes 1 hour for installing controller</t>
  </si>
  <si>
    <t>Home Assistant Blue or mini PC (1) running HA</t>
  </si>
  <si>
    <t>Raspberry Pi 4 4GB chosen for affordability and compatibility with Home Assistant</t>
  </si>
  <si>
    <t>1.5 hours at $125/hour</t>
  </si>
  <si>
    <t>Minimal retrofit wiring: Pull Cat6 to new ceiling Wi-Fi AP (1) and to any new camera locations (2); reuse existing wiring where possible</t>
  </si>
  <si>
    <t>150 ft of Cat6 cable at $0.15/ft, assumes 50 ft per run for AP and 2 cameras</t>
  </si>
  <si>
    <t>5 hours at $125/hour for wiring to AP and 2 cameras</t>
  </si>
  <si>
    <t>UniFi PoE setup with 2 access points and PoE switch</t>
  </si>
  <si>
    <t>2 UniFi U6-Lite access points at $99 each, 1 UniFi 8-port PoE switch at $109</t>
  </si>
  <si>
    <t>4 hours at $125/hour for installing 2 access points and PoE switch</t>
  </si>
  <si>
    <t>3 Lithe Audio WiFi V2 speakers for multiroom audio, 2 outdoor speakers for backyard</t>
  </si>
  <si>
    <t>3 Lithe Audio WiFi V2 speakers at $350 each, 2 outdoor speakers at $200 each</t>
  </si>
  <si>
    <t>5 hours at $125/hour for installing 3 indoor speakers and 2 outdoor speakers</t>
  </si>
  <si>
    <t>55″–65″ Smart TV and 5.1 wired surround sound system for living room</t>
  </si>
  <si>
    <t>55″ Smart TV at $400, 5.1 surround sound system at $500</t>
  </si>
  <si>
    <t>7 hours at $125/hour for installing TV and 5.1 surround sound system</t>
  </si>
  <si>
    <t>Retrofit solution: Ring Alarm kit (1) – contact sensors on front/back doors (2) and motion sensor (1); Option: Konnected interface (1)</t>
  </si>
  <si>
    <t>Ring Alarm kit with 2 contact sensors and 1 motion sensor; excludes Konnected for basic tier</t>
  </si>
  <si>
    <t>3.5 hours at $125/hour for alarm system installation</t>
  </si>
  <si>
    <t>Video Doorbell (1, e.g., Google Nest Doorbell or Eufy Battery Doorbell); 1080p Outdoor Wi-Fi camera (1, e.g., EufyCam or Reolink WiFi); Optional: 1 Indoor camera (e.g., Blink Mini)</t>
  </si>
  <si>
    <t>$180 for Nest Doorbell, $100 for outdoor camera, $50 for Blink Mini (optional included)</t>
  </si>
  <si>
    <t>5 hours at $125/hour for doorbell, outdoor camera, and optional indoor camera</t>
  </si>
  <si>
    <t>Keyless smart lock (1) on main entry (e.g., Yale Assure Lock SL with Z-Wave); Garage door smart controller (1, e.g., Chamberlain MyQ Smart Garage Hub)</t>
  </si>
  <si>
    <t>$210 for Yale lock, $50 for Chamberlain MyQ; Z-Wave compatible for smart home integration</t>
  </si>
  <si>
    <t>3 hours at $125/hour for smart lock and garage controller</t>
  </si>
  <si>
    <t>2 Aqara TVOC sensors</t>
  </si>
  <si>
    <t>2 Aqara TVOC sensors at $50 each</t>
  </si>
  <si>
    <t>1 hour at $125/hour for installing 2 sensors</t>
  </si>
  <si>
    <t>Smart detector upgrade: Nest Protect (2 units) – one in hallway, one in master suite</t>
  </si>
  <si>
    <t>$240 for 2 Nest Protects ($120 each); ensures smoke/CO safety with smart alerts</t>
  </si>
  <si>
    <t>2 hours at $125/hour for 2 smart detectors</t>
  </si>
  <si>
    <t>Leak detectors (2) – e.g., Honeywell Lyric Wi-Fi Leak Sensor; Optional: Dome Z-Wave water shutoff valve (1)</t>
  </si>
  <si>
    <t>$200 for 2 leak detectors ($100 each); optional shutoff valve ($200) excluded for basic tier</t>
  </si>
  <si>
    <t>1 hour at $125/hour for 2 leak detectors</t>
  </si>
  <si>
    <t>Smart Switch Swap: Replace ~6 switches with Lutron Caséta dimmers; Caséta Smart Bridge (1); 2 smart plug modules</t>
  </si>
  <si>
    <t>$300 for 6 dimmers ($50 each), $70 for bridge, $50 for 2 plugs ($25 each); enhances lighting control</t>
  </si>
  <si>
    <t>4 hours at $125/hour for 6 dimmers, bridge, and 2 plugs</t>
  </si>
  <si>
    <t>Ecobee Lite smart thermostat with additional remote temperature sensor</t>
  </si>
  <si>
    <t>Ecobee Lite thermostat at $170, additional sensor at $50</t>
  </si>
  <si>
    <t>2 hours at $125/hour for installing thermostat and sensor</t>
  </si>
  <si>
    <t>Optional upgrade: Motorized shade (1) – IKEA FYRTUR or Lutron Serena (battery)</t>
  </si>
  <si>
    <t>$150 for IKEA FYRTUR; optional included for smart window automation</t>
  </si>
  <si>
    <t>1.5 hours at $125/hour for motorized shade installation</t>
  </si>
  <si>
    <t>Smart sprinkler controller (1) – RainMachine Touch HD 8 or Rachio 3 (8-zone)</t>
  </si>
  <si>
    <t>$200 average for 8-zone controller; ensures efficient irrigation with smart home integration</t>
  </si>
  <si>
    <t>2.5 hours at $125/hour for sprinkler controller setup</t>
  </si>
  <si>
    <t>Home Assistant on Raspberry Pi 4 (1) with Zigbee/Z-Wave USB stick</t>
  </si>
  <si>
    <t>Raspberry Pi 4 (4GB) $55, Zigbee USB (Sonoff) $29.99; Z-Wave option ~$49.99.</t>
  </si>
  <si>
    <t>Estimated 3 hours at $90/hour for setting up Raspberry Pi and configuring Zigbee/Z-Wave.</t>
  </si>
  <si>
    <t>Door/Window contact sensors (2, e.g. Aqara Zigbee); Zigbee motion sensor (1)</t>
  </si>
  <si>
    <t>2 Aqara sensors ($20 each) + motion sensor ($20); Aqara brand for consistency.</t>
  </si>
  <si>
    <t>Estimated 3 hours at $90/hour for installing two sensors and one motion sensor.</t>
  </si>
  <si>
    <t>Video Doorbell (1) – Google Nest Doorbell (battery); Optional: indoor Wi-Fi camera (1, e.g. Wyze Cam v3)</t>
  </si>
  <si>
    <t>Nest Doorbell $179.99, Wyze Cam v3 $39.99; includes optional camera.</t>
  </si>
  <si>
    <t>Estimated 4 hours at $90/hour for installing video doorbell and indoor camera.</t>
  </si>
  <si>
    <t>Smart bulbs (4) – Philips Hue White A19; Hue Bluetooth hub or Zigbee hub (1); (Alternatively, 3 smart wall switches)</t>
  </si>
  <si>
    <t>4 Hue bulbs ($14.99 each) + Hue hub ($39.99); switches alternative ~$75 total.</t>
  </si>
  <si>
    <t>Estimated 3 hours at $90/hour for installing bulbs and hub; switches may require more time and an electrician.</t>
  </si>
  <si>
    <t>Intel NUC 11 mini-PC running Home Assistant OS, 500GB SSD, 8GB RAM (1); Aeotec Z-Stick 7 (1); Sonoff Zigbee 3.0 USB dongle (1)</t>
  </si>
  <si>
    <t>NUC: $450 (Amazon), Z-Stick: $50 (Home Controls), Zigbee dongle: $15 (ITEAD). Prices based on standard configs.</t>
  </si>
  <si>
    <t>Setup and configuration of hub components, including software installation and network connection.</t>
  </si>
  <si>
    <t>Cat6A runs (~20); 19″ rack mount patch panel (1); RG6 coax (6); Fiber optic conduit (1); 16/4 speaker cables (4 zones); security sensor wiring: door/window contacts (20), motion sensor wires (6)</t>
  </si>
  <si>
    <t>Assumes 20m/run Cat6A ($400), 10m/run RG6 ($30), 10m conduit ($100), 10m/zone speaker ($80), 5m/sensor wiring ($65).</t>
  </si>
  <si>
    <t>Extensive wiring for network, AV, and security systems, including running and terminating cables.</t>
  </si>
  <si>
    <t>Ubiquiti UniFi Dream Machine Pro (1); UniFi PoE+ Switch 24-port (1); UniFi Wi-Fi 6 access points (3 U6-Pro, 1 U6-Mesh outdoor); UPS battery backup (1)</t>
  </si>
  <si>
    <t>UDM Pro: $379, Switch: $299, U6-Pro: $500x3 ($1,500), U6-Mesh: $400 (Ubiquiti Store), UPS: $100 (Best Buy).</t>
  </si>
  <si>
    <t>Installation and configuration of router, switch, access points, and UPS.</t>
  </si>
  <si>
    <t>Episode Signature 6.5″ speakers (8, 2 per zone in 4 zones); Sonos Amp (4); optional Sonos Sub (1)</t>
  </si>
  <si>
    <t>Speakers: $250x8 ($2,000, eBay), Amps: $300x4 ($1,200, Sonos), Sub: $700 (Sonos). Optional Sub included.</t>
  </si>
  <si>
    <t>Installation of in-ceiling speakers and audio amplifiers, including wiring and setup.</t>
  </si>
  <si>
    <t>Main Media Room: 4K UHD projector (1, e.g. Epson Pro Cinema) + 120″ motorized screen (1); AV Receiver (1, e.g. Denon AVR-X3700H); 7.1 speaker system (7 + 1 sub); Living Room: 65″ OLED Smart TV (1, LG C-series) with Sonos Arc + Sonos One rears + Sub; Other TVs: 3 additional smart TVs (50″, 43″, 55″) with streaming devices</t>
  </si>
  <si>
    <t>Projector: $2,500, Screen: $1,000, Receiver: $1,500, 7.1: $2,000, OLED: $2,000, Arc: $800, Ones: $500, Sub: $700, TVs: $1,500, Devices: $120. High variance in projector/speaker costs.</t>
  </si>
  <si>
    <t>Setup of home theater and TV systems, including projector, screen, AV receiver, and speakers.</t>
  </si>
  <si>
    <t>DSC PowerSeries Hardwired Alarm Panel (1) with Envisalink IP module (1); wired door/window sensors (~20); wired motion detectors (4); 2 glass-break sensors; Keypad (2); Siren (1); Strobe (1)</t>
  </si>
  <si>
    <t>Panel: $200, Envisalink: $100, Sensors: $15x20 ($300), Motion: $25x4 ($100), Glass: $25x2 ($50), Keypads: $50x2 ($100), Siren: $30, Strobe: $40 (Amazon/Home Depot).</t>
  </si>
  <si>
    <t>Installation of alarm panel, sensors, motion detectors, keypads, siren, and strobe.</t>
  </si>
  <si>
    <t>Ubiquiti UniFi Protect NVR with 6× 4MP PoE cameras: Doorbell Camera (1), G4 Bullet cams (4), G4 PTZ or G4 Pro (1); 8TB surveillance-grade HDD</t>
  </si>
  <si>
    <t>NVR: $300, Doorbell: $200, Bullets: $180x4 ($720), PTZ: $450 (Ubiquiti Store), HDD: $280 (Amazon). Prices vary by model.</t>
  </si>
  <si>
    <t>Mounting and configuration of surveillance cameras and NVR, including cable runs.</t>
  </si>
  <si>
    <t>Smart Locks (3) – Schlage Connect deadbolts; DoorBird D2101KV IP intercom (1); Smart garage door openers (2) – LiftMaster/Chamberlain MyQ; Optional: YoLink garage sensor</t>
  </si>
  <si>
    <t>Locks: $170x3 ($510, Schlage), DoorBird: $400 (Amazon), Openers: $150x2 ($300, Chamberlain), YoLink: $60 (Amazon).</t>
  </si>
  <si>
    <t>Installation of smart locks, intercom, and garage door openers.</t>
  </si>
  <si>
    <t>ERV system (1, e.g. Panasonic Intelli-Balance); Whole-house humidifier (1, Aprilaire 700); Air Quality Sensors (4) – Foobot or AirThings Wave</t>
  </si>
  <si>
    <t>ERV: $1,200 (Panasonic), Humidifier: $600 (Aprilaire), Sensors: $75x4 ($300, AirThings). Prices vary by capacity.</t>
  </si>
  <si>
    <t>Setup of ERV system, humidifier, and air quality sensors, including ductwork integration.</t>
  </si>
  <si>
    <t>Wired smoke/CO combo detectors (6); Heat detectors (2); Alarm panel smoke relay (1); Optional: Nest Protect (2)</t>
  </si>
  <si>
    <t>Smoke/CO: $40x6 ($240), Heat: $25x2 ($50), Relay: $50 (Amazon), Nest: $100x2 ($200, Google Store). Optional included.</t>
  </si>
  <si>
    <t>Installation of smoke/CO detectors, heat detectors, and integration with alarm system.</t>
  </si>
  <si>
    <t>Z-Wave water leak sensors (6); Whole-home automatic water shutoff valve (1, e.g. Fortrezz ZigBee or Flo by Moen); Sump pump with smart sensor (1) or floor drain moisture sensor (1); Temperature sensors (2)</t>
  </si>
  <si>
    <t>Leak: $40x6 ($240), Valve: $500 (Moen), Pump: $250 (Amazon), Temp: $30x2 ($60). Assumes Flo by Moen for valve.</t>
  </si>
  <si>
    <t>Setup of leak sensors, shutoff valve, sump pump, and temperature sensors.</t>
  </si>
  <si>
    <t>Lutron RadioRA 3: Main Repeater/Processor (1); Hybrid Keypads (3); Smart dimmers/switches (~25); Motion sensors (4); LED strip (1) with Zwave controller</t>
  </si>
  <si>
    <t>Repeater: $400, Keypads: $150x3 ($450), Dimmers: $70x25 ($1,750), Motion: $25x4 ($100), Strip+Controller: $50 (Lutron/Amazon).</t>
  </si>
  <si>
    <t>Installation and programming of Lutron lighting control system, including dimmers and sensors.</t>
  </si>
  <si>
    <t>Lutron Caseta: Switches/Dimmers</t>
  </si>
  <si>
    <t xml:space="preserve">Keypads: </t>
  </si>
  <si>
    <t>Presence Detection</t>
  </si>
  <si>
    <t>2 HVAC systems with Ecobee Premium thermostats (2); Ecobee Remote Sensors (4); Optional: Smart vents (4); Ceiling fans (2) with smart controllers</t>
  </si>
  <si>
    <t>Thermostats: $250x2 ($500), Sensors: $40x4 ($160), Vents: $80x4 ($320), Fans+Controllers: $50x2 ($100, Ecobee/Amazon).</t>
  </si>
  <si>
    <t>Setup of smart thermostats, remote sensors, and optional smart vents.</t>
  </si>
  <si>
    <t>Motorized roller shades (6) – Lutron Serena or Triathlon; Custom motorized drapery track (1, Somfy RTS motor); Skylight opener (1, Velux solar skylight with automation kit)</t>
  </si>
  <si>
    <t>Shades: $300x6 ($1,800, Lutron), Drapery: $400 (Somfy), Skylight: $300 (Velux). Prices vary by window size.</t>
  </si>
  <si>
    <t>Installation of motorized shades, drapery track, and skylight opener.</t>
  </si>
  <si>
    <t>Rachio 3 16-zone controller (1); soil moisture sensors (3); integrated drip irrigation zones</t>
  </si>
  <si>
    <t>Rachio: $250 (Rachio Store), Sensors: $50x3 ($150, Amazon), Drip assumed included in controller setup.</t>
  </si>
  <si>
    <t>Setup of smart irrigation controller and soil moisture sensors.</t>
  </si>
  <si>
    <t>zidoo Z3000 PRO-8K Media Player, Amlogic S928X-K Processor 6G+64G,8K Android 11os, Support DV,HDR10+ and All HDR Technoly,BDMV</t>
  </si>
  <si>
    <t>Cat6 runs (8) in open-wall areas</t>
  </si>
  <si>
    <t>Estimated at $0.15/ft for 400 ft total; assumes 50 ft per run.</t>
  </si>
  <si>
    <t>Assumes 12 hours for running and terminating cables at $125/hour</t>
  </si>
  <si>
    <t>Ubiquiti UniFi Dream Machine (1); UniFi Switch Lite 16 PoE (1); UniFi Wi-Fi 6 APs (2 U6-LR indoor, 1 U6-Mesh outdoor)</t>
  </si>
  <si>
    <t>UDM $299, Switch $199, 2 U6-LR $358, U6-Mesh $179; ensures robust coverage.</t>
  </si>
  <si>
    <t>Assumes 5 hours for setup and configuration at $125/hour</t>
  </si>
  <si>
    <t>Existing wired speakers (if any) + Sonos Amp (2); Sonos Move (1) for portable audio</t>
  </si>
  <si>
    <t>2 Sonos Amps at $200 each, Sonos Move at $200; existing speakers not priced.</t>
  </si>
  <si>
    <t>Assumes 3 hours for installing amps and portable audio at $125/hour</t>
  </si>
  <si>
    <t>75″ OLED TV (1); AV receiver (Denon AVR-S960H, 1); 5.1 speaker setup; 2 additional TVs (55″, 43″)</t>
  </si>
  <si>
    <t>OLED TV $2,500, AV receiver $1,100, 5.1 setup $800, 55″ TV $700, 43″ TV $400; comprehensive home theater.</t>
  </si>
  <si>
    <t>Assumes 6 hours for installing TVs, receiver, and speakers at $125/hour</t>
  </si>
  <si>
    <t>Konnected Alarm Panel (1) for existing wired sensors; Wireless Z-Wave sensors (4)</t>
  </si>
  <si>
    <t>Panel at $250, 4 sensors at $50 each; integrates with smart home systems.</t>
  </si>
  <si>
    <t>Assumes 4 hours for installing panel and sensors at $125/hour</t>
  </si>
  <si>
    <t>UniFi G4 Doorbell (1); G4 Bullet cams (3); UniFi Protect NVR on UDM</t>
  </si>
  <si>
    <t>Doorbell $200, 3 Bullet cams at $200 each; NVR included in UDM.</t>
  </si>
  <si>
    <t>Assumes 3 hours for installing doorbell and cameras at $125/hour</t>
  </si>
  <si>
    <t>Smart Locks (2) – Kwikset Halo; MyQ Garage Door Opener (1); DoorBird D101 (1)</t>
  </si>
  <si>
    <t>2 smart locks at $250 each, MyQ opener $75, DoorBird D101 $300; enhances security.</t>
  </si>
  <si>
    <t>Assumes 4 hours for installing locks, opener, and DoorBird at $125/hour</t>
  </si>
  <si>
    <t>ERV retro-wiring (1, e.g. Broan AI); Air quality sensors (3, AirThings Wave Plus)</t>
  </si>
  <si>
    <t>ERV at $500, 3 sensors at $50 each; improves indoor air quality.</t>
  </si>
  <si>
    <t>Assumes 5 hours for installing ERV and sensors at $125/hour</t>
  </si>
  <si>
    <t>3 alarms at $100 each; ensures safety with smart alerts.</t>
  </si>
  <si>
    <t>Assumes 2 hours for installing 3 alarms at $125/hour</t>
  </si>
  <si>
    <t>Water leak sensors (4); Moen Flo shutoff valve (1)</t>
  </si>
  <si>
    <t>4 sensors at $50 each, shutoff valve at $200; prevents water damage.</t>
  </si>
  <si>
    <t>Assumes 3 hours for installing sensors and valve at $125/hour</t>
  </si>
  <si>
    <t>Lutron RadioRA 3: Main Repeater (1); Dimmers/switches (15); Keypads (2)</t>
  </si>
  <si>
    <t>Repeater $250, 15 dimmers/switches at $175 each, 2 keypads at $300 each; comprehensive control.</t>
  </si>
  <si>
    <t>Assumes 8 hours for installing repeater, dimmers, and keypads at $125/hour</t>
  </si>
  <si>
    <t>Ecobee Lite Smart Thermostat (1); Remote sensors (2); Smart vents (2)</t>
  </si>
  <si>
    <t>Thermostat $150, 2 sensors at $50 each, 2 vents at $100 each; enhances comfort and efficiency.</t>
  </si>
  <si>
    <t>Assumes 3 hours for installing thermostat, sensors, and vents at $125/hour</t>
  </si>
  <si>
    <t>Lutron Serena shades (4); Somfy RTS drapery (1)</t>
  </si>
  <si>
    <t>4 shades at $250 each, drapery at $200; automates window treatments.</t>
  </si>
  <si>
    <t>Assumes 4 hours for installing shades and drapery at $125/hour</t>
  </si>
  <si>
    <t>RainMachine Pro-16 (1); Soil sensors (2)</t>
  </si>
  <si>
    <t>Controller at $300, 2 sensors at $50 each; optimizes watering.</t>
  </si>
  <si>
    <t>Assumes 3 hours for installing controller and sensors at $125/hour</t>
  </si>
  <si>
    <t>Home Assistant Yellow (1) or NUC mini-PC (1)</t>
  </si>
  <si>
    <t>Home Assistant Yellow chosen for cost efficiency and compatibility with Home Assistant</t>
  </si>
  <si>
    <t>Optional: Cat6 to one new AP or camera (1)</t>
  </si>
  <si>
    <t>50 ft of Cat6 cable at $0.15/ft, assumes 50 ft run for one AP or camera</t>
  </si>
  <si>
    <t>2.5 hours at $125/hour for wiring to one AP or camera</t>
  </si>
  <si>
    <t>UniFi Dream Machine SE (1); UniFi U6-Lite AP (1)</t>
  </si>
  <si>
    <t>UniFi Dream Machine SE at $199, UniFi U6-Lite AP at $99</t>
  </si>
  <si>
    <t>4 hours at $125/hour for installing Dream Machine SE and one AP</t>
  </si>
  <si>
    <t>Sonos Era 100 (2)</t>
  </si>
  <si>
    <t>Two Sonos Era 100 speakers at $249 each; supports Wi-Fi and Bluetooth</t>
  </si>
  <si>
    <t>2.5 hours at $125/hour for two speakers</t>
  </si>
  <si>
    <t>65″ OLED TV (1); Sonos Beam Gen 2 (1)</t>
  </si>
  <si>
    <t>65″ OLED TV at $1,500, Sonos Beam Gen 2 at $449; high-definition visuals and sound</t>
  </si>
  <si>
    <t>7 hours at $125/hour for TV and soundbar setup</t>
  </si>
  <si>
    <t>Z-Wave sensors: Door/Window (3), Motion (2)</t>
  </si>
  <si>
    <t>Three door/window sensors at $30 each, two motion sensors at $30 each; Z-Wave compatible</t>
  </si>
  <si>
    <t>3.5 hours at $125/hour for five sensors</t>
  </si>
  <si>
    <t>UniFi G4 Doorbell (1); G4 Bullet (1)</t>
  </si>
  <si>
    <t>UniFi G4 Doorbell at $199, G4 Bullet at $199; weatherproof for indoor/outdoor use</t>
  </si>
  <si>
    <t>5 hours at $125/hour for doorbell and outdoor camera</t>
  </si>
  <si>
    <t>AirThings Wave Plus (1)</t>
  </si>
  <si>
    <t>Monitors radon, CO2, VOCs, humidity, temperature, and air pressure</t>
  </si>
  <si>
    <t>1 hour at $125/hour for one air quality monitor</t>
  </si>
  <si>
    <t>Lutron Caséta: Smart Bridge (1); Dimmers (6)</t>
  </si>
  <si>
    <t>Smart Bridge at $70, six dimmers at $50 each; app and voice control</t>
  </si>
  <si>
    <t>4 hours at $125/hour for six dimmers and bridge</t>
  </si>
  <si>
    <t>Ecobee Lite at $170, remote sensor at $50; Wi-Fi control and energy savings</t>
  </si>
  <si>
    <t>2 hours at $125/hour for thermostat and sensor</t>
  </si>
  <si>
    <t>IKEA FYRTUR at $150; smart window automation</t>
  </si>
  <si>
    <t>Average of RainMachine Touch HD 8 at $400 and Rachio 3 at $230; 8-zone controller</t>
  </si>
  <si>
    <t>Retrofit Cat6 to critical points (~75% of new build); Reuse existing wiring where possible</t>
  </si>
  <si>
    <t>Assumes 300m Cat6 ($150), patch panel ($100), minor hardware ($50).</t>
  </si>
  <si>
    <t>Extensive wiring for network, including running and terminating cables (25 hours, team of 2).</t>
  </si>
  <si>
    <t>Cisco or Ubiquiti enterprise network; Ruckus Wireless APs (6)</t>
  </si>
  <si>
    <t>UDM Pro: $380, Switch: $150, Ruckus APs: $1,000x6 ($6,000).</t>
  </si>
  <si>
    <t>Installation and configuration of router, switch, and access points (12.5 hours, team of 2).</t>
  </si>
  <si>
    <t>Reuse existing speakers; AudioControl 8-zone amp (1) or Sonos Amps; Sonos Five (for unwired rooms)</t>
  </si>
  <si>
    <t>Amp: $3,000 (AudioControl), Sonos Five: $549x2 ($1,098).</t>
  </si>
  <si>
    <t>Installation of audio amplifiers and speakers, including wiring and setup (10 hours, team of 2).</t>
  </si>
  <si>
    <t>7.1 Atmos soundbar (e.g. Sennheiser Ambeo); 83″ OLED TV; Additional TVs with local streaming</t>
  </si>
  <si>
    <t>Soundbar: $2,500, TV: $3,500, Additional TVs: $4,700, Streaming: $160.</t>
  </si>
  <si>
    <t>Setup of home theater and TV systems, including soundbar, TV, and additional TVs (17.5 hours, team of 2).</t>
  </si>
  <si>
    <t>DMP XT or upgraded existing panel with Envisalink; Additional wireless sensors</t>
  </si>
  <si>
    <t>Panel: $300, Envisalink: $130, Sensors: $40x15 ($600).</t>
  </si>
  <si>
    <t>Installation of alarm panel and wireless sensors (7 hours).</t>
  </si>
  <si>
    <t>Mix of PoE and wireless cams (12-16 total); UniFi Protect or Blue Iris NVR</t>
  </si>
  <si>
    <t>NVR: $300, Cameras: $180x12 ($2,160), HDD: $280. Prices vary by model.</t>
  </si>
  <si>
    <t>Mounting and configuration of surveillance cameras and NVR, including cable runs (14 hours, team of 2).</t>
  </si>
  <si>
    <t>August Smart Lock Pro or Level Lock (main doors); DoorBird or retrofitted intercom; MyQ Gate</t>
  </si>
  <si>
    <t>Locks: $170x3 ($510), Intercom: $400, Gate: $300.</t>
  </si>
  <si>
    <t>Installation of smart locks, intercom, and gate opener (5 hours).</t>
  </si>
  <si>
    <t>ERV retrofit if possible; Smart humidifiers; Blueair purifiers; IAQ sensors (multiple)</t>
  </si>
  <si>
    <t>ERV: $2,000, Humidifier: $100, Purifier: $200, Sensors: $100x4 ($400).</t>
  </si>
  <si>
    <t>Setup of ERV system, humidifiers, purifiers, and air quality sensors (12.5 hours, team of 2).</t>
  </si>
  <si>
    <t>Reuse wired smoke alarms; Add smart detectors where needed</t>
  </si>
  <si>
    <t>Smart Detectors: $100x2 ($200).</t>
  </si>
  <si>
    <t>Installation of smart smoke/CO detectors (2.5 hours).</t>
  </si>
  <si>
    <t>Shutoff on major branches; Wired/wireless leak sensors; Sump pump integration</t>
  </si>
  <si>
    <t>Shutoff: $200x2 ($400), Sensors: $50x5 ($250), Pump: $1,200.</t>
  </si>
  <si>
    <t>Setup of shutoff valves, leak sensors, and sump pump integration (7 hours, team of 2).</t>
  </si>
  <si>
    <t>Lutron HomeWorks QSX or RadioRA3: Dimmers (50+); Keypads matching decor</t>
  </si>
  <si>
    <t>Dimmers: $70x50 ($3,500), Keypads: $150x3 ($450), Repeater: $400.</t>
  </si>
  <si>
    <t>Installation and programming of Lutron lighting control system (25 hours, team of 2).</t>
  </si>
  <si>
    <t>Ecobee thermostats; Smart TRVs for radiators; Sensibo for mini-splits</t>
  </si>
  <si>
    <t>Thermostats: $250x2 ($500), TRVs: $80x4 ($320), Sensibo: $100x2 ($200).</t>
  </si>
  <si>
    <t>Setup of smart thermostats, TRVs, and Sensibo controllers (5 hours).</t>
  </si>
  <si>
    <t>Lutron Serena battery shades; Retrofit motors for existing blinds</t>
  </si>
  <si>
    <t>Shades: $300x6 ($1,800), Motors: $400.</t>
  </si>
  <si>
    <t>Installation of motorized shades and retrofitting motors for existing blinds (7 hours, team of 2).</t>
  </si>
  <si>
    <t>Rachio controllers (multiple if needed); Flow meter</t>
  </si>
  <si>
    <t>Rachio: $250, Flow Meter: $200.</t>
  </si>
  <si>
    <t>Setup of smart irrigation controllers and flow meter (3.5 hours).</t>
  </si>
  <si>
    <t>Home Assistant NUC Bundle (1)</t>
  </si>
  <si>
    <t>Setting up hardware and software configuration.</t>
  </si>
  <si>
    <t>Cat6 to front gate; Wire to new siren</t>
  </si>
  <si>
    <t>Running Cat6 cable to front gate and wire to new siren.</t>
  </si>
  <si>
    <t>UniFi Dream Machine (1); UniFi mesh extender (1)</t>
  </si>
  <si>
    <t>Setting up and configuring network devices.</t>
  </si>
  <si>
    <t>Not included</t>
  </si>
  <si>
    <t>No hardware to install.</t>
  </si>
  <si>
    <t>Integrate existing TVs for camera feeds</t>
  </si>
  <si>
    <t>Envisalink module (1); Unifi All-In-One Sensor (2); Smart siren/strobe (1)</t>
  </si>
  <si>
    <t>Installing and configuring alarm system components.</t>
  </si>
  <si>
    <t>G5 Pro camera (1); AI Dome camera (1)</t>
  </si>
  <si>
    <t>Mounting and connecting surveillance cameras.</t>
  </si>
  <si>
    <t>Access Hub (4); Access Electric Lock (4); Access Reader Pro (1); G2 Reader (3)</t>
  </si>
  <si>
    <t>Installing access control system for 4 doors.</t>
  </si>
  <si>
    <t>Setting up air quality monitor.</t>
  </si>
  <si>
    <t>Z-Wave Smoke/CO (1); Smart water leak sensor (1)</t>
  </si>
  <si>
    <t>Installing safety detectors.</t>
  </si>
  <si>
    <t>Leak sensor near water heater (1)</t>
  </si>
  <si>
    <t>Placing and configuring leak sensor.</t>
  </si>
  <si>
    <t>Lutron Caseta switches (2); Smart switch for landscape lighting (1)</t>
  </si>
  <si>
    <t>Replacing and configuring smart switches.</t>
  </si>
  <si>
    <t>Integrate existing thermostat if smart</t>
  </si>
  <si>
    <t>Margin %</t>
  </si>
  <si>
    <t>Labor Costs</t>
  </si>
  <si>
    <t>Corporate Overhead (based on Net Revenue)</t>
  </si>
  <si>
    <t>Average Hourly Revenue to Customer</t>
  </si>
  <si>
    <t>Average Fully-Loaded Internal Staff COGS</t>
  </si>
  <si>
    <t>Corporate</t>
  </si>
  <si>
    <t>Total Overhead</t>
  </si>
  <si>
    <t>Acquisition Cost</t>
  </si>
  <si>
    <t>Average Acquisition Total Valuation</t>
  </si>
  <si>
    <t>Target Rollover Equity %</t>
  </si>
  <si>
    <t>Average Acquisition Rollover Equity</t>
  </si>
  <si>
    <t>Average Acquisition Cash Payout</t>
  </si>
  <si>
    <t>Support Subscribers</t>
  </si>
  <si>
    <t>Average Investment First 2 years for New Organic Location</t>
  </si>
  <si>
    <t>Subscribers</t>
  </si>
  <si>
    <t>Desired Cash Cushion % of Net Revenue</t>
  </si>
  <si>
    <t>cash_cushion = 0.05 + 0.20 * (year_one_revenue/current_revenue)^0.5</t>
  </si>
  <si>
    <t>Churn</t>
  </si>
  <si>
    <t>Cost</t>
  </si>
  <si>
    <t>EBITDA Multiples at different revenues</t>
  </si>
  <si>
    <t>Referral Income</t>
  </si>
  <si>
    <t>0-5M</t>
  </si>
  <si>
    <t>Customers that do successful referrals</t>
  </si>
  <si>
    <t>5-10M</t>
  </si>
  <si>
    <t>Average Referral % of service fee</t>
  </si>
  <si>
    <t>10-15M</t>
  </si>
  <si>
    <t>15-20M</t>
  </si>
  <si>
    <t>20-30M</t>
  </si>
  <si>
    <t>30-50M</t>
  </si>
  <si>
    <t>Expected Annual Debt Servicing %</t>
  </si>
  <si>
    <t>Average Location Customer Mix and Growth</t>
  </si>
  <si>
    <t>Support Subscriptions</t>
  </si>
  <si>
    <t>Acquired</t>
  </si>
  <si>
    <t>Year 1 Customers</t>
  </si>
  <si>
    <t>Grown</t>
  </si>
  <si>
    <t>Annual Growth</t>
  </si>
  <si>
    <t>Number of Customers</t>
  </si>
  <si>
    <t>Average Location Project Type Mix</t>
  </si>
  <si>
    <t>Small Improvement</t>
  </si>
  <si>
    <t>Revenue Per Luxury Customer</t>
  </si>
  <si>
    <t># of New Luxury Sub Customers</t>
  </si>
  <si>
    <t>Cumulative Sub Customers</t>
  </si>
  <si>
    <t>Churning Luxury Sub Customers</t>
  </si>
  <si>
    <t>Total Luxury Sub Customers</t>
  </si>
  <si>
    <t>Support Revenue Per Customer</t>
  </si>
  <si>
    <t>Luxury Support Subscription Revenue</t>
  </si>
  <si>
    <t>Support Cost Per customer</t>
  </si>
  <si>
    <t>Luxury Support Costs</t>
  </si>
  <si>
    <t>Cost Category</t>
  </si>
  <si>
    <t>Monthly Cost (USD)</t>
  </si>
  <si>
    <t>Annual Cost (USD)</t>
  </si>
  <si>
    <t>Details</t>
  </si>
  <si>
    <t>Agent Salaries &amp; Benefits</t>
  </si>
  <si>
    <t>~$9,000</t>
  </si>
  <si>
    <t>~$108,000</t>
  </si>
  <si>
    <t>Base pay for 9 skilled agents (competitive Philippine wages, plus benefits). Each agent’s salary is roughly $1,000–$1,200 per month for premium talent.</t>
  </si>
  <si>
    <t>Provider Management &amp; Overhead</t>
  </si>
  <si>
    <t>~$6,000</t>
  </si>
  <si>
    <t>~$72,000</t>
  </si>
  <si>
    <r>
      <t>Vendor’s fees covering management staff (team lead/supervisor), HR administration, employee benefits, and the BPO’s profit margin. (Philippine outsourcing firms typically charge $8–15 per agent hour, which includes these overheads​</t>
    </r>
    <r>
      <rPr>
        <color rgb="FF1155CC"/>
        <u/>
      </rPr>
      <t>callin.io</t>
    </r>
    <r>
      <rPr/>
      <t xml:space="preserve">
.)</t>
    </r>
  </si>
  <si>
    <t>Infrastructure &amp; Software</t>
  </si>
  <si>
    <t>~$2,000</t>
  </si>
  <si>
    <t>~$24,000</t>
  </si>
  <si>
    <t>All technology and infrastructure costs: call center software licenses, CRM systems, phone lines/VOIP, high-speed internet, reliable power backups, and office facilities. Philippine providers invest in robust infrastructure (workstations, telecom, backups) to ensure world-class service continuity. These costs are bundled into the outsourcing fee.</t>
  </si>
  <si>
    <t>Training &amp; Attrition Management</t>
  </si>
  <si>
    <t>~$1,000</t>
  </si>
  <si>
    <t>~$12,000</t>
  </si>
  <si>
    <r>
      <t>Ongoing training programs and retraining new hires to offset employee churn. (Call centers often see high turnover; attrition can be 30–45% annually​</t>
    </r>
    <r>
      <rPr>
        <color rgb="FF1155CC"/>
        <u/>
      </rPr>
      <t>callin.io</t>
    </r>
    <r>
      <rPr/>
      <t xml:space="preserve">
. Providers factor in recruiting and training costs to maintain a well-trained team.)</t>
    </r>
  </si>
  <si>
    <t>Quality Assurance &amp; Redundancy</t>
  </si>
  <si>
    <t>Quality monitoring, analytics, and redundancy measures (having backup personnel or overlap to cover sick days and peak volumes). Ensures 24/7 coverage without service gaps, and continuous QA to uphold premium service standards.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</si>
</sst>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&quot;$&quot;#,##0"/>
    <numFmt numFmtId="165" formatCode="General"/>
    <numFmt numFmtId="166" formatCode="&quot;$&quot;#,##0.00"/>
    <numFmt numFmtId="167" formatCode="#,##0;(#,##0)"/>
    <numFmt numFmtId="168" formatCode="$#,##0.00"/>
    <numFmt numFmtId="169" formatCode="&quot;$&quot;#,##0_);[Red]\(&quot;$&quot;#,##0\)"/>
    <numFmt numFmtId="170" formatCode="_(* #,##0.00_);_(* \(#,##0.00\);_(* &quot;-&quot;??_);_(@_)"/>
    <numFmt numFmtId="171" formatCode="&quot;$&quot;#,##0.00_);[Red]\(&quot;$&quot;#,##0.00\)"/>
    <numFmt numFmtId="172" formatCode="#,##0.0"/>
  </numFmts>
  <fonts count="26">
    <font>
      <sz val="10.0"/>
      <color rgb="FF000000"/>
      <name val="Aptos Narrow"/>
      <scheme val="minor"/>
    </font>
    <font>
      <b/>
      <color rgb="FF000000"/>
      <name val="Arial"/>
    </font>
    <font>
      <sz val="11.0"/>
      <color rgb="FF000000"/>
      <name val="&quot;Aptos Narrow&quot;"/>
    </font>
    <font>
      <color rgb="FF000000"/>
      <name val="Arial"/>
    </font>
    <font>
      <color theme="1"/>
      <name val="Arial"/>
    </font>
    <font/>
    <font>
      <sz val="7.0"/>
      <color rgb="FF000000"/>
      <name val="Arial"/>
    </font>
    <font>
      <b/>
      <sz val="7.0"/>
      <color rgb="FF000000"/>
      <name val="Arial"/>
    </font>
    <font>
      <sz val="7.0"/>
      <color theme="1"/>
      <name val="Aptos Narrow"/>
      <scheme val="minor"/>
    </font>
    <font>
      <sz val="11.0"/>
      <color rgb="FF000000"/>
      <name val="Arial"/>
    </font>
    <font>
      <color theme="1"/>
      <name val="Aptos Narrow"/>
      <scheme val="minor"/>
    </font>
    <font>
      <b/>
      <color theme="1"/>
      <name val="Arial"/>
    </font>
    <font>
      <b/>
      <color theme="1"/>
      <name val="Aptos Narrow"/>
      <scheme val="minor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2.0"/>
      <color rgb="FF000000"/>
      <name val="&quot;Aptos Narrow&quot;"/>
    </font>
    <font>
      <u/>
      <color rgb="FF0000FF"/>
    </font>
    <font>
      <b/>
      <sz val="9.0"/>
      <color theme="1"/>
      <name val="Arial"/>
    </font>
    <font>
      <sz val="9.0"/>
      <color theme="1"/>
      <name val="Aptos Narrow"/>
      <scheme val="minor"/>
    </font>
    <font>
      <sz val="9.0"/>
      <color theme="1"/>
      <name val="Arial"/>
    </font>
    <font>
      <sz val="9.0"/>
      <color rgb="FF000000"/>
      <name val="Arial"/>
    </font>
    <font>
      <sz val="9.0"/>
      <color theme="1"/>
      <name val="Aptos Narrow"/>
    </font>
    <font>
      <sz val="8.0"/>
      <color theme="1"/>
      <name val="Arial"/>
    </font>
    <font>
      <b/>
      <sz val="8.0"/>
      <color theme="1"/>
      <name val="Arial"/>
    </font>
    <font>
      <sz val="6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CE6F2"/>
        <bgColor rgb="FFDCE6F2"/>
      </patternFill>
    </fill>
    <fill>
      <patternFill patternType="solid">
        <fgColor rgb="FF666666"/>
        <bgColor rgb="FF666666"/>
      </patternFill>
    </fill>
    <fill>
      <patternFill patternType="solid">
        <fgColor rgb="FFFCE5CD"/>
        <bgColor rgb="FFFCE5CD"/>
      </patternFill>
    </fill>
    <fill>
      <patternFill patternType="solid">
        <fgColor rgb="FFE9CDFB"/>
        <bgColor rgb="FFE9CDFB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2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readingOrder="0" shrinkToFit="0" wrapText="1"/>
    </xf>
    <xf borderId="2" fillId="0" fontId="1" numFmtId="164" xfId="0" applyAlignment="1" applyBorder="1" applyFont="1" applyNumberFormat="1">
      <alignment horizontal="center" readingOrder="0" shrinkToFit="0" vertical="bottom" wrapText="0"/>
    </xf>
    <xf borderId="3" fillId="0" fontId="5" numFmtId="0" xfId="0" applyBorder="1" applyFont="1"/>
    <xf borderId="4" fillId="0" fontId="5" numFmtId="0" xfId="0" applyBorder="1" applyFont="1"/>
    <xf borderId="5" fillId="0" fontId="6" numFmtId="0" xfId="0" applyAlignment="1" applyBorder="1" applyFont="1">
      <alignment horizontal="right" readingOrder="0" shrinkToFit="0" vertical="bottom" wrapText="1"/>
    </xf>
    <xf borderId="6" fillId="0" fontId="7" numFmtId="164" xfId="0" applyAlignment="1" applyBorder="1" applyFont="1" applyNumberFormat="1">
      <alignment horizontal="right" readingOrder="0" shrinkToFit="0" vertical="bottom" wrapText="1"/>
    </xf>
    <xf borderId="7" fillId="0" fontId="7" numFmtId="164" xfId="0" applyAlignment="1" applyBorder="1" applyFont="1" applyNumberFormat="1">
      <alignment horizontal="right" readingOrder="0" shrinkToFit="0" vertical="bottom" wrapText="1"/>
    </xf>
    <xf borderId="8" fillId="0" fontId="7" numFmtId="164" xfId="0" applyAlignment="1" applyBorder="1" applyFont="1" applyNumberFormat="1">
      <alignment horizontal="right" readingOrder="0" shrinkToFit="0" vertical="bottom" wrapText="1"/>
    </xf>
    <xf borderId="0" fillId="0" fontId="6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horizontal="right" shrinkToFit="0" wrapText="1"/>
    </xf>
    <xf borderId="9" fillId="0" fontId="3" numFmtId="0" xfId="0" applyAlignment="1" applyBorder="1" applyFont="1">
      <alignment readingOrder="0" shrinkToFit="0" vertical="bottom" wrapText="1"/>
    </xf>
    <xf borderId="10" fillId="0" fontId="3" numFmtId="164" xfId="0" applyAlignment="1" applyBorder="1" applyFont="1" applyNumberFormat="1">
      <alignment readingOrder="0" shrinkToFit="0" vertical="bottom" wrapText="0"/>
    </xf>
    <xf borderId="11" fillId="0" fontId="3" numFmtId="164" xfId="0" applyAlignment="1" applyBorder="1" applyFont="1" applyNumberFormat="1">
      <alignment readingOrder="0" shrinkToFit="0" vertical="bottom" wrapText="0"/>
    </xf>
    <xf borderId="9" fillId="0" fontId="9" numFmtId="0" xfId="0" applyAlignment="1" applyBorder="1" applyFont="1">
      <alignment readingOrder="0" shrinkToFit="0" vertical="bottom" wrapText="1"/>
    </xf>
    <xf borderId="10" fillId="0" fontId="3" numFmtId="3" xfId="0" applyAlignment="1" applyBorder="1" applyFont="1" applyNumberFormat="1">
      <alignment readingOrder="0" shrinkToFit="0" vertical="bottom" wrapText="0"/>
    </xf>
    <xf borderId="0" fillId="0" fontId="3" numFmtId="3" xfId="0" applyAlignment="1" applyFont="1" applyNumberFormat="1">
      <alignment readingOrder="0" shrinkToFit="0" vertical="bottom" wrapText="0"/>
    </xf>
    <xf borderId="11" fillId="0" fontId="3" numFmtId="3" xfId="0" applyAlignment="1" applyBorder="1" applyFont="1" applyNumberFormat="1">
      <alignment readingOrder="0" shrinkToFit="0" vertical="bottom" wrapText="0"/>
    </xf>
    <xf borderId="12" fillId="0" fontId="1" numFmtId="0" xfId="0" applyAlignment="1" applyBorder="1" applyFont="1">
      <alignment readingOrder="0" shrinkToFit="0" vertical="bottom" wrapText="1"/>
    </xf>
    <xf borderId="13" fillId="0" fontId="1" numFmtId="164" xfId="0" applyAlignment="1" applyBorder="1" applyFont="1" applyNumberFormat="1">
      <alignment readingOrder="0" shrinkToFit="0" vertical="bottom" wrapText="0"/>
    </xf>
    <xf borderId="14" fillId="0" fontId="1" numFmtId="164" xfId="0" applyAlignment="1" applyBorder="1" applyFont="1" applyNumberFormat="1">
      <alignment readingOrder="0" shrinkToFit="0" vertical="bottom" wrapText="0"/>
    </xf>
    <xf borderId="15" fillId="0" fontId="1" numFmtId="164" xfId="0" applyAlignment="1" applyBorder="1" applyFont="1" applyNumberFormat="1">
      <alignment readingOrder="0" shrinkToFit="0" vertical="bottom" wrapText="0"/>
    </xf>
    <xf borderId="10" fillId="0" fontId="3" numFmtId="164" xfId="0" applyAlignment="1" applyBorder="1" applyFont="1" applyNumberFormat="1">
      <alignment horizontal="right" readingOrder="0" shrinkToFit="0" vertical="bottom" wrapText="0"/>
    </xf>
    <xf borderId="11" fillId="0" fontId="3" numFmtId="164" xfId="0" applyAlignment="1" applyBorder="1" applyFont="1" applyNumberFormat="1">
      <alignment horizontal="right" readingOrder="0" shrinkToFit="0" vertical="bottom" wrapText="0"/>
    </xf>
    <xf borderId="10" fillId="0" fontId="3" numFmtId="164" xfId="0" applyAlignment="1" applyBorder="1" applyFont="1" applyNumberFormat="1">
      <alignment shrinkToFit="0" vertical="bottom" wrapText="0"/>
    </xf>
    <xf borderId="11" fillId="0" fontId="3" numFmtId="164" xfId="0" applyAlignment="1" applyBorder="1" applyFont="1" applyNumberFormat="1">
      <alignment shrinkToFit="0" vertical="bottom" wrapText="0"/>
    </xf>
    <xf borderId="5" fillId="0" fontId="3" numFmtId="0" xfId="0" applyAlignment="1" applyBorder="1" applyFont="1">
      <alignment readingOrder="0" shrinkToFit="0" vertical="bottom" wrapText="1"/>
    </xf>
    <xf borderId="6" fillId="0" fontId="3" numFmtId="164" xfId="0" applyAlignment="1" applyBorder="1" applyFont="1" applyNumberFormat="1">
      <alignment readingOrder="0" shrinkToFit="0" vertical="bottom" wrapText="0"/>
    </xf>
    <xf borderId="7" fillId="0" fontId="3" numFmtId="164" xfId="0" applyAlignment="1" applyBorder="1" applyFont="1" applyNumberFormat="1">
      <alignment readingOrder="0" shrinkToFit="0" vertical="bottom" wrapText="0"/>
    </xf>
    <xf borderId="8" fillId="0" fontId="3" numFmtId="164" xfId="0" applyAlignment="1" applyBorder="1" applyFont="1" applyNumberFormat="1">
      <alignment readingOrder="0" shrinkToFit="0" vertical="bottom" wrapText="0"/>
    </xf>
    <xf borderId="6" fillId="0" fontId="3" numFmtId="164" xfId="0" applyAlignment="1" applyBorder="1" applyFont="1" applyNumberFormat="1">
      <alignment horizontal="right" readingOrder="0" shrinkToFit="0" vertical="bottom" wrapText="0"/>
    </xf>
    <xf borderId="7" fillId="0" fontId="3" numFmtId="164" xfId="0" applyAlignment="1" applyBorder="1" applyFont="1" applyNumberFormat="1">
      <alignment horizontal="right" readingOrder="0" shrinkToFit="0" vertical="bottom" wrapText="0"/>
    </xf>
    <xf borderId="8" fillId="0" fontId="3" numFmtId="164" xfId="0" applyAlignment="1" applyBorder="1" applyFont="1" applyNumberFormat="1">
      <alignment horizontal="right" readingOrder="0" shrinkToFit="0" vertical="bottom" wrapText="0"/>
    </xf>
    <xf borderId="6" fillId="0" fontId="3" numFmtId="164" xfId="0" applyAlignment="1" applyBorder="1" applyFont="1" applyNumberFormat="1">
      <alignment shrinkToFit="0" vertical="bottom" wrapText="0"/>
    </xf>
    <xf borderId="8" fillId="0" fontId="3" numFmtId="164" xfId="0" applyAlignment="1" applyBorder="1" applyFont="1" applyNumberFormat="1">
      <alignment shrinkToFit="0" vertical="bottom" wrapText="0"/>
    </xf>
    <xf borderId="0" fillId="0" fontId="10" numFmtId="0" xfId="0" applyAlignment="1" applyFont="1">
      <alignment shrinkToFit="0" wrapText="1"/>
    </xf>
    <xf borderId="2" fillId="0" fontId="1" numFmtId="164" xfId="0" applyAlignment="1" applyBorder="1" applyFont="1" applyNumberFormat="1">
      <alignment readingOrder="0" shrinkToFit="0" vertical="bottom" wrapText="1"/>
    </xf>
    <xf borderId="3" fillId="0" fontId="10" numFmtId="0" xfId="0" applyBorder="1" applyFont="1"/>
    <xf borderId="3" fillId="0" fontId="3" numFmtId="164" xfId="0" applyAlignment="1" applyBorder="1" applyFont="1" applyNumberFormat="1">
      <alignment readingOrder="0" shrinkToFit="0" vertical="bottom" wrapText="0"/>
    </xf>
    <xf borderId="3" fillId="0" fontId="3" numFmtId="164" xfId="0" applyAlignment="1" applyBorder="1" applyFont="1" applyNumberFormat="1">
      <alignment horizontal="right" readingOrder="0" shrinkToFit="0" vertical="bottom" wrapText="0"/>
    </xf>
    <xf borderId="4" fillId="0" fontId="3" numFmtId="164" xfId="0" applyAlignment="1" applyBorder="1" applyFont="1" applyNumberFormat="1">
      <alignment shrinkToFit="0" vertical="bottom" wrapText="0"/>
    </xf>
    <xf borderId="2" fillId="0" fontId="1" numFmtId="164" xfId="0" applyAlignment="1" applyBorder="1" applyFont="1" applyNumberFormat="1">
      <alignment readingOrder="0" shrinkToFit="0" vertical="bottom" wrapText="0"/>
    </xf>
    <xf borderId="4" fillId="0" fontId="10" numFmtId="0" xfId="0" applyBorder="1" applyFont="1"/>
    <xf borderId="6" fillId="0" fontId="3" numFmtId="0" xfId="0" applyAlignment="1" applyBorder="1" applyFont="1">
      <alignment readingOrder="0" shrinkToFit="0" vertical="bottom" wrapText="1"/>
    </xf>
    <xf borderId="6" fillId="0" fontId="3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readingOrder="0" shrinkToFit="0" vertical="bottom" wrapText="1"/>
    </xf>
    <xf borderId="10" fillId="0" fontId="3" numFmtId="0" xfId="0" applyAlignment="1" applyBorder="1" applyFont="1">
      <alignment readingOrder="0" shrinkToFit="0" vertical="bottom" wrapText="0"/>
    </xf>
    <xf borderId="0" fillId="0" fontId="10" numFmtId="164" xfId="0" applyFont="1" applyNumberFormat="1"/>
    <xf borderId="11" fillId="0" fontId="10" numFmtId="164" xfId="0" applyBorder="1" applyFont="1" applyNumberFormat="1"/>
    <xf borderId="13" fillId="0" fontId="3" numFmtId="0" xfId="0" applyAlignment="1" applyBorder="1" applyFont="1">
      <alignment readingOrder="0" shrinkToFit="0" vertical="bottom" wrapText="1"/>
    </xf>
    <xf borderId="14" fillId="0" fontId="3" numFmtId="164" xfId="0" applyAlignment="1" applyBorder="1" applyFont="1" applyNumberFormat="1">
      <alignment readingOrder="0" shrinkToFit="0" vertical="bottom" wrapText="0"/>
    </xf>
    <xf borderId="15" fillId="0" fontId="3" numFmtId="164" xfId="0" applyAlignment="1" applyBorder="1" applyFont="1" applyNumberFormat="1">
      <alignment readingOrder="0" shrinkToFit="0" vertical="bottom" wrapText="0"/>
    </xf>
    <xf borderId="13" fillId="0" fontId="3" numFmtId="0" xfId="0" applyAlignment="1" applyBorder="1" applyFont="1">
      <alignment readingOrder="0" shrinkToFit="0" vertical="bottom" wrapText="0"/>
    </xf>
    <xf borderId="11" fillId="0" fontId="10" numFmtId="0" xfId="0" applyBorder="1" applyFont="1"/>
    <xf borderId="0" fillId="0" fontId="3" numFmtId="3" xfId="0" applyAlignment="1" applyFont="1" applyNumberFormat="1">
      <alignment horizontal="right" readingOrder="0" shrinkToFit="0" vertical="bottom" wrapText="0"/>
    </xf>
    <xf borderId="11" fillId="0" fontId="3" numFmtId="3" xfId="0" applyAlignment="1" applyBorder="1" applyFont="1" applyNumberFormat="1">
      <alignment shrinkToFit="0" vertical="bottom" wrapText="0"/>
    </xf>
    <xf borderId="0" fillId="0" fontId="3" numFmtId="3" xfId="0" applyAlignment="1" applyFont="1" applyNumberFormat="1">
      <alignment shrinkToFit="0" vertical="bottom" wrapText="0"/>
    </xf>
    <xf borderId="7" fillId="0" fontId="3" numFmtId="3" xfId="0" applyAlignment="1" applyBorder="1" applyFont="1" applyNumberFormat="1">
      <alignment readingOrder="0" shrinkToFit="0" vertical="bottom" wrapText="0"/>
    </xf>
    <xf borderId="8" fillId="0" fontId="3" numFmtId="3" xfId="0" applyAlignment="1" applyBorder="1" applyFont="1" applyNumberFormat="1">
      <alignment readingOrder="0" shrinkToFit="0" vertical="bottom" wrapText="0"/>
    </xf>
    <xf borderId="7" fillId="0" fontId="10" numFmtId="1" xfId="0" applyBorder="1" applyFont="1" applyNumberFormat="1"/>
    <xf borderId="8" fillId="0" fontId="10" numFmtId="1" xfId="0" applyBorder="1" applyFont="1" applyNumberFormat="1"/>
    <xf borderId="0" fillId="0" fontId="3" numFmtId="164" xfId="0" applyAlignment="1" applyFont="1" applyNumberFormat="1">
      <alignment readingOrder="0" shrinkToFit="0" vertical="bottom" wrapText="1"/>
    </xf>
    <xf borderId="13" fillId="0" fontId="11" numFmtId="164" xfId="0" applyAlignment="1" applyBorder="1" applyFont="1" applyNumberFormat="1">
      <alignment readingOrder="0" shrinkToFit="0" wrapText="1"/>
    </xf>
    <xf borderId="14" fillId="0" fontId="12" numFmtId="164" xfId="0" applyAlignment="1" applyBorder="1" applyFont="1" applyNumberFormat="1">
      <alignment horizontal="right"/>
    </xf>
    <xf borderId="15" fillId="0" fontId="12" numFmtId="164" xfId="0" applyAlignment="1" applyBorder="1" applyFont="1" applyNumberFormat="1">
      <alignment horizontal="right"/>
    </xf>
    <xf borderId="13" fillId="0" fontId="11" numFmtId="164" xfId="0" applyAlignment="1" applyBorder="1" applyFont="1" applyNumberFormat="1">
      <alignment readingOrder="0"/>
    </xf>
    <xf borderId="10" fillId="0" fontId="10" numFmtId="164" xfId="0" applyAlignment="1" applyBorder="1" applyFont="1" applyNumberFormat="1">
      <alignment shrinkToFit="0" wrapText="1"/>
    </xf>
    <xf borderId="0" fillId="0" fontId="10" numFmtId="164" xfId="0" applyAlignment="1" applyFont="1" applyNumberFormat="1">
      <alignment horizontal="right"/>
    </xf>
    <xf borderId="11" fillId="0" fontId="10" numFmtId="164" xfId="0" applyAlignment="1" applyBorder="1" applyFont="1" applyNumberFormat="1">
      <alignment horizontal="right"/>
    </xf>
    <xf borderId="10" fillId="0" fontId="10" numFmtId="164" xfId="0" applyBorder="1" applyFont="1" applyNumberFormat="1"/>
    <xf borderId="0" fillId="0" fontId="10" numFmtId="3" xfId="0" applyAlignment="1" applyFont="1" applyNumberFormat="1">
      <alignment horizontal="right"/>
    </xf>
    <xf borderId="13" fillId="0" fontId="10" numFmtId="164" xfId="0" applyAlignment="1" applyBorder="1" applyFont="1" applyNumberFormat="1">
      <alignment shrinkToFit="0" wrapText="1"/>
    </xf>
    <xf borderId="14" fillId="0" fontId="10" numFmtId="164" xfId="0" applyAlignment="1" applyBorder="1" applyFont="1" applyNumberFormat="1">
      <alignment horizontal="right"/>
    </xf>
    <xf borderId="15" fillId="0" fontId="10" numFmtId="164" xfId="0" applyAlignment="1" applyBorder="1" applyFont="1" applyNumberFormat="1">
      <alignment horizontal="right"/>
    </xf>
    <xf borderId="13" fillId="0" fontId="10" numFmtId="164" xfId="0" applyBorder="1" applyFont="1" applyNumberFormat="1"/>
    <xf borderId="14" fillId="0" fontId="10" numFmtId="3" xfId="0" applyAlignment="1" applyBorder="1" applyFont="1" applyNumberFormat="1">
      <alignment horizontal="right"/>
    </xf>
    <xf borderId="0" fillId="0" fontId="10" numFmtId="0" xfId="0" applyAlignment="1" applyFont="1">
      <alignment horizontal="right"/>
    </xf>
    <xf borderId="11" fillId="0" fontId="10" numFmtId="0" xfId="0" applyAlignment="1" applyBorder="1" applyFont="1">
      <alignment horizontal="right"/>
    </xf>
    <xf borderId="10" fillId="0" fontId="10" numFmtId="0" xfId="0" applyAlignment="1" applyBorder="1" applyFont="1">
      <alignment shrinkToFit="0" wrapText="1"/>
    </xf>
    <xf borderId="11" fillId="0" fontId="10" numFmtId="3" xfId="0" applyAlignment="1" applyBorder="1" applyFont="1" applyNumberFormat="1">
      <alignment horizontal="right"/>
    </xf>
    <xf borderId="10" fillId="0" fontId="10" numFmtId="0" xfId="0" applyBorder="1" applyFont="1"/>
    <xf borderId="13" fillId="0" fontId="10" numFmtId="0" xfId="0" applyAlignment="1" applyBorder="1" applyFont="1">
      <alignment shrinkToFit="0" wrapText="1"/>
    </xf>
    <xf borderId="13" fillId="0" fontId="10" numFmtId="0" xfId="0" applyBorder="1" applyFont="1"/>
    <xf borderId="6" fillId="0" fontId="10" numFmtId="0" xfId="0" applyAlignment="1" applyBorder="1" applyFont="1">
      <alignment shrinkToFit="0" wrapText="1"/>
    </xf>
    <xf borderId="7" fillId="0" fontId="10" numFmtId="3" xfId="0" applyAlignment="1" applyBorder="1" applyFont="1" applyNumberFormat="1">
      <alignment horizontal="right"/>
    </xf>
    <xf borderId="8" fillId="0" fontId="10" numFmtId="3" xfId="0" applyAlignment="1" applyBorder="1" applyFont="1" applyNumberFormat="1">
      <alignment horizontal="right"/>
    </xf>
    <xf borderId="0" fillId="0" fontId="10" numFmtId="3" xfId="0" applyFont="1" applyNumberFormat="1"/>
    <xf borderId="6" fillId="0" fontId="10" numFmtId="0" xfId="0" applyBorder="1" applyFont="1"/>
    <xf borderId="0" fillId="0" fontId="10" numFmtId="0" xfId="0" applyAlignment="1" applyFont="1">
      <alignment shrinkToFit="0" wrapText="1"/>
    </xf>
    <xf borderId="0" fillId="0" fontId="10" numFmtId="0" xfId="0" applyFont="1"/>
    <xf borderId="13" fillId="0" fontId="11" numFmtId="0" xfId="0" applyAlignment="1" applyBorder="1" applyFont="1">
      <alignment readingOrder="0" shrinkToFit="0" wrapText="1"/>
    </xf>
    <xf borderId="13" fillId="0" fontId="11" numFmtId="0" xfId="0" applyAlignment="1" applyBorder="1" applyFont="1">
      <alignment readingOrder="0"/>
    </xf>
    <xf borderId="0" fillId="0" fontId="9" numFmtId="0" xfId="0" applyAlignment="1" applyFont="1">
      <alignment readingOrder="0" shrinkToFit="0" vertical="bottom" wrapText="1"/>
    </xf>
    <xf borderId="0" fillId="0" fontId="9" numFmtId="164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1"/>
    </xf>
    <xf borderId="13" fillId="0" fontId="13" numFmtId="0" xfId="0" applyAlignment="1" applyBorder="1" applyFont="1">
      <alignment readingOrder="0" shrinkToFit="0" vertical="bottom" wrapText="1"/>
    </xf>
    <xf borderId="11" fillId="0" fontId="9" numFmtId="164" xfId="0" applyAlignment="1" applyBorder="1" applyFont="1" applyNumberFormat="1">
      <alignment readingOrder="0" shrinkToFit="0" vertical="bottom" wrapText="1"/>
    </xf>
    <xf borderId="10" fillId="0" fontId="9" numFmtId="0" xfId="0" applyAlignment="1" applyBorder="1" applyFont="1">
      <alignment readingOrder="0" shrinkToFit="0" vertical="bottom" wrapText="1"/>
    </xf>
    <xf borderId="10" fillId="0" fontId="9" numFmtId="0" xfId="0" applyAlignment="1" applyBorder="1" applyFont="1">
      <alignment readingOrder="0" shrinkToFit="0" vertical="bottom" wrapText="0"/>
    </xf>
    <xf borderId="6" fillId="0" fontId="9" numFmtId="0" xfId="0" applyAlignment="1" applyBorder="1" applyFont="1">
      <alignment readingOrder="0" shrinkToFit="0" vertical="bottom" wrapText="1"/>
    </xf>
    <xf borderId="7" fillId="0" fontId="9" numFmtId="164" xfId="0" applyAlignment="1" applyBorder="1" applyFont="1" applyNumberFormat="1">
      <alignment readingOrder="0" shrinkToFit="0" vertical="bottom" wrapText="1"/>
    </xf>
    <xf borderId="8" fillId="0" fontId="9" numFmtId="164" xfId="0" applyAlignment="1" applyBorder="1" applyFont="1" applyNumberFormat="1">
      <alignment readingOrder="0" shrinkToFit="0" vertical="bottom" wrapText="1"/>
    </xf>
    <xf borderId="13" fillId="0" fontId="9" numFmtId="0" xfId="0" applyAlignment="1" applyBorder="1" applyFont="1">
      <alignment readingOrder="0" shrinkToFit="0" vertical="bottom" wrapText="1"/>
    </xf>
    <xf borderId="14" fillId="0" fontId="9" numFmtId="164" xfId="0" applyAlignment="1" applyBorder="1" applyFont="1" applyNumberFormat="1">
      <alignment readingOrder="0" shrinkToFit="0" vertical="bottom" wrapText="1"/>
    </xf>
    <xf borderId="15" fillId="0" fontId="9" numFmtId="164" xfId="0" applyAlignment="1" applyBorder="1" applyFont="1" applyNumberFormat="1">
      <alignment readingOrder="0" shrinkToFit="0" vertical="bottom" wrapText="1"/>
    </xf>
    <xf borderId="11" fillId="0" fontId="2" numFmtId="164" xfId="0" applyAlignment="1" applyBorder="1" applyFont="1" applyNumberFormat="1">
      <alignment shrinkToFit="0" vertical="bottom" wrapText="0"/>
    </xf>
    <xf borderId="0" fillId="0" fontId="9" numFmtId="3" xfId="0" applyAlignment="1" applyFont="1" applyNumberFormat="1">
      <alignment readingOrder="0" shrinkToFit="0" vertical="bottom" wrapText="1"/>
    </xf>
    <xf borderId="11" fillId="0" fontId="9" numFmtId="3" xfId="0" applyAlignment="1" applyBorder="1" applyFont="1" applyNumberFormat="1">
      <alignment readingOrder="0" shrinkToFit="0" vertical="bottom" wrapText="1"/>
    </xf>
    <xf borderId="7" fillId="0" fontId="9" numFmtId="3" xfId="0" applyAlignment="1" applyBorder="1" applyFont="1" applyNumberFormat="1">
      <alignment readingOrder="0" shrinkToFit="0" vertical="bottom" wrapText="1"/>
    </xf>
    <xf borderId="8" fillId="0" fontId="9" numFmtId="3" xfId="0" applyAlignment="1" applyBorder="1" applyFont="1" applyNumberFormat="1">
      <alignment readingOrder="0" shrinkToFit="0" vertical="bottom" wrapText="1"/>
    </xf>
    <xf borderId="12" fillId="2" fontId="12" numFmtId="165" xfId="0" applyAlignment="1" applyBorder="1" applyFill="1" applyFont="1" applyNumberFormat="1">
      <alignment readingOrder="0" shrinkToFit="0" wrapText="1"/>
    </xf>
    <xf borderId="12" fillId="2" fontId="12" numFmtId="165" xfId="0" applyAlignment="1" applyBorder="1" applyFont="1" applyNumberFormat="1">
      <alignment readingOrder="0"/>
    </xf>
    <xf borderId="12" fillId="0" fontId="10" numFmtId="165" xfId="0" applyAlignment="1" applyBorder="1" applyFont="1" applyNumberFormat="1">
      <alignment shrinkToFit="0" wrapText="1"/>
    </xf>
    <xf borderId="12" fillId="0" fontId="10" numFmtId="165" xfId="0" applyBorder="1" applyFont="1" applyNumberFormat="1"/>
    <xf borderId="12" fillId="0" fontId="12" numFmtId="165" xfId="0" applyAlignment="1" applyBorder="1" applyFont="1" applyNumberFormat="1">
      <alignment readingOrder="0" shrinkToFit="0" wrapText="1"/>
    </xf>
    <xf borderId="12" fillId="0" fontId="10" numFmtId="165" xfId="0" applyAlignment="1" applyBorder="1" applyFont="1" applyNumberFormat="1">
      <alignment readingOrder="0" shrinkToFit="0" wrapText="1"/>
    </xf>
    <xf borderId="12" fillId="0" fontId="10" numFmtId="165" xfId="0" applyAlignment="1" applyBorder="1" applyFont="1" applyNumberFormat="1">
      <alignment readingOrder="0"/>
    </xf>
    <xf borderId="0" fillId="0" fontId="10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3" fontId="10" numFmtId="0" xfId="0" applyFill="1" applyFont="1"/>
    <xf borderId="12" fillId="3" fontId="12" numFmtId="165" xfId="0" applyAlignment="1" applyBorder="1" applyFont="1" applyNumberFormat="1">
      <alignment horizontal="right" readingOrder="0"/>
    </xf>
    <xf borderId="12" fillId="2" fontId="11" numFmtId="165" xfId="0" applyAlignment="1" applyBorder="1" applyFont="1" applyNumberFormat="1">
      <alignment horizontal="left" readingOrder="0" shrinkToFit="0" wrapText="1"/>
    </xf>
    <xf borderId="12" fillId="2" fontId="12" numFmtId="165" xfId="0" applyAlignment="1" applyBorder="1" applyFont="1" applyNumberFormat="1">
      <alignment horizontal="right" readingOrder="0"/>
    </xf>
    <xf borderId="12" fillId="2" fontId="12" numFmtId="165" xfId="0" applyAlignment="1" applyBorder="1" applyFont="1" applyNumberFormat="1">
      <alignment horizontal="left" readingOrder="0" shrinkToFit="0" wrapText="1"/>
    </xf>
    <xf borderId="10" fillId="3" fontId="3" numFmtId="0" xfId="0" applyAlignment="1" applyBorder="1" applyFont="1">
      <alignment readingOrder="0" shrinkToFit="0" vertical="bottom" wrapText="1"/>
    </xf>
    <xf borderId="0" fillId="3" fontId="10" numFmtId="164" xfId="0" applyFont="1" applyNumberFormat="1"/>
    <xf borderId="0" fillId="0" fontId="10" numFmtId="166" xfId="0" applyFont="1" applyNumberFormat="1"/>
    <xf borderId="0" fillId="0" fontId="10" numFmtId="164" xfId="0" applyAlignment="1" applyFont="1" applyNumberFormat="1">
      <alignment shrinkToFit="0" wrapText="1"/>
    </xf>
    <xf borderId="0" fillId="3" fontId="4" numFmtId="0" xfId="0" applyAlignment="1" applyFont="1">
      <alignment readingOrder="0"/>
    </xf>
    <xf borderId="14" fillId="0" fontId="10" numFmtId="164" xfId="0" applyAlignment="1" applyBorder="1" applyFont="1" applyNumberFormat="1">
      <alignment shrinkToFit="0" wrapText="1"/>
    </xf>
    <xf borderId="14" fillId="0" fontId="10" numFmtId="164" xfId="0" applyBorder="1" applyFont="1" applyNumberFormat="1"/>
    <xf borderId="14" fillId="0" fontId="12" numFmtId="164" xfId="0" applyAlignment="1" applyBorder="1" applyFont="1" applyNumberFormat="1">
      <alignment shrinkToFit="0" wrapText="1"/>
    </xf>
    <xf borderId="14" fillId="0" fontId="12" numFmtId="0" xfId="0" applyBorder="1" applyFont="1"/>
    <xf borderId="14" fillId="0" fontId="12" numFmtId="164" xfId="0" applyBorder="1" applyFont="1" applyNumberFormat="1"/>
    <xf borderId="0" fillId="0" fontId="10" numFmtId="3" xfId="0" applyAlignment="1" applyFont="1" applyNumberFormat="1">
      <alignment shrinkToFit="0" wrapText="1"/>
    </xf>
    <xf borderId="0" fillId="0" fontId="10" numFmtId="0" xfId="0" applyFont="1"/>
    <xf borderId="0" fillId="0" fontId="4" numFmtId="164" xfId="0" applyAlignment="1" applyFont="1" applyNumberFormat="1">
      <alignment readingOrder="0" shrinkToFit="0" wrapText="1"/>
    </xf>
    <xf borderId="0" fillId="0" fontId="11" numFmtId="164" xfId="0" applyAlignment="1" applyFont="1" applyNumberFormat="1">
      <alignment readingOrder="0" shrinkToFit="0" wrapText="1"/>
    </xf>
    <xf borderId="0" fillId="0" fontId="12" numFmtId="164" xfId="0" applyFont="1" applyNumberFormat="1"/>
    <xf borderId="14" fillId="0" fontId="11" numFmtId="164" xfId="0" applyAlignment="1" applyBorder="1" applyFont="1" applyNumberFormat="1">
      <alignment readingOrder="0" shrinkToFit="0" wrapText="1"/>
    </xf>
    <xf borderId="14" fillId="0" fontId="10" numFmtId="0" xfId="0" applyBorder="1" applyFont="1"/>
    <xf borderId="0" fillId="0" fontId="10" numFmtId="165" xfId="0" applyAlignment="1" applyFont="1" applyNumberFormat="1">
      <alignment horizontal="right"/>
    </xf>
    <xf borderId="0" fillId="0" fontId="10" numFmtId="165" xfId="0" applyFont="1" applyNumberFormat="1"/>
    <xf borderId="14" fillId="0" fontId="12" numFmtId="3" xfId="0" applyAlignment="1" applyBorder="1" applyFont="1" applyNumberFormat="1">
      <alignment shrinkToFit="0" wrapText="1"/>
    </xf>
    <xf borderId="14" fillId="0" fontId="12" numFmtId="3" xfId="0" applyBorder="1" applyFont="1" applyNumberFormat="1"/>
    <xf borderId="16" fillId="0" fontId="12" numFmtId="3" xfId="0" applyAlignment="1" applyBorder="1" applyFont="1" applyNumberFormat="1">
      <alignment shrinkToFit="0" wrapText="1"/>
    </xf>
    <xf borderId="16" fillId="0" fontId="12" numFmtId="3" xfId="0" applyBorder="1" applyFont="1" applyNumberFormat="1"/>
    <xf borderId="16" fillId="0" fontId="10" numFmtId="0" xfId="0" applyBorder="1" applyFont="1"/>
    <xf borderId="0" fillId="0" fontId="11" numFmtId="0" xfId="0" applyAlignment="1" applyFont="1">
      <alignment readingOrder="0" shrinkToFit="0" wrapText="1"/>
    </xf>
    <xf borderId="0" fillId="0" fontId="4" numFmtId="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0" numFmtId="4" xfId="0" applyFont="1" applyNumberFormat="1"/>
    <xf borderId="0" fillId="0" fontId="12" numFmtId="3" xfId="0" applyFont="1" applyNumberFormat="1"/>
    <xf borderId="14" fillId="0" fontId="11" numFmtId="0" xfId="0" applyAlignment="1" applyBorder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2" numFmtId="4" xfId="0" applyFont="1" applyNumberFormat="1"/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0" numFmtId="9" xfId="0" applyFont="1" applyNumberFormat="1"/>
    <xf borderId="0" fillId="4" fontId="4" numFmtId="164" xfId="0" applyAlignment="1" applyFill="1" applyFont="1" applyNumberFormat="1">
      <alignment readingOrder="0"/>
    </xf>
    <xf borderId="0" fillId="4" fontId="10" numFmtId="164" xfId="0" applyFont="1" applyNumberFormat="1"/>
    <xf borderId="12" fillId="5" fontId="12" numFmtId="165" xfId="0" applyAlignment="1" applyBorder="1" applyFill="1" applyFont="1" applyNumberFormat="1">
      <alignment horizontal="left" readingOrder="0" shrinkToFit="0" wrapText="1"/>
    </xf>
    <xf borderId="12" fillId="5" fontId="12" numFmtId="165" xfId="0" applyAlignment="1" applyBorder="1" applyFont="1" applyNumberFormat="1">
      <alignment horizontal="right" readingOrder="0"/>
    </xf>
    <xf borderId="0" fillId="0" fontId="10" numFmtId="167" xfId="0" applyFont="1" applyNumberFormat="1"/>
    <xf borderId="0" fillId="0" fontId="10" numFmtId="1" xfId="0" applyFont="1" applyNumberFormat="1"/>
    <xf borderId="2" fillId="0" fontId="11" numFmtId="0" xfId="0" applyAlignment="1" applyBorder="1" applyFont="1">
      <alignment readingOrder="0"/>
    </xf>
    <xf borderId="3" fillId="0" fontId="12" numFmtId="1" xfId="0" applyBorder="1" applyFont="1" applyNumberFormat="1"/>
    <xf borderId="4" fillId="0" fontId="12" numFmtId="1" xfId="0" applyBorder="1" applyFont="1" applyNumberFormat="1"/>
    <xf borderId="10" fillId="0" fontId="11" numFmtId="0" xfId="0" applyAlignment="1" applyBorder="1" applyFont="1">
      <alignment readingOrder="0"/>
    </xf>
    <xf borderId="11" fillId="0" fontId="12" numFmtId="164" xfId="0" applyBorder="1" applyFont="1" applyNumberFormat="1"/>
    <xf borderId="6" fillId="0" fontId="11" numFmtId="0" xfId="0" applyAlignment="1" applyBorder="1" applyFont="1">
      <alignment readingOrder="0"/>
    </xf>
    <xf borderId="7" fillId="0" fontId="12" numFmtId="164" xfId="0" applyBorder="1" applyFont="1" applyNumberFormat="1"/>
    <xf borderId="8" fillId="0" fontId="12" numFmtId="164" xfId="0" applyBorder="1" applyFont="1" applyNumberFormat="1"/>
    <xf borderId="13" fillId="0" fontId="12" numFmtId="165" xfId="0" applyAlignment="1" applyBorder="1" applyFont="1" applyNumberFormat="1">
      <alignment horizontal="center" readingOrder="0"/>
    </xf>
    <xf borderId="14" fillId="0" fontId="5" numFmtId="0" xfId="0" applyBorder="1" applyFont="1"/>
    <xf borderId="15" fillId="0" fontId="5" numFmtId="0" xfId="0" applyBorder="1" applyFont="1"/>
    <xf borderId="12" fillId="0" fontId="12" numFmtId="165" xfId="0" applyAlignment="1" applyBorder="1" applyFont="1" applyNumberFormat="1">
      <alignment readingOrder="0"/>
    </xf>
    <xf borderId="12" fillId="0" fontId="10" numFmtId="168" xfId="0" applyBorder="1" applyFont="1" applyNumberFormat="1"/>
    <xf borderId="0" fillId="0" fontId="10" numFmtId="168" xfId="0" applyFont="1" applyNumberFormat="1"/>
    <xf borderId="0" fillId="0" fontId="12" numFmtId="0" xfId="0" applyAlignment="1" applyFont="1">
      <alignment horizontal="center" readingOrder="0"/>
    </xf>
    <xf borderId="0" fillId="0" fontId="16" numFmtId="0" xfId="0" applyAlignment="1" applyFont="1">
      <alignment horizontal="right"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17" numFmtId="0" xfId="0" applyAlignment="1" applyFont="1">
      <alignment readingOrder="0"/>
    </xf>
    <xf borderId="15" fillId="0" fontId="11" numFmtId="0" xfId="0" applyAlignment="1" applyBorder="1" applyFont="1">
      <alignment readingOrder="0" shrinkToFit="0" wrapText="1"/>
    </xf>
    <xf borderId="10" fillId="0" fontId="11" numFmtId="0" xfId="0" applyAlignment="1" applyBorder="1" applyFont="1">
      <alignment readingOrder="0" shrinkToFit="0" wrapText="1"/>
    </xf>
    <xf borderId="11" fillId="0" fontId="10" numFmtId="0" xfId="0" applyAlignment="1" applyBorder="1" applyFont="1">
      <alignment shrinkToFit="0" wrapText="1"/>
    </xf>
    <xf borderId="14" fillId="0" fontId="12" numFmtId="0" xfId="0" applyAlignment="1" applyBorder="1" applyFont="1">
      <alignment shrinkToFit="0" wrapText="1"/>
    </xf>
    <xf borderId="15" fillId="0" fontId="12" numFmtId="0" xfId="0" applyAlignment="1" applyBorder="1" applyFont="1">
      <alignment shrinkToFit="0" wrapText="1"/>
    </xf>
    <xf borderId="10" fillId="0" fontId="10" numFmtId="0" xfId="0" applyAlignment="1" applyBorder="1" applyFont="1">
      <alignment shrinkToFit="0" wrapText="1"/>
    </xf>
    <xf borderId="0" fillId="0" fontId="4" numFmtId="164" xfId="0" applyAlignment="1" applyFont="1" applyNumberFormat="1">
      <alignment readingOrder="0"/>
    </xf>
    <xf borderId="0" fillId="0" fontId="18" numFmtId="0" xfId="0" applyAlignment="1" applyFont="1">
      <alignment shrinkToFit="0" wrapText="1"/>
    </xf>
    <xf borderId="0" fillId="0" fontId="18" numFmtId="0" xfId="0" applyAlignment="1" applyFont="1">
      <alignment readingOrder="0" shrinkToFit="0" wrapText="1"/>
    </xf>
    <xf borderId="0" fillId="0" fontId="19" numFmtId="0" xfId="0" applyAlignment="1" applyFont="1">
      <alignment shrinkToFit="0" wrapText="1"/>
    </xf>
    <xf borderId="0" fillId="0" fontId="20" numFmtId="0" xfId="0" applyFont="1"/>
    <xf borderId="0" fillId="0" fontId="20" numFmtId="0" xfId="0" applyAlignment="1" applyFont="1">
      <alignment readingOrder="0"/>
    </xf>
    <xf borderId="0" fillId="0" fontId="20" numFmtId="169" xfId="0" applyFont="1" applyNumberFormat="1"/>
    <xf borderId="0" fillId="0" fontId="20" numFmtId="164" xfId="0" applyFont="1" applyNumberFormat="1"/>
    <xf borderId="0" fillId="0" fontId="19" numFmtId="0" xfId="0" applyFont="1"/>
    <xf borderId="0" fillId="0" fontId="20" numFmtId="169" xfId="0" applyAlignment="1" applyFont="1" applyNumberFormat="1">
      <alignment readingOrder="0"/>
    </xf>
    <xf borderId="0" fillId="0" fontId="21" numFmtId="0" xfId="0" applyFont="1"/>
    <xf borderId="0" fillId="0" fontId="21" numFmtId="169" xfId="0" applyFont="1" applyNumberFormat="1"/>
    <xf borderId="0" fillId="0" fontId="21" numFmtId="0" xfId="0" applyAlignment="1" applyFont="1">
      <alignment readingOrder="0"/>
    </xf>
    <xf borderId="0" fillId="0" fontId="19" numFmtId="166" xfId="0" applyAlignment="1" applyFont="1" applyNumberFormat="1">
      <alignment readingOrder="0"/>
    </xf>
    <xf borderId="0" fillId="0" fontId="21" numFmtId="169" xfId="0" applyAlignment="1" applyFont="1" applyNumberFormat="1">
      <alignment readingOrder="0"/>
    </xf>
    <xf borderId="0" fillId="0" fontId="21" numFmtId="164" xfId="0" applyAlignment="1" applyFont="1" applyNumberFormat="1">
      <alignment readingOrder="0"/>
    </xf>
    <xf borderId="0" fillId="0" fontId="22" numFmtId="170" xfId="0" applyFont="1" applyNumberFormat="1"/>
    <xf borderId="0" fillId="0" fontId="21" numFmtId="171" xfId="0" applyFont="1" applyNumberFormat="1"/>
    <xf borderId="0" fillId="0" fontId="20" numFmtId="170" xfId="0" applyAlignment="1" applyFont="1" applyNumberFormat="1">
      <alignment readingOrder="0"/>
    </xf>
    <xf borderId="0" fillId="0" fontId="4" numFmtId="10" xfId="0" applyAlignment="1" applyFont="1" applyNumberFormat="1">
      <alignment readingOrder="0"/>
    </xf>
    <xf borderId="2" fillId="0" fontId="12" numFmtId="0" xfId="0" applyAlignment="1" applyBorder="1" applyFont="1">
      <alignment horizontal="right" readingOrder="0"/>
    </xf>
    <xf borderId="3" fillId="0" fontId="10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10" xfId="0" applyAlignment="1" applyFont="1" applyNumberFormat="1">
      <alignment readingOrder="0" shrinkToFit="0" wrapText="1"/>
    </xf>
    <xf borderId="10" fillId="0" fontId="12" numFmtId="0" xfId="0" applyAlignment="1" applyBorder="1" applyFont="1">
      <alignment horizontal="right" readingOrder="0"/>
    </xf>
    <xf borderId="0" fillId="0" fontId="4" numFmtId="9" xfId="0" applyAlignment="1" applyFont="1" applyNumberFormat="1">
      <alignment readingOrder="0"/>
    </xf>
    <xf borderId="11" fillId="0" fontId="4" numFmtId="9" xfId="0" applyAlignment="1" applyBorder="1" applyFont="1" applyNumberFormat="1">
      <alignment readingOrder="0"/>
    </xf>
    <xf borderId="0" fillId="0" fontId="10" numFmtId="9" xfId="0" applyAlignment="1" applyFont="1" applyNumberFormat="1">
      <alignment readingOrder="0"/>
    </xf>
    <xf borderId="11" fillId="0" fontId="10" numFmtId="9" xfId="0" applyAlignment="1" applyBorder="1" applyFont="1" applyNumberFormat="1">
      <alignment readingOrder="0"/>
    </xf>
    <xf borderId="6" fillId="0" fontId="12" numFmtId="0" xfId="0" applyAlignment="1" applyBorder="1" applyFont="1">
      <alignment horizontal="right" readingOrder="0"/>
    </xf>
    <xf borderId="7" fillId="0" fontId="10" numFmtId="9" xfId="0" applyAlignment="1" applyBorder="1" applyFont="1" applyNumberFormat="1">
      <alignment readingOrder="0"/>
    </xf>
    <xf borderId="8" fillId="0" fontId="10" numFmtId="9" xfId="0" applyAlignment="1" applyBorder="1" applyFont="1" applyNumberFormat="1">
      <alignment readingOrder="0"/>
    </xf>
    <xf borderId="0" fillId="0" fontId="11" numFmtId="0" xfId="0" applyAlignment="1" applyFont="1">
      <alignment readingOrder="0" shrinkToFit="0" wrapText="0"/>
    </xf>
    <xf borderId="0" fillId="0" fontId="11" numFmtId="164" xfId="0" applyAlignment="1" applyFont="1" applyNumberFormat="1">
      <alignment readingOrder="0" shrinkToFit="0" wrapText="0"/>
    </xf>
    <xf borderId="0" fillId="0" fontId="10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4" numFmtId="164" xfId="0" applyAlignment="1" applyFont="1" applyNumberFormat="1">
      <alignment horizontal="right" readingOrder="0" shrinkToFit="0" wrapText="0"/>
    </xf>
    <xf borderId="0" fillId="0" fontId="4" numFmtId="10" xfId="0" applyAlignment="1" applyFont="1" applyNumberFormat="1">
      <alignment readingOrder="0" shrinkToFit="0" wrapText="0"/>
    </xf>
    <xf borderId="0" fillId="0" fontId="10" numFmtId="164" xfId="0" applyAlignment="1" applyFont="1" applyNumberFormat="1">
      <alignment shrinkToFit="0" wrapText="0"/>
    </xf>
    <xf borderId="0" fillId="0" fontId="4" numFmtId="164" xfId="0" applyAlignment="1" applyFont="1" applyNumberFormat="1">
      <alignment readingOrder="0" shrinkToFit="0" wrapText="0"/>
    </xf>
    <xf borderId="0" fillId="0" fontId="4" numFmtId="0" xfId="0" applyAlignment="1" applyFont="1">
      <alignment horizontal="right" readingOrder="0"/>
    </xf>
    <xf borderId="0" fillId="0" fontId="12" numFmtId="164" xfId="0" applyAlignment="1" applyFont="1" applyNumberFormat="1">
      <alignment shrinkToFit="0" wrapText="0"/>
    </xf>
    <xf borderId="0" fillId="0" fontId="4" numFmtId="172" xfId="0" applyAlignment="1" applyFont="1" applyNumberFormat="1">
      <alignment readingOrder="0" shrinkToFit="0" wrapText="0"/>
    </xf>
    <xf borderId="0" fillId="0" fontId="4" numFmtId="172" xfId="0" applyAlignment="1" applyFont="1" applyNumberFormat="1">
      <alignment readingOrder="0"/>
    </xf>
    <xf borderId="7" fillId="0" fontId="4" numFmtId="0" xfId="0" applyAlignment="1" applyBorder="1" applyFont="1">
      <alignment readingOrder="0"/>
    </xf>
    <xf borderId="7" fillId="0" fontId="4" numFmtId="9" xfId="0" applyAlignment="1" applyBorder="1" applyFont="1" applyNumberFormat="1">
      <alignment readingOrder="0"/>
    </xf>
    <xf borderId="2" fillId="0" fontId="23" numFmtId="0" xfId="0" applyAlignment="1" applyBorder="1" applyFont="1">
      <alignment horizontal="center" readingOrder="0"/>
    </xf>
    <xf borderId="3" fillId="0" fontId="23" numFmtId="0" xfId="0" applyAlignment="1" applyBorder="1" applyFont="1">
      <alignment horizontal="right" readingOrder="0" shrinkToFit="0" wrapText="1"/>
    </xf>
    <xf borderId="3" fillId="4" fontId="23" numFmtId="0" xfId="0" applyAlignment="1" applyBorder="1" applyFont="1">
      <alignment horizontal="right" readingOrder="0"/>
    </xf>
    <xf borderId="3" fillId="0" fontId="23" numFmtId="0" xfId="0" applyAlignment="1" applyBorder="1" applyFont="1">
      <alignment horizontal="right" readingOrder="0"/>
    </xf>
    <xf borderId="2" fillId="0" fontId="23" numFmtId="0" xfId="0" applyAlignment="1" applyBorder="1" applyFont="1">
      <alignment horizontal="right" readingOrder="0"/>
    </xf>
    <xf borderId="4" fillId="0" fontId="23" numFmtId="0" xfId="0" applyAlignment="1" applyBorder="1" applyFont="1">
      <alignment horizontal="right" readingOrder="0"/>
    </xf>
    <xf borderId="7" fillId="0" fontId="12" numFmtId="0" xfId="0" applyAlignment="1" applyBorder="1" applyFont="1">
      <alignment horizontal="right"/>
    </xf>
    <xf borderId="10" fillId="0" fontId="24" numFmtId="0" xfId="0" applyAlignment="1" applyBorder="1" applyFont="1">
      <alignment readingOrder="0" shrinkToFit="0" wrapText="1"/>
    </xf>
    <xf borderId="0" fillId="0" fontId="24" numFmtId="0" xfId="0" applyAlignment="1" applyFont="1">
      <alignment horizontal="right" readingOrder="0" shrinkToFit="0" wrapText="1"/>
    </xf>
    <xf borderId="11" fillId="0" fontId="24" numFmtId="0" xfId="0" applyAlignment="1" applyBorder="1" applyFont="1">
      <alignment horizontal="right" readingOrder="0" shrinkToFit="0" wrapText="1"/>
    </xf>
    <xf borderId="10" fillId="0" fontId="24" numFmtId="0" xfId="0" applyAlignment="1" applyBorder="1" applyFont="1">
      <alignment horizontal="right" readingOrder="0" shrinkToFit="0" wrapText="1"/>
    </xf>
    <xf borderId="10" fillId="0" fontId="4" numFmtId="0" xfId="0" applyAlignment="1" applyBorder="1" applyFont="1">
      <alignment readingOrder="0"/>
    </xf>
    <xf borderId="0" fillId="4" fontId="4" numFmtId="9" xfId="0" applyAlignment="1" applyFont="1" applyNumberFormat="1">
      <alignment readingOrder="0"/>
    </xf>
    <xf borderId="0" fillId="4" fontId="4" numFmtId="9" xfId="0" applyAlignment="1" applyFont="1" applyNumberFormat="1">
      <alignment horizontal="right" readingOrder="0"/>
    </xf>
    <xf borderId="11" fillId="4" fontId="4" numFmtId="9" xfId="0" applyAlignment="1" applyBorder="1" applyFont="1" applyNumberFormat="1">
      <alignment horizontal="right" readingOrder="0"/>
    </xf>
    <xf borderId="14" fillId="0" fontId="11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4" fontId="4" numFmtId="9" xfId="0" applyAlignment="1" applyBorder="1" applyFont="1" applyNumberFormat="1">
      <alignment readingOrder="0"/>
    </xf>
    <xf borderId="7" fillId="4" fontId="4" numFmtId="9" xfId="0" applyAlignment="1" applyBorder="1" applyFont="1" applyNumberFormat="1">
      <alignment horizontal="right" readingOrder="0"/>
    </xf>
    <xf borderId="8" fillId="4" fontId="4" numFmtId="9" xfId="0" applyAlignment="1" applyBorder="1" applyFont="1" applyNumberFormat="1">
      <alignment horizontal="right" readingOrder="0"/>
    </xf>
    <xf borderId="2" fillId="0" fontId="25" numFmtId="0" xfId="0" applyAlignment="1" applyBorder="1" applyFont="1">
      <alignment readingOrder="0" shrinkToFit="0" wrapText="1"/>
    </xf>
    <xf borderId="2" fillId="0" fontId="25" numFmtId="0" xfId="0" applyAlignment="1" applyBorder="1" applyFont="1">
      <alignment horizontal="center" readingOrder="0"/>
    </xf>
    <xf borderId="6" fillId="0" fontId="10" numFmtId="0" xfId="0" applyBorder="1" applyFont="1"/>
    <xf borderId="7" fillId="0" fontId="24" numFmtId="0" xfId="0" applyAlignment="1" applyBorder="1" applyFont="1">
      <alignment horizontal="right" readingOrder="0" shrinkToFit="0" wrapText="1"/>
    </xf>
    <xf borderId="8" fillId="0" fontId="24" numFmtId="0" xfId="0" applyAlignment="1" applyBorder="1" applyFont="1">
      <alignment horizontal="right" readingOrder="0" shrinkToFit="0" wrapText="1"/>
    </xf>
    <xf borderId="0" fillId="0" fontId="10" numFmtId="1" xfId="0" applyAlignment="1" applyFont="1" applyNumberFormat="1">
      <alignment horizontal="right"/>
    </xf>
    <xf borderId="13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10" xfId="0" applyAlignment="1" applyBorder="1" applyFont="1" applyNumberForma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8" fillId="0" fontId="4" numFmtId="10" xfId="0" applyAlignment="1" applyBorder="1" applyFont="1" applyNumberFormat="1">
      <alignment readingOrder="0" shrinkToFit="0" wrapText="1"/>
    </xf>
    <xf borderId="7" fillId="0" fontId="12" numFmtId="165" xfId="0" applyAlignment="1" applyBorder="1" applyFont="1" applyNumberFormat="1">
      <alignment horizontal="right"/>
    </xf>
    <xf borderId="3" fillId="0" fontId="11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11" fillId="0" fontId="10" numFmtId="1" xfId="0" applyBorder="1" applyFont="1" applyNumberFormat="1"/>
    <xf borderId="0" fillId="0" fontId="4" numFmtId="1" xfId="0" applyAlignment="1" applyFont="1" applyNumberFormat="1">
      <alignment readingOrder="0"/>
    </xf>
    <xf borderId="14" fillId="0" fontId="11" numFmtId="1" xfId="0" applyAlignment="1" applyBorder="1" applyFont="1" applyNumberFormat="1">
      <alignment readingOrder="0"/>
    </xf>
    <xf borderId="14" fillId="0" fontId="1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prnews.org/story/2021/07/27/violent-crime-surges-across-minnesota-with-record-murders" TargetMode="External"/><Relationship Id="rId10" Type="http://schemas.openxmlformats.org/officeDocument/2006/relationships/hyperlink" Target="https://www.gaston.org/news/2024/08/30/news/people-moving-to-charlotte-region-increases-to-117-daily/" TargetMode="External"/><Relationship Id="rId13" Type="http://schemas.openxmlformats.org/officeDocument/2006/relationships/hyperlink" Target="https://www.macrotrends.net/global-metrics/cities/23052/los-angeles/population" TargetMode="External"/><Relationship Id="rId12" Type="http://schemas.openxmlformats.org/officeDocument/2006/relationships/hyperlink" Target="https://taxfoundation.org/data/all/state/purchasing-power-most-expensive-us-cities-metros-2023/" TargetMode="External"/><Relationship Id="rId1" Type="http://schemas.openxmlformats.org/officeDocument/2006/relationships/hyperlink" Target="https://en.wikipedia.org/wiki/San_Francisco_Bay_Area" TargetMode="External"/><Relationship Id="rId2" Type="http://schemas.openxmlformats.org/officeDocument/2006/relationships/hyperlink" Target="https://www.kuow.org/stories/seattle-officials-announce-new-measures-to-tackle-violence-and-property-crimes" TargetMode="External"/><Relationship Id="rId3" Type="http://schemas.openxmlformats.org/officeDocument/2006/relationships/hyperlink" Target="https://www.blazeradioonline.com/article/2023/12/phoenix-population-growth" TargetMode="External"/><Relationship Id="rId4" Type="http://schemas.openxmlformats.org/officeDocument/2006/relationships/hyperlink" Target="https://www.clarity.io/customer-stories/boulder-county" TargetMode="External"/><Relationship Id="rId9" Type="http://schemas.openxmlformats.org/officeDocument/2006/relationships/hyperlink" Target="https://en.wikipedia.org/wiki/Crime_in_Philadelphia" TargetMode="External"/><Relationship Id="rId15" Type="http://schemas.openxmlformats.org/officeDocument/2006/relationships/hyperlink" Target="https://www.lawnstarter.com/nashville-tn-lawn-care/what-will-nashville-look-like-2025" TargetMode="External"/><Relationship Id="rId14" Type="http://schemas.openxmlformats.org/officeDocument/2006/relationships/hyperlink" Target="https://www.pbs.org/newshour/show/oregons-governor-on-her-states-wildfire-crisis-and-ongoing-racial-protests" TargetMode="External"/><Relationship Id="rId17" Type="http://schemas.openxmlformats.org/officeDocument/2006/relationships/hyperlink" Target="https://worldpopulationreview.com/state-rankings/fastest-growing-states" TargetMode="External"/><Relationship Id="rId16" Type="http://schemas.openxmlformats.org/officeDocument/2006/relationships/hyperlink" Target="https://goldbergloren.com/is-las-vegas-a-dangerous-city/" TargetMode="External"/><Relationship Id="rId5" Type="http://schemas.openxmlformats.org/officeDocument/2006/relationships/hyperlink" Target="https://taxfoundation.org/data/all/state/purchasing-power-most-expensive-us-cities-metros-2023/" TargetMode="External"/><Relationship Id="rId6" Type="http://schemas.openxmlformats.org/officeDocument/2006/relationships/hyperlink" Target="https://taxfoundation.org/data/all/state/purchasing-power-most-expensive-us-cities-metros-2023/" TargetMode="External"/><Relationship Id="rId18" Type="http://schemas.openxmlformats.org/officeDocument/2006/relationships/drawing" Target="../drawings/drawing3.xml"/><Relationship Id="rId7" Type="http://schemas.openxmlformats.org/officeDocument/2006/relationships/hyperlink" Target="https://connect.onefpa.org/blogs/kent-kopen-crmp-cla-mba/2024/06/04/why-austin-attracts-hnw-households" TargetMode="External"/><Relationship Id="rId8" Type="http://schemas.openxmlformats.org/officeDocument/2006/relationships/hyperlink" Target="https://www.macrotrends.net/global-metrics/cities/23052/los-angeles/populatio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allin.io/call-center-outsourcing-cost-comparison/" TargetMode="External"/><Relationship Id="rId2" Type="http://schemas.openxmlformats.org/officeDocument/2006/relationships/hyperlink" Target="https://callin.io/call-center-outsourcing-cost-comparison/" TargetMode="Externa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6.43"/>
    <col customWidth="1" min="2" max="8" width="14.14"/>
    <col customWidth="1" min="9" max="9" width="13.0"/>
    <col customWidth="1" min="10" max="10" width="10.29"/>
    <col customWidth="1" min="11" max="11" width="21.43"/>
    <col customWidth="1" min="12" max="12" width="36.14"/>
    <col customWidth="1" min="16" max="16" width="32.14"/>
    <col customWidth="1" min="26" max="26" width="43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/>
      <c r="C2" s="5"/>
      <c r="D2" s="5"/>
      <c r="E2" s="6"/>
      <c r="F2" s="6"/>
      <c r="G2" s="6"/>
      <c r="H2" s="7"/>
      <c r="I2" s="6"/>
      <c r="J2" s="5"/>
      <c r="K2" s="8"/>
    </row>
    <row r="3">
      <c r="A3" s="9" t="s">
        <v>2</v>
      </c>
      <c r="B3" s="10" t="s">
        <v>3</v>
      </c>
      <c r="C3" s="11"/>
      <c r="D3" s="12"/>
      <c r="E3" s="10" t="s">
        <v>4</v>
      </c>
      <c r="F3" s="11"/>
      <c r="G3" s="12"/>
      <c r="H3" s="10" t="s">
        <v>5</v>
      </c>
      <c r="I3" s="11"/>
      <c r="J3" s="12"/>
      <c r="K3" s="8"/>
    </row>
    <row r="4">
      <c r="A4" s="13"/>
      <c r="B4" s="14" t="s">
        <v>6</v>
      </c>
      <c r="C4" s="15" t="s">
        <v>7</v>
      </c>
      <c r="D4" s="16" t="s">
        <v>8</v>
      </c>
      <c r="E4" s="14" t="s">
        <v>6</v>
      </c>
      <c r="F4" s="15" t="s">
        <v>7</v>
      </c>
      <c r="G4" s="16" t="s">
        <v>8</v>
      </c>
      <c r="H4" s="14" t="s">
        <v>6</v>
      </c>
      <c r="I4" s="15" t="s">
        <v>7</v>
      </c>
      <c r="J4" s="16" t="s">
        <v>8</v>
      </c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</row>
    <row r="5">
      <c r="A5" s="19" t="s">
        <v>9</v>
      </c>
      <c r="B5" s="20">
        <f>SUMIFS(Products!$G:$G, Products!$A:$A, TRIM($B$3), Products!$B:$B, TRIM(B$4))</f>
        <v>8610.44</v>
      </c>
      <c r="C5" s="5">
        <f>SUMIFS(Products!$G:$G, Products!$A:$A, TRIM($B$3), Products!$B:$B, TRIM(C$4))</f>
        <v>5099.5</v>
      </c>
      <c r="D5" s="21">
        <f>SUMIFS(Products!$G:$G, Products!$A:$A, TRIM($B$3), Products!$B:$B, TRIM(D$4))</f>
        <v>464.93</v>
      </c>
      <c r="E5" s="20">
        <f>SUMIFS(Products!$G:$G, Products!$A:$A, TRIM($E$3), Products!$B:$B, TRIM(E$4))</f>
        <v>41213</v>
      </c>
      <c r="F5" s="5">
        <f>SUMIFS(Products!$G:$G, Products!$A:$A, TRIM($E$3), Products!$B:$B, TRIM(F$4))</f>
        <v>16874</v>
      </c>
      <c r="G5" s="21">
        <f>SUMIFS(Products!$G:$G, Products!$A:$A, TRIM($E$3), Products!$B:$B, TRIM(G$4))</f>
        <v>4799.5</v>
      </c>
      <c r="H5" s="20">
        <f>SUMIFS(Products!$G:$G, Products!$A:$A, TRIM($H$3), Products!$B:$B, TRIM(H$4))</f>
        <v>647919</v>
      </c>
      <c r="I5" s="5">
        <f>SUMIFS(Products!$G:$G, Products!$A:$A, TRIM($H$3), Products!$B:$B, TRIM(I$4))</f>
        <v>140913</v>
      </c>
      <c r="J5" s="21">
        <f>SUMIFS(Products!$G:$G, Products!$A:$A, TRIM($H$3), Products!$B:$B, TRIM(J$4))</f>
        <v>5850</v>
      </c>
      <c r="K5" s="8"/>
    </row>
    <row r="6">
      <c r="A6" s="22" t="s">
        <v>10</v>
      </c>
      <c r="B6" s="20">
        <f>SUMIFS(Products!$H:$H, Products!$A:$A, TRIM($B$3), Products!$B:$B, TRIM(B$4))</f>
        <v>7060.6652</v>
      </c>
      <c r="C6" s="5">
        <f>SUMIFS(Products!$H:$H, Products!$A:$A, TRIM($B$3), Products!$B:$B, TRIM(C$4))</f>
        <v>4136.385</v>
      </c>
      <c r="D6" s="21">
        <f>SUMIFS(Products!$H:$H, Products!$A:$A, TRIM($B$3), Products!$B:$B, TRIM(D$4))</f>
        <v>382.8931</v>
      </c>
      <c r="E6" s="20">
        <f>SUMIFS(Products!$H:$H, Products!$A:$A, TRIM($E$3), Products!$B:$B, TRIM(E$4))</f>
        <v>32741.89</v>
      </c>
      <c r="F6" s="5">
        <f>SUMIFS(Products!$H:$H, Products!$A:$A, TRIM($E$3), Products!$B:$B, TRIM(F$4))</f>
        <v>13338.85</v>
      </c>
      <c r="G6" s="21">
        <f>SUMIFS(Products!$H:$H, Products!$A:$A, TRIM($E$3), Products!$B:$B, TRIM(G$4))</f>
        <v>3820.965</v>
      </c>
      <c r="H6" s="20">
        <f>SUMIFS(Products!$H:$H, Products!$A:$A, TRIM($H$3), Products!$B:$B, TRIM(H$4))</f>
        <v>511897.93</v>
      </c>
      <c r="I6" s="5">
        <f>SUMIFS(Products!$H:$H, Products!$A:$A, TRIM($H$3), Products!$B:$B, TRIM(I$4))</f>
        <v>107488.49</v>
      </c>
      <c r="J6" s="21">
        <f>SUMIFS(Products!$H:$H, Products!$A:$A, TRIM($H$3), Products!$B:$B, TRIM(J$4))</f>
        <v>4830</v>
      </c>
      <c r="K6" s="8"/>
    </row>
    <row r="7">
      <c r="A7" s="19" t="s">
        <v>11</v>
      </c>
      <c r="B7" s="23">
        <f>SUMIFS(Products!$I:$I, Products!$A:$A, TRIM($B$3), Products!$B:$B, TRIM(B$4))</f>
        <v>45.5</v>
      </c>
      <c r="C7" s="24">
        <f>SUMIFS(Products!$I:$I, Products!$A:$A, TRIM($B$3), Products!$B:$B, TRIM(C$4))</f>
        <v>48</v>
      </c>
      <c r="D7" s="25">
        <f>SUMIFS(Products!$I:$I, Products!$A:$A, TRIM($B$3), Products!$B:$B, TRIM(D$4))</f>
        <v>9.36</v>
      </c>
      <c r="E7" s="23">
        <f>SUMIFS(Products!$I:$I, Products!$A:$A, TRIM($E$3), Products!$B:$B, TRIM(E$4))</f>
        <v>282.4</v>
      </c>
      <c r="F7" s="24">
        <f>SUMIFS(Products!$I:$I, Products!$A:$A, TRIM($E$3), Products!$B:$B, TRIM(F$4))</f>
        <v>71</v>
      </c>
      <c r="G7" s="25">
        <f>SUMIFS(Products!$I:$I, Products!$A:$A, TRIM($E$3), Products!$B:$B, TRIM(G$4))</f>
        <v>37</v>
      </c>
      <c r="H7" s="23">
        <f>SUMIFS(Products!$I:$I, Products!$A:$A, TRIM($H$3), Products!$B:$B, TRIM(H$4))</f>
        <v>429</v>
      </c>
      <c r="I7" s="24">
        <f>SUMIFS(Products!$I:$I, Products!$A:$A, TRIM($H$3), Products!$B:$B, TRIM(I$4))</f>
        <v>350.8</v>
      </c>
      <c r="J7" s="25">
        <f>SUMIFS(Products!$I:$I, Products!$A:$A, TRIM($H$3), Products!$B:$B, TRIM(J$4))</f>
        <v>0</v>
      </c>
      <c r="K7" s="8"/>
    </row>
    <row r="8">
      <c r="A8" s="19" t="s">
        <v>12</v>
      </c>
      <c r="B8" s="20">
        <f>B7*InputVariables!$E$2</f>
        <v>5687.5</v>
      </c>
      <c r="C8" s="5">
        <f>C7*InputVariables!$E$2</f>
        <v>6000</v>
      </c>
      <c r="D8" s="21">
        <f>D7*InputVariables!$E$2</f>
        <v>1170</v>
      </c>
      <c r="E8" s="20">
        <f>E7*InputVariables!$E$2</f>
        <v>35300</v>
      </c>
      <c r="F8" s="5">
        <f>F7*InputVariables!$E$2</f>
        <v>8875</v>
      </c>
      <c r="G8" s="21">
        <f>G7*InputVariables!$E$2</f>
        <v>4625</v>
      </c>
      <c r="H8" s="20">
        <f>H7*InputVariables!$E$2</f>
        <v>53625</v>
      </c>
      <c r="I8" s="5">
        <f>I7*InputVariables!$E$2</f>
        <v>43850</v>
      </c>
      <c r="J8" s="21">
        <f>J7*InputVariables!$E$2</f>
        <v>0</v>
      </c>
      <c r="K8" s="8"/>
    </row>
    <row r="9">
      <c r="A9" s="19" t="s">
        <v>13</v>
      </c>
      <c r="B9" s="20">
        <f>B7*InputVariables!$E$3</f>
        <v>4095</v>
      </c>
      <c r="C9" s="5">
        <f>C7*InputVariables!$E$3</f>
        <v>4320</v>
      </c>
      <c r="D9" s="21">
        <f>D7*InputVariables!$E$3</f>
        <v>842.4</v>
      </c>
      <c r="E9" s="20">
        <f>E7*InputVariables!$E$3</f>
        <v>25416</v>
      </c>
      <c r="F9" s="5">
        <f>F7*InputVariables!$E$3</f>
        <v>6390</v>
      </c>
      <c r="G9" s="21">
        <f>G7*InputVariables!$E$3</f>
        <v>3330</v>
      </c>
      <c r="H9" s="20">
        <f>H7*InputVariables!$E$3</f>
        <v>38610</v>
      </c>
      <c r="I9" s="5">
        <f>I7*InputVariables!$E$3</f>
        <v>31572</v>
      </c>
      <c r="J9" s="21">
        <f>J7*InputVariables!$E$3</f>
        <v>0</v>
      </c>
      <c r="K9" s="3"/>
    </row>
    <row r="10" ht="13.5" customHeight="1">
      <c r="A10" s="19"/>
      <c r="B10" s="20"/>
      <c r="C10" s="5"/>
      <c r="D10" s="21"/>
      <c r="E10" s="20"/>
      <c r="F10" s="5"/>
      <c r="G10" s="21"/>
      <c r="H10" s="20"/>
      <c r="I10" s="5"/>
      <c r="J10" s="21"/>
      <c r="K10" s="3"/>
    </row>
    <row r="11">
      <c r="A11" s="26" t="s">
        <v>14</v>
      </c>
      <c r="B11" s="27">
        <f t="shared" ref="B11:J11" si="1">(B5-B6)+(B8-B9)</f>
        <v>3142.2748</v>
      </c>
      <c r="C11" s="28">
        <f t="shared" si="1"/>
        <v>2643.115</v>
      </c>
      <c r="D11" s="29">
        <f t="shared" si="1"/>
        <v>409.6369</v>
      </c>
      <c r="E11" s="27">
        <f t="shared" si="1"/>
        <v>18355.11</v>
      </c>
      <c r="F11" s="28">
        <f t="shared" si="1"/>
        <v>6020.15</v>
      </c>
      <c r="G11" s="29">
        <f t="shared" si="1"/>
        <v>2273.535</v>
      </c>
      <c r="H11" s="27">
        <f t="shared" si="1"/>
        <v>151036.07</v>
      </c>
      <c r="I11" s="28">
        <f t="shared" si="1"/>
        <v>45702.51</v>
      </c>
      <c r="J11" s="29">
        <f t="shared" si="1"/>
        <v>1020</v>
      </c>
      <c r="K11" s="3"/>
    </row>
    <row r="12">
      <c r="A12" s="19"/>
      <c r="B12" s="20"/>
      <c r="C12" s="5"/>
      <c r="D12" s="21"/>
      <c r="E12" s="30"/>
      <c r="F12" s="6"/>
      <c r="G12" s="31"/>
      <c r="H12" s="32"/>
      <c r="I12" s="6"/>
      <c r="J12" s="33"/>
      <c r="K12" s="3"/>
    </row>
    <row r="13">
      <c r="A13" s="19"/>
      <c r="B13" s="20"/>
      <c r="C13" s="5"/>
      <c r="D13" s="21"/>
      <c r="E13" s="30"/>
      <c r="F13" s="6"/>
      <c r="G13" s="31"/>
      <c r="H13" s="32"/>
      <c r="I13" s="6"/>
      <c r="J13" s="33"/>
      <c r="K13" s="3"/>
    </row>
    <row r="14">
      <c r="A14" s="34"/>
      <c r="B14" s="35"/>
      <c r="C14" s="36"/>
      <c r="D14" s="37"/>
      <c r="E14" s="38"/>
      <c r="F14" s="39"/>
      <c r="G14" s="40"/>
      <c r="H14" s="41"/>
      <c r="I14" s="39"/>
      <c r="J14" s="42"/>
      <c r="K14" s="3"/>
    </row>
    <row r="15">
      <c r="A15" s="4"/>
      <c r="B15" s="5"/>
      <c r="C15" s="5"/>
      <c r="D15" s="5"/>
      <c r="E15" s="6"/>
      <c r="F15" s="6"/>
      <c r="G15" s="6"/>
      <c r="H15" s="7"/>
      <c r="I15" s="6"/>
      <c r="J15" s="7"/>
      <c r="K15" s="3"/>
    </row>
    <row r="16">
      <c r="A16" s="4" t="s">
        <v>15</v>
      </c>
      <c r="C16" s="5"/>
      <c r="D16" s="5"/>
      <c r="E16" s="6"/>
      <c r="F16" s="6"/>
      <c r="G16" s="6"/>
      <c r="H16" s="7"/>
      <c r="I16" s="6"/>
      <c r="J16" s="5"/>
      <c r="K16" s="5"/>
    </row>
    <row r="17">
      <c r="A17" s="43"/>
      <c r="D17" s="5"/>
      <c r="E17" s="6"/>
      <c r="F17" s="6"/>
      <c r="G17" s="6"/>
      <c r="H17" s="7"/>
      <c r="I17" s="6"/>
      <c r="J17" s="5"/>
      <c r="K17" s="5"/>
    </row>
    <row r="18">
      <c r="A18" s="44" t="s">
        <v>16</v>
      </c>
      <c r="B18" s="45"/>
      <c r="C18" s="45"/>
      <c r="D18" s="46"/>
      <c r="E18" s="47"/>
      <c r="F18" s="47"/>
      <c r="G18" s="47"/>
      <c r="H18" s="48"/>
      <c r="I18" s="6"/>
      <c r="J18" s="5"/>
      <c r="K18" s="49" t="s">
        <v>17</v>
      </c>
      <c r="L18" s="45"/>
      <c r="M18" s="45"/>
      <c r="N18" s="45"/>
      <c r="O18" s="45"/>
      <c r="P18" s="45"/>
      <c r="Q18" s="45"/>
      <c r="R18" s="50"/>
    </row>
    <row r="19">
      <c r="A19" s="51"/>
      <c r="B19" s="39" t="s">
        <v>18</v>
      </c>
      <c r="C19" s="39" t="s">
        <v>19</v>
      </c>
      <c r="D19" s="39" t="s">
        <v>20</v>
      </c>
      <c r="E19" s="39" t="s">
        <v>21</v>
      </c>
      <c r="F19" s="39" t="s">
        <v>22</v>
      </c>
      <c r="G19" s="39" t="s">
        <v>23</v>
      </c>
      <c r="H19" s="40" t="s">
        <v>24</v>
      </c>
      <c r="I19" s="6"/>
      <c r="J19" s="5"/>
      <c r="K19" s="52"/>
      <c r="L19" s="39" t="s">
        <v>18</v>
      </c>
      <c r="M19" s="39" t="s">
        <v>19</v>
      </c>
      <c r="N19" s="39" t="s">
        <v>20</v>
      </c>
      <c r="O19" s="39" t="s">
        <v>21</v>
      </c>
      <c r="P19" s="39" t="s">
        <v>22</v>
      </c>
      <c r="Q19" s="39" t="s">
        <v>23</v>
      </c>
      <c r="R19" s="40" t="s">
        <v>24</v>
      </c>
    </row>
    <row r="20">
      <c r="A20" s="53" t="str">
        <f t="shared" ref="A20:A21" si="2">"Basic " &amp; A5</f>
        <v>Basic Hardware Revenue</v>
      </c>
      <c r="B20" s="5">
        <f>$B$5*CustomerGrowthandMix!$B29+$C$5*CustomerGrowthandMix!$C29+$D$5*CustomerGrowthandMix!$D29</f>
        <v>10168.06375</v>
      </c>
      <c r="C20" s="5">
        <f>B5*CustomerGrowthandMix!$B30+C5*CustomerGrowthandMix!$C30+D5*CustomerGrowthandMix!$D30</f>
        <v>32029.40081</v>
      </c>
      <c r="D20" s="5">
        <f>$B$5* CustomerGrowthandMix!$B$31 + $C$5* CustomerGrowthandMix!$B$31 + $D$5* CustomerGrowthandMix!$B$31</f>
        <v>61394.90569</v>
      </c>
      <c r="E20" s="5">
        <f>$B$5* CustomerGrowthandMix!$B$32 + $C$5* CustomerGrowthandMix!$B$32 + $D$5* CustomerGrowthandMix!$B$32</f>
        <v>42362.48492</v>
      </c>
      <c r="F20" s="6">
        <f>$B$5* CustomerGrowthandMix!$B$33 + $C$5* CustomerGrowthandMix!$B$33 + $D$5* CustomerGrowthandMix!$B$33</f>
        <v>50834.98191</v>
      </c>
      <c r="G20" s="6">
        <f>$B$5* CustomerGrowthandMix!$B$34 + $C$5* CustomerGrowthandMix!$B$34 + $D$5* CustomerGrowthandMix!$B$34</f>
        <v>61001.97829</v>
      </c>
      <c r="H20" s="33">
        <f>$B$5* CustomerGrowthandMix!$B$35 + $C$5* CustomerGrowthandMix!$B$35 + $D$5* CustomerGrowthandMix!$B$35</f>
        <v>73202.37395</v>
      </c>
      <c r="I20" s="6"/>
      <c r="J20" s="5"/>
      <c r="K20" s="54" t="str">
        <f t="shared" ref="K20:K21" si="3">"Basic " &amp; A5</f>
        <v>Basic Hardware Revenue</v>
      </c>
      <c r="L20" s="5">
        <f>$B$5*CustomerGrowthandMix!$G29+$C$5*CustomerGrowthandMix!$H29+$D$5*CustomerGrowthandMix!$I29</f>
        <v>20336.1275</v>
      </c>
      <c r="M20" s="55">
        <f>$B$5*CustomerGrowthandMix!$G30+$C$5*CustomerGrowthandMix!$H30+$D$5*CustomerGrowthandMix!$I30</f>
        <v>32029.40081</v>
      </c>
      <c r="N20" s="55">
        <f>$B$5*CustomerGrowthandMix!$G31+$C$5*CustomerGrowthandMix!$H31+$D$5*CustomerGrowthandMix!$I31</f>
        <v>35232.34089</v>
      </c>
      <c r="O20" s="55">
        <f>$B$5*CustomerGrowthandMix!$G32+$C$5*CustomerGrowthandMix!$H32+$D$5*CustomerGrowthandMix!$I32</f>
        <v>40517.19203</v>
      </c>
      <c r="P20" s="55">
        <f>$B$5*CustomerGrowthandMix!$G33+$C$5*CustomerGrowthandMix!$H33+$D$5*CustomerGrowthandMix!$I33</f>
        <v>48620.63043</v>
      </c>
      <c r="Q20" s="55">
        <f>$B$5*CustomerGrowthandMix!$G34+$C$5*CustomerGrowthandMix!$H34+$D$5*CustomerGrowthandMix!$I34</f>
        <v>58344.75652</v>
      </c>
      <c r="R20" s="56">
        <f>$B$5*CustomerGrowthandMix!$G35+$C$5*CustomerGrowthandMix!$H35+$D$5*CustomerGrowthandMix!$I35</f>
        <v>70013.70782</v>
      </c>
    </row>
    <row r="21">
      <c r="A21" s="53" t="str">
        <f t="shared" si="2"/>
        <v>Basic Hardware COGS</v>
      </c>
      <c r="B21" s="5">
        <f>$B$6*CustomerGrowthandMix!$B29+$C$6*CustomerGrowthandMix!$C29+$D$6*CustomerGrowthandMix!$D29</f>
        <v>8311.494263</v>
      </c>
      <c r="C21" s="5">
        <f>$B$6*CustomerGrowthandMix!$B30+$C$6*CustomerGrowthandMix!$C30+$D$6*CustomerGrowthandMix!$D30</f>
        <v>26181.20693</v>
      </c>
      <c r="D21" s="5">
        <f>$B$6*CustomerGrowthandMix!$B31+$C$6*CustomerGrowthandMix!$C31+$D$6*CustomerGrowthandMix!$D31</f>
        <v>47998.87937</v>
      </c>
      <c r="E21" s="6">
        <f>$B$6*CustomerGrowthandMix!$B32+$C$6*CustomerGrowthandMix!$C32+$D$6*CustomerGrowthandMix!$D32</f>
        <v>33119.22676</v>
      </c>
      <c r="F21" s="6">
        <f>$B$6*CustomerGrowthandMix!$B33+$C$6*CustomerGrowthandMix!$C33+$D$6*CustomerGrowthandMix!$D33</f>
        <v>39743.07211</v>
      </c>
      <c r="G21" s="6">
        <f>$B$6*CustomerGrowthandMix!$B34+$C$6*CustomerGrowthandMix!$C34+$D$6*CustomerGrowthandMix!$D34</f>
        <v>47691.68654</v>
      </c>
      <c r="H21" s="33">
        <f>$B$6*CustomerGrowthandMix!$B35+$C$6*CustomerGrowthandMix!$C35+$D$6*CustomerGrowthandMix!$D35</f>
        <v>57230.02385</v>
      </c>
      <c r="I21" s="6"/>
      <c r="J21" s="5"/>
      <c r="K21" s="54" t="str">
        <f t="shared" si="3"/>
        <v>Basic Hardware COGS</v>
      </c>
      <c r="L21" s="5">
        <f>$B$6*CustomerGrowthandMix!$G29+$C$6*CustomerGrowthandMix!$G29+$D$6*CustomerGrowthandMix!$G29</f>
        <v>17369.91495</v>
      </c>
      <c r="M21" s="55">
        <f>$B$6*CustomerGrowthandMix!$G30+$C$6*CustomerGrowthandMix!$G30+$D$6*CustomerGrowthandMix!$G30</f>
        <v>27357.61605</v>
      </c>
      <c r="N21" s="55">
        <f>$B$6*CustomerGrowthandMix!$G31+$C$6*CustomerGrowthandMix!$G31+$D$6*CustomerGrowthandMix!$G31</f>
        <v>30093.37765</v>
      </c>
      <c r="O21" s="55">
        <f>$B$6*CustomerGrowthandMix!$G32+$C$6*CustomerGrowthandMix!$G32+$D$6*CustomerGrowthandMix!$G32</f>
        <v>34607.3843</v>
      </c>
      <c r="P21" s="55">
        <f>$B$6*CustomerGrowthandMix!$G33+$C$6*CustomerGrowthandMix!$G33+$D$6*CustomerGrowthandMix!$G33</f>
        <v>41528.86116</v>
      </c>
      <c r="Q21" s="55">
        <f>$B$6*CustomerGrowthandMix!$G34+$C$6*CustomerGrowthandMix!$G34+$D$6*CustomerGrowthandMix!$G34</f>
        <v>49834.63339</v>
      </c>
      <c r="R21" s="56">
        <f>$B$6*CustomerGrowthandMix!$G35+$C$6*CustomerGrowthandMix!$G35+$D$6*CustomerGrowthandMix!$G35</f>
        <v>59801.56007</v>
      </c>
    </row>
    <row r="22">
      <c r="A22" s="57" t="s">
        <v>25</v>
      </c>
      <c r="B22" s="58">
        <f t="shared" ref="B22:H22" si="4">B20-B21</f>
        <v>1856.569488</v>
      </c>
      <c r="C22" s="58">
        <f t="shared" si="4"/>
        <v>5848.193886</v>
      </c>
      <c r="D22" s="58">
        <f t="shared" si="4"/>
        <v>13396.02632</v>
      </c>
      <c r="E22" s="58">
        <f t="shared" si="4"/>
        <v>9243.258162</v>
      </c>
      <c r="F22" s="58">
        <f t="shared" si="4"/>
        <v>11091.90979</v>
      </c>
      <c r="G22" s="58">
        <f t="shared" si="4"/>
        <v>13310.29175</v>
      </c>
      <c r="H22" s="59">
        <f t="shared" si="4"/>
        <v>15972.3501</v>
      </c>
      <c r="I22" s="6"/>
      <c r="J22" s="5"/>
      <c r="K22" s="60" t="s">
        <v>25</v>
      </c>
      <c r="L22" s="58">
        <f t="shared" ref="L22:R22" si="5">L20-L21</f>
        <v>2966.21255</v>
      </c>
      <c r="M22" s="58">
        <f t="shared" si="5"/>
        <v>4671.784766</v>
      </c>
      <c r="N22" s="58">
        <f t="shared" si="5"/>
        <v>5138.963243</v>
      </c>
      <c r="O22" s="58">
        <f t="shared" si="5"/>
        <v>5909.807729</v>
      </c>
      <c r="P22" s="58">
        <f t="shared" si="5"/>
        <v>7091.769275</v>
      </c>
      <c r="Q22" s="58">
        <f t="shared" si="5"/>
        <v>8510.12313</v>
      </c>
      <c r="R22" s="59">
        <f t="shared" si="5"/>
        <v>10212.14776</v>
      </c>
    </row>
    <row r="23">
      <c r="A23" s="53"/>
      <c r="B23" s="5"/>
      <c r="C23" s="5"/>
      <c r="D23" s="5"/>
      <c r="E23" s="6"/>
      <c r="F23" s="6"/>
      <c r="G23" s="6"/>
      <c r="H23" s="33"/>
      <c r="I23" s="6"/>
      <c r="J23" s="5"/>
      <c r="K23" s="54"/>
      <c r="L23" s="5"/>
      <c r="R23" s="61"/>
    </row>
    <row r="24">
      <c r="A24" s="53" t="str">
        <f t="shared" ref="A24:A26" si="6">"Basic " &amp; A7</f>
        <v>Basic Labor Hours</v>
      </c>
      <c r="B24" s="24">
        <f>B7*CustomerGrowthandMix!$B29+C7*CustomerGrowthandMix!$C29+D7*CustomerGrowthandMix!$D29</f>
        <v>74.655</v>
      </c>
      <c r="C24" s="24">
        <f>$B$7*CustomerGrowthandMix!$B30+$C$7*CustomerGrowthandMix!$C30+$D$7*CustomerGrowthandMix!$D30</f>
        <v>235.16325</v>
      </c>
      <c r="D24" s="24">
        <f>$B$7*CustomerGrowthandMix!$B31+$C$7*CustomerGrowthandMix!$C31+$D$7*CustomerGrowthandMix!$D31</f>
        <v>431.132625</v>
      </c>
      <c r="E24" s="62">
        <f>$B$7*CustomerGrowthandMix!$B32+$C$7*CustomerGrowthandMix!$C32+$D$7*CustomerGrowthandMix!$D32</f>
        <v>297.4815113</v>
      </c>
      <c r="F24" s="62">
        <f>$B$7*CustomerGrowthandMix!$B33+$C$7*CustomerGrowthandMix!$C33+$D$7*CustomerGrowthandMix!$D33</f>
        <v>356.9778135</v>
      </c>
      <c r="G24" s="62">
        <f>$B$7*CustomerGrowthandMix!$B34+$C$7*CustomerGrowthandMix!$C34+$D$7*CustomerGrowthandMix!$D34</f>
        <v>428.3733762</v>
      </c>
      <c r="H24" s="63">
        <f>$B$7*CustomerGrowthandMix!$B35+$C$7*CustomerGrowthandMix!$C35+$D$7*CustomerGrowthandMix!$D35</f>
        <v>514.0480514</v>
      </c>
      <c r="I24" s="6"/>
      <c r="J24" s="5"/>
      <c r="K24" s="54" t="str">
        <f t="shared" ref="K24:K26" si="7">"Basic " &amp; A7</f>
        <v>Basic Labor Hours</v>
      </c>
      <c r="L24" s="64">
        <f>$B$7*CustomerGrowthandMix!$G29+$C$7*CustomerGrowthandMix!$H29+$D$7*CustomerGrowthandMix!$I29</f>
        <v>149.31</v>
      </c>
      <c r="M24" s="64">
        <f>$B$7*CustomerGrowthandMix!$G30+$C$7*CustomerGrowthandMix!$H30+$D$7*CustomerGrowthandMix!$I30</f>
        <v>235.16325</v>
      </c>
      <c r="N24" s="64">
        <f>$B$7*CustomerGrowthandMix!$G31+$C$7*CustomerGrowthandMix!$H31+$D$7*CustomerGrowthandMix!$I31</f>
        <v>258.679575</v>
      </c>
      <c r="O24" s="64">
        <f>$B$7*CustomerGrowthandMix!$G32+$C$7*CustomerGrowthandMix!$H32+$D$7*CustomerGrowthandMix!$I32</f>
        <v>297.4815113</v>
      </c>
      <c r="P24" s="64">
        <f>$B$7*CustomerGrowthandMix!$G33+$C$7*CustomerGrowthandMix!$H33+$D$7*CustomerGrowthandMix!$I33</f>
        <v>356.9778135</v>
      </c>
      <c r="Q24" s="64">
        <f>$B$7*CustomerGrowthandMix!$G34+$C$7*CustomerGrowthandMix!$H34+$D$7*CustomerGrowthandMix!$I34</f>
        <v>428.3733762</v>
      </c>
      <c r="R24" s="63">
        <f>$B$7*CustomerGrowthandMix!$G35+$C$7*CustomerGrowthandMix!$H35+$D$7*CustomerGrowthandMix!$I35</f>
        <v>514.0480514</v>
      </c>
    </row>
    <row r="25">
      <c r="A25" s="53" t="str">
        <f t="shared" si="6"/>
        <v>Basic Labor Revenue</v>
      </c>
      <c r="B25" s="5">
        <f>B24*InputVariables!$E$2</f>
        <v>9331.875</v>
      </c>
      <c r="C25" s="5">
        <f>C24*InputVariables!$E$2</f>
        <v>29395.40625</v>
      </c>
      <c r="D25" s="5">
        <f>D24*InputVariables!$E$2</f>
        <v>53891.57813</v>
      </c>
      <c r="E25" s="5">
        <f>E24*InputVariables!$E$2</f>
        <v>37185.18891</v>
      </c>
      <c r="F25" s="5">
        <f>F24*InputVariables!$E$2</f>
        <v>44622.22669</v>
      </c>
      <c r="G25" s="5">
        <f>G24*InputVariables!$E$2</f>
        <v>53546.67203</v>
      </c>
      <c r="H25" s="21">
        <f>H24*InputVariables!$E$2</f>
        <v>64256.00643</v>
      </c>
      <c r="I25" s="6"/>
      <c r="J25" s="5"/>
      <c r="K25" s="54" t="str">
        <f t="shared" si="7"/>
        <v>Basic Labor Revenue</v>
      </c>
      <c r="L25" s="5">
        <f>L24*InputVariables!$E$2</f>
        <v>18663.75</v>
      </c>
      <c r="M25" s="5">
        <f>M24*InputVariables!$E$2</f>
        <v>29395.40625</v>
      </c>
      <c r="N25" s="5">
        <f>N24*InputVariables!$E$2</f>
        <v>32334.94688</v>
      </c>
      <c r="O25" s="5">
        <f>O24*InputVariables!$E$2</f>
        <v>37185.18891</v>
      </c>
      <c r="P25" s="5">
        <f>P24*InputVariables!$E$2</f>
        <v>44622.22669</v>
      </c>
      <c r="Q25" s="5">
        <f>Q24*InputVariables!$E$2</f>
        <v>53546.67203</v>
      </c>
      <c r="R25" s="21">
        <f>R24*InputVariables!$E$2</f>
        <v>64256.00643</v>
      </c>
    </row>
    <row r="26">
      <c r="A26" s="53" t="str">
        <f t="shared" si="6"/>
        <v>Basic Labor Internal COGS</v>
      </c>
      <c r="B26" s="5">
        <f>B24*InputVariables!$E$3</f>
        <v>6718.95</v>
      </c>
      <c r="C26" s="5">
        <f>C24*InputVariables!$E$3</f>
        <v>21164.6925</v>
      </c>
      <c r="D26" s="5">
        <f>D24*InputVariables!$E$3</f>
        <v>38801.93625</v>
      </c>
      <c r="E26" s="5">
        <f>E24*InputVariables!$E$3</f>
        <v>26773.33601</v>
      </c>
      <c r="F26" s="5">
        <f>F24*InputVariables!$E$3</f>
        <v>32128.00322</v>
      </c>
      <c r="G26" s="5">
        <f>G24*InputVariables!$E$3</f>
        <v>38553.60386</v>
      </c>
      <c r="H26" s="21">
        <f>H24*InputVariables!$E$3</f>
        <v>46264.32463</v>
      </c>
      <c r="I26" s="6"/>
      <c r="J26" s="5"/>
      <c r="K26" s="54" t="str">
        <f t="shared" si="7"/>
        <v>Basic Labor Internal COGS</v>
      </c>
      <c r="L26" s="5">
        <f>L24*InputVariables!$E$3</f>
        <v>13437.9</v>
      </c>
      <c r="M26" s="5">
        <f>M24*InputVariables!$E$3</f>
        <v>21164.6925</v>
      </c>
      <c r="N26" s="5">
        <f>N24*InputVariables!$E$3</f>
        <v>23281.16175</v>
      </c>
      <c r="O26" s="5">
        <f>O24*InputVariables!$E$3</f>
        <v>26773.33601</v>
      </c>
      <c r="P26" s="5">
        <f>P24*InputVariables!$E$3</f>
        <v>32128.00322</v>
      </c>
      <c r="Q26" s="5">
        <f>Q24*InputVariables!$E$3</f>
        <v>38553.60386</v>
      </c>
      <c r="R26" s="21">
        <f>R24*InputVariables!$E$3</f>
        <v>46264.32463</v>
      </c>
    </row>
    <row r="27">
      <c r="A27" s="57" t="s">
        <v>26</v>
      </c>
      <c r="B27" s="58">
        <f t="shared" ref="B27:H27" si="8">B25-B26</f>
        <v>2612.925</v>
      </c>
      <c r="C27" s="58">
        <f t="shared" si="8"/>
        <v>8230.71375</v>
      </c>
      <c r="D27" s="58">
        <f t="shared" si="8"/>
        <v>15089.64188</v>
      </c>
      <c r="E27" s="58">
        <f t="shared" si="8"/>
        <v>10411.85289</v>
      </c>
      <c r="F27" s="58">
        <f t="shared" si="8"/>
        <v>12494.22347</v>
      </c>
      <c r="G27" s="58">
        <f t="shared" si="8"/>
        <v>14993.06817</v>
      </c>
      <c r="H27" s="59">
        <f t="shared" si="8"/>
        <v>17991.6818</v>
      </c>
      <c r="I27" s="6"/>
      <c r="J27" s="5"/>
      <c r="K27" s="60" t="s">
        <v>26</v>
      </c>
      <c r="L27" s="58">
        <f t="shared" ref="L27:R27" si="9">L25-L26</f>
        <v>5225.85</v>
      </c>
      <c r="M27" s="58">
        <f t="shared" si="9"/>
        <v>8230.71375</v>
      </c>
      <c r="N27" s="58">
        <f t="shared" si="9"/>
        <v>9053.785125</v>
      </c>
      <c r="O27" s="58">
        <f t="shared" si="9"/>
        <v>10411.85289</v>
      </c>
      <c r="P27" s="58">
        <f t="shared" si="9"/>
        <v>12494.22347</v>
      </c>
      <c r="Q27" s="58">
        <f t="shared" si="9"/>
        <v>14993.06817</v>
      </c>
      <c r="R27" s="59">
        <f t="shared" si="9"/>
        <v>17991.6818</v>
      </c>
    </row>
    <row r="28">
      <c r="A28" s="53"/>
      <c r="B28" s="24"/>
      <c r="C28" s="24"/>
      <c r="D28" s="24"/>
      <c r="E28" s="24"/>
      <c r="F28" s="24"/>
      <c r="G28" s="24"/>
      <c r="H28" s="25"/>
      <c r="I28" s="6"/>
      <c r="J28" s="5"/>
      <c r="K28" s="54"/>
      <c r="L28" s="5"/>
      <c r="R28" s="61"/>
    </row>
    <row r="29">
      <c r="A29" s="51" t="s">
        <v>27</v>
      </c>
      <c r="B29" s="65">
        <f>CustomerGrowthandMix!$E29</f>
        <v>2.5</v>
      </c>
      <c r="C29" s="65">
        <f>CustomerGrowthandMix!$E30</f>
        <v>7.875</v>
      </c>
      <c r="D29" s="65">
        <f>CustomerGrowthandMix!$E31</f>
        <v>14.4375</v>
      </c>
      <c r="E29" s="65">
        <f>CustomerGrowthandMix!$E32</f>
        <v>9.961875</v>
      </c>
      <c r="F29" s="65">
        <f>CustomerGrowthandMix!$E33</f>
        <v>11.95425</v>
      </c>
      <c r="G29" s="65">
        <f>CustomerGrowthandMix!$E34</f>
        <v>14.3451</v>
      </c>
      <c r="H29" s="66">
        <f>CustomerGrowthandMix!$E35</f>
        <v>17.21412</v>
      </c>
      <c r="I29" s="6"/>
      <c r="J29" s="5"/>
      <c r="K29" s="52" t="s">
        <v>27</v>
      </c>
      <c r="L29" s="65">
        <f>CustomerGrowthandMix!J29</f>
        <v>5</v>
      </c>
      <c r="M29" s="65">
        <f>CustomerGrowthandMix!J30</f>
        <v>7.875</v>
      </c>
      <c r="N29" s="67">
        <f>CustomerGrowthandMix!J31</f>
        <v>8.6625</v>
      </c>
      <c r="O29" s="67">
        <f>CustomerGrowthandMix!J32</f>
        <v>9.961875</v>
      </c>
      <c r="P29" s="67">
        <f>CustomerGrowthandMix!J33</f>
        <v>11.95425</v>
      </c>
      <c r="Q29" s="67">
        <f>CustomerGrowthandMix!J34</f>
        <v>14.3451</v>
      </c>
      <c r="R29" s="68">
        <f>CustomerGrowthandMix!J35</f>
        <v>17.21412</v>
      </c>
    </row>
    <row r="30">
      <c r="A30" s="4"/>
      <c r="B30" s="8"/>
      <c r="C30" s="8"/>
      <c r="D30" s="8"/>
      <c r="E30" s="8"/>
      <c r="F30" s="8"/>
      <c r="G30" s="6"/>
      <c r="H30" s="7"/>
      <c r="I30" s="6"/>
      <c r="J30" s="5"/>
      <c r="K30" s="5"/>
      <c r="L30" s="24"/>
    </row>
    <row r="31">
      <c r="A31" s="69"/>
      <c r="B31" s="5"/>
      <c r="C31" s="5"/>
      <c r="D31" s="5"/>
      <c r="E31" s="6"/>
      <c r="F31" s="6"/>
      <c r="G31" s="6"/>
      <c r="H31" s="7"/>
      <c r="I31" s="6"/>
      <c r="J31" s="5"/>
      <c r="K31" s="5"/>
      <c r="L31" s="24"/>
    </row>
    <row r="32">
      <c r="A32" s="69"/>
      <c r="B32" s="5"/>
      <c r="C32" s="5"/>
      <c r="D32" s="5"/>
      <c r="E32" s="6"/>
      <c r="F32" s="6"/>
      <c r="G32" s="6"/>
      <c r="H32" s="7"/>
      <c r="I32" s="6"/>
      <c r="J32" s="5"/>
      <c r="K32" s="5"/>
      <c r="L32" s="24"/>
    </row>
    <row r="33">
      <c r="A33" s="70" t="s">
        <v>28</v>
      </c>
      <c r="B33" s="71" t="s">
        <v>18</v>
      </c>
      <c r="C33" s="71" t="s">
        <v>19</v>
      </c>
      <c r="D33" s="71" t="s">
        <v>20</v>
      </c>
      <c r="E33" s="71" t="s">
        <v>21</v>
      </c>
      <c r="F33" s="71" t="s">
        <v>22</v>
      </c>
      <c r="G33" s="71" t="s">
        <v>23</v>
      </c>
      <c r="H33" s="72" t="s">
        <v>24</v>
      </c>
      <c r="I33" s="55"/>
      <c r="J33" s="55"/>
      <c r="K33" s="73" t="s">
        <v>29</v>
      </c>
      <c r="L33" s="71" t="s">
        <v>18</v>
      </c>
      <c r="M33" s="71" t="s">
        <v>19</v>
      </c>
      <c r="N33" s="71" t="s">
        <v>20</v>
      </c>
      <c r="O33" s="71" t="s">
        <v>21</v>
      </c>
      <c r="P33" s="71" t="s">
        <v>22</v>
      </c>
      <c r="Q33" s="71" t="s">
        <v>23</v>
      </c>
      <c r="R33" s="72" t="s">
        <v>24</v>
      </c>
    </row>
    <row r="34">
      <c r="A34" s="74" t="str">
        <f t="shared" ref="A34:A35" si="10">"Enthusiast " &amp; A5</f>
        <v>Enthusiast Hardware Revenue</v>
      </c>
      <c r="B34" s="75">
        <f>$E$5*CustomerGrowthandMix!$B39+$F$5*CustomerGrowthandMix!$C39+$G$5*CustomerGrowthandMix!$D39</f>
        <v>187421.75</v>
      </c>
      <c r="C34" s="75">
        <f>E5*CustomerGrowthandMix!$B40+F5*CustomerGrowthandMix!$C40+G5*CustomerGrowthandMix!$D40</f>
        <v>295189.2563</v>
      </c>
      <c r="D34" s="75">
        <f>$E$5* CustomerGrowthandMix!$B$41 + $F$5* CustomerGrowthandMix!$B$41 + $G$5* CustomerGrowthandMix!$B$41</f>
        <v>435803.445</v>
      </c>
      <c r="E34" s="75">
        <f>$E$5* CustomerGrowthandMix!$B$42 + $F$5* CustomerGrowthandMix!$B$42 + $G$5* CustomerGrowthandMix!$B$42</f>
        <v>689114.1974</v>
      </c>
      <c r="F34" s="75">
        <f>$E$5* CustomerGrowthandMix!$B$43 + $F$5* CustomerGrowthandMix!$B$43 + $G$5* CustomerGrowthandMix!$B$43</f>
        <v>826937.0369</v>
      </c>
      <c r="G34" s="75">
        <f>$E$5* CustomerGrowthandMix!$B$44 + $F$5* CustomerGrowthandMix!$B$44 + $G$5* CustomerGrowthandMix!$B$44</f>
        <v>992324.4443</v>
      </c>
      <c r="H34" s="76">
        <f>$E$5* CustomerGrowthandMix!$B$45 + $F$5* CustomerGrowthandMix!$B$45 + $G$5* CustomerGrowthandMix!$B$45</f>
        <v>1190789.333</v>
      </c>
      <c r="I34" s="55"/>
      <c r="J34" s="55"/>
      <c r="K34" s="77" t="s">
        <v>30</v>
      </c>
      <c r="L34" s="78">
        <f>$E$5*CustomerGrowthandMix!$G39+$F$5*CustomerGrowthandMix!$H39+$G$5*CustomerGrowthandMix!$I39</f>
        <v>468554.375</v>
      </c>
      <c r="M34" s="75">
        <f>$E$5*CustomerGrowthandMix!$G40+$F$5*CustomerGrowthandMix!$H40+$G$5*CustomerGrowthandMix!$I40</f>
        <v>541180.3031</v>
      </c>
      <c r="N34" s="75">
        <f>$E$5*CustomerGrowthandMix!$G41+$F$5*CustomerGrowthandMix!$H41+$G$5*CustomerGrowthandMix!$I41</f>
        <v>595298.3334</v>
      </c>
      <c r="O34" s="75">
        <f>$E$5*CustomerGrowthandMix!$G42+$F$5*CustomerGrowthandMix!$H42+$G$5*CustomerGrowthandMix!$I42</f>
        <v>684593.0835</v>
      </c>
      <c r="P34" s="75">
        <f>$E$5*CustomerGrowthandMix!$G43+$F$5*CustomerGrowthandMix!$H43+$G$5*CustomerGrowthandMix!$I43</f>
        <v>821511.7001</v>
      </c>
      <c r="Q34" s="75">
        <f>$E$5*CustomerGrowthandMix!$G44+$F$5*CustomerGrowthandMix!$H44+$G$5*CustomerGrowthandMix!$I44</f>
        <v>985814.0402</v>
      </c>
      <c r="R34" s="76">
        <f>$E$5*CustomerGrowthandMix!$G45+$F$5*CustomerGrowthandMix!$H45+$G$5*CustomerGrowthandMix!$I45</f>
        <v>1182976.848</v>
      </c>
    </row>
    <row r="35">
      <c r="A35" s="74" t="str">
        <f t="shared" si="10"/>
        <v>Enthusiast Hardware COGS</v>
      </c>
      <c r="B35" s="75">
        <f>$E$6*CustomerGrowthandMix!$B39+$F$6*CustomerGrowthandMix!$C39+$G$6*CustomerGrowthandMix!$D39</f>
        <v>148767.1375</v>
      </c>
      <c r="C35" s="75">
        <f>$E$6*CustomerGrowthandMix!$B40+$F$6*CustomerGrowthandMix!$C40+$G$6*CustomerGrowthandMix!$D40</f>
        <v>234308.2416</v>
      </c>
      <c r="D35" s="75">
        <f>$E$6*CustomerGrowthandMix!$B41+$F$6*CustomerGrowthandMix!$C41+$G$6*CustomerGrowthandMix!$D41</f>
        <v>343652.0876</v>
      </c>
      <c r="E35" s="75">
        <f>$E$6*CustomerGrowthandMix!$B42+$F$6*CustomerGrowthandMix!$C42+$G$6*CustomerGrowthandMix!$D42</f>
        <v>543399.8636</v>
      </c>
      <c r="F35" s="75">
        <f>$E$6*CustomerGrowthandMix!$B43+$F$6*CustomerGrowthandMix!$C43+$G$6*CustomerGrowthandMix!$D43</f>
        <v>652079.8363</v>
      </c>
      <c r="G35" s="75">
        <f>$E$6*CustomerGrowthandMix!$B44+$F$6*CustomerGrowthandMix!$C44+$G$6*CustomerGrowthandMix!$D44</f>
        <v>782495.8035</v>
      </c>
      <c r="H35" s="76">
        <f>$E$6*CustomerGrowthandMix!$B45+$F$6*CustomerGrowthandMix!$C45+$G$6*CustomerGrowthandMix!$D45</f>
        <v>938994.9642</v>
      </c>
      <c r="I35" s="55"/>
      <c r="J35" s="55"/>
      <c r="K35" s="77" t="s">
        <v>31</v>
      </c>
      <c r="L35" s="78">
        <f>$E$6*CustomerGrowthandMix!$G39+$F$6*CustomerGrowthandMix!$G39+$G$6*CustomerGrowthandMix!$G39</f>
        <v>374262.7875</v>
      </c>
      <c r="M35" s="75">
        <f>$E$6*CustomerGrowthandMix!$G40+$F$6*CustomerGrowthandMix!$G40+$G$6*CustomerGrowthandMix!$G40</f>
        <v>432273.5196</v>
      </c>
      <c r="N35" s="75">
        <f>$E$6*CustomerGrowthandMix!$G41+$F$6*CustomerGrowthandMix!$G41+$G$6*CustomerGrowthandMix!$G41</f>
        <v>475500.8715</v>
      </c>
      <c r="O35" s="75">
        <f>$E$6*CustomerGrowthandMix!$G42+$F$6*CustomerGrowthandMix!$G42+$G$6*CustomerGrowthandMix!$G42</f>
        <v>546826.0022</v>
      </c>
      <c r="P35" s="75">
        <f>$E$6*CustomerGrowthandMix!$G43+$F$6*CustomerGrowthandMix!$G43+$G$6*CustomerGrowthandMix!$G43</f>
        <v>656191.2027</v>
      </c>
      <c r="Q35" s="75">
        <f>$E$6*CustomerGrowthandMix!$G44+$F$6*CustomerGrowthandMix!$G44+$G$6*CustomerGrowthandMix!$G44</f>
        <v>787429.4432</v>
      </c>
      <c r="R35" s="76">
        <f>$E$6*CustomerGrowthandMix!$G45+$F$6*CustomerGrowthandMix!$G45+$G$6*CustomerGrowthandMix!$G45</f>
        <v>944915.3319</v>
      </c>
    </row>
    <row r="36">
      <c r="A36" s="79" t="s">
        <v>32</v>
      </c>
      <c r="B36" s="80">
        <f t="shared" ref="B36:H36" si="11">B20-B21</f>
        <v>1856.569488</v>
      </c>
      <c r="C36" s="80">
        <f t="shared" si="11"/>
        <v>5848.193886</v>
      </c>
      <c r="D36" s="80">
        <f t="shared" si="11"/>
        <v>13396.02632</v>
      </c>
      <c r="E36" s="80">
        <f t="shared" si="11"/>
        <v>9243.258162</v>
      </c>
      <c r="F36" s="80">
        <f t="shared" si="11"/>
        <v>11091.90979</v>
      </c>
      <c r="G36" s="80">
        <f t="shared" si="11"/>
        <v>13310.29175</v>
      </c>
      <c r="H36" s="81">
        <f t="shared" si="11"/>
        <v>15972.3501</v>
      </c>
      <c r="I36" s="55"/>
      <c r="J36" s="55"/>
      <c r="K36" s="82" t="s">
        <v>32</v>
      </c>
      <c r="L36" s="83">
        <f t="shared" ref="L36:R36" si="12">L20-L21</f>
        <v>2966.21255</v>
      </c>
      <c r="M36" s="80">
        <f t="shared" si="12"/>
        <v>4671.784766</v>
      </c>
      <c r="N36" s="80">
        <f t="shared" si="12"/>
        <v>5138.963243</v>
      </c>
      <c r="O36" s="80">
        <f t="shared" si="12"/>
        <v>5909.807729</v>
      </c>
      <c r="P36" s="80">
        <f t="shared" si="12"/>
        <v>7091.769275</v>
      </c>
      <c r="Q36" s="80">
        <f t="shared" si="12"/>
        <v>8510.12313</v>
      </c>
      <c r="R36" s="81">
        <f t="shared" si="12"/>
        <v>10212.14776</v>
      </c>
    </row>
    <row r="37">
      <c r="A37" s="74"/>
      <c r="B37" s="75"/>
      <c r="C37" s="75"/>
      <c r="D37" s="75"/>
      <c r="E37" s="75"/>
      <c r="F37" s="75"/>
      <c r="G37" s="75"/>
      <c r="H37" s="76"/>
      <c r="I37" s="55"/>
      <c r="J37" s="55"/>
      <c r="K37" s="77"/>
      <c r="L37" s="78"/>
      <c r="M37" s="84"/>
      <c r="N37" s="84"/>
      <c r="O37" s="84"/>
      <c r="P37" s="84"/>
      <c r="Q37" s="84"/>
      <c r="R37" s="85"/>
    </row>
    <row r="38">
      <c r="A38" s="86" t="str">
        <f t="shared" ref="A38:A40" si="13">"Enthusiast " &amp; A7</f>
        <v>Enthusiast Labor Hours</v>
      </c>
      <c r="B38" s="78">
        <f>E7*CustomerGrowthandMix!$B39+F7*CustomerGrowthandMix!$C39+G7*CustomerGrowthandMix!$D39</f>
        <v>1191.2</v>
      </c>
      <c r="C38" s="78">
        <f>$E$7*CustomerGrowthandMix!$B40+$F$7*CustomerGrowthandMix!$C40+$G$7*CustomerGrowthandMix!$D40</f>
        <v>1876.14</v>
      </c>
      <c r="D38" s="78">
        <f>$E$7*CustomerGrowthandMix!$B41+$F$7*CustomerGrowthandMix!$C41+$G$7*CustomerGrowthandMix!$D41</f>
        <v>2751.672</v>
      </c>
      <c r="E38" s="78">
        <f>$E$7*CustomerGrowthandMix!$B42+$F$7*CustomerGrowthandMix!$C42+$G$7*CustomerGrowthandMix!$D42</f>
        <v>4351.08135</v>
      </c>
      <c r="F38" s="78">
        <f>$E$7*CustomerGrowthandMix!$B43+$F$7*CustomerGrowthandMix!$C43+$G$7*CustomerGrowthandMix!$D43</f>
        <v>5221.29762</v>
      </c>
      <c r="G38" s="78">
        <f>$E$7*CustomerGrowthandMix!$B44+$F$7*CustomerGrowthandMix!$C44+$G$7*CustomerGrowthandMix!$D44</f>
        <v>6265.557144</v>
      </c>
      <c r="H38" s="87">
        <f>$E$7*CustomerGrowthandMix!$B45+$F$7*CustomerGrowthandMix!$C45+$G$7*CustomerGrowthandMix!$D45</f>
        <v>7518.668573</v>
      </c>
      <c r="I38" s="55"/>
      <c r="J38" s="55"/>
      <c r="K38" s="88" t="s">
        <v>33</v>
      </c>
      <c r="L38" s="78">
        <f>$E$7*CustomerGrowthandMix!$G39+$F$7*CustomerGrowthandMix!$H39+$G$7*CustomerGrowthandMix!$I39</f>
        <v>2978</v>
      </c>
      <c r="M38" s="78">
        <f>$E$7*CustomerGrowthandMix!$G40+$F$7*CustomerGrowthandMix!$H40+$G$7*CustomerGrowthandMix!$I40</f>
        <v>3439.59</v>
      </c>
      <c r="N38" s="78">
        <f>$E$7*CustomerGrowthandMix!$G41+$F$7*CustomerGrowthandMix!$H41+$G$7*CustomerGrowthandMix!$I41</f>
        <v>3783.549</v>
      </c>
      <c r="O38" s="78">
        <f>$E$7*CustomerGrowthandMix!$G42+$F$7*CustomerGrowthandMix!$H42+$G$7*CustomerGrowthandMix!$I42</f>
        <v>4351.08135</v>
      </c>
      <c r="P38" s="78">
        <f>$E$7*CustomerGrowthandMix!$G43+$F$7*CustomerGrowthandMix!$H43+$G$7*CustomerGrowthandMix!$I43</f>
        <v>5221.29762</v>
      </c>
      <c r="Q38" s="78">
        <f>$E$7*CustomerGrowthandMix!$G44+$F$7*CustomerGrowthandMix!$H44+$G$7*CustomerGrowthandMix!$I44</f>
        <v>6265.557144</v>
      </c>
      <c r="R38" s="87">
        <f>$E$7*CustomerGrowthandMix!$G45+$F$7*CustomerGrowthandMix!$H45+$G$7*CustomerGrowthandMix!$I45</f>
        <v>7518.668573</v>
      </c>
    </row>
    <row r="39">
      <c r="A39" s="86" t="str">
        <f t="shared" si="13"/>
        <v>Enthusiast Labor Revenue</v>
      </c>
      <c r="B39" s="75">
        <f>B38*InputVariables!$E$2</f>
        <v>148900</v>
      </c>
      <c r="C39" s="75">
        <f>C38*InputVariables!$E$2</f>
        <v>234517.5</v>
      </c>
      <c r="D39" s="75">
        <f>D38*InputVariables!$E$2</f>
        <v>343959</v>
      </c>
      <c r="E39" s="75">
        <f>E38*InputVariables!$E$2</f>
        <v>543885.1688</v>
      </c>
      <c r="F39" s="75">
        <f>F38*InputVariables!$E$2</f>
        <v>652662.2025</v>
      </c>
      <c r="G39" s="75">
        <f>G38*InputVariables!$E$2</f>
        <v>783194.643</v>
      </c>
      <c r="H39" s="76">
        <f>H38*InputVariables!$E$2</f>
        <v>939833.5716</v>
      </c>
      <c r="I39" s="55"/>
      <c r="J39" s="55"/>
      <c r="K39" s="88" t="s">
        <v>34</v>
      </c>
      <c r="L39" s="75">
        <f>L38*InputVariables!$E$2</f>
        <v>372250</v>
      </c>
      <c r="M39" s="75">
        <f>M38*InputVariables!$E$2</f>
        <v>429948.75</v>
      </c>
      <c r="N39" s="75">
        <f>N38*InputVariables!$E$2</f>
        <v>472943.625</v>
      </c>
      <c r="O39" s="75">
        <f>O38*InputVariables!$E$2</f>
        <v>543885.1688</v>
      </c>
      <c r="P39" s="75">
        <f>P38*InputVariables!$E$2</f>
        <v>652662.2025</v>
      </c>
      <c r="Q39" s="75">
        <f>Q38*InputVariables!$E$2</f>
        <v>783194.643</v>
      </c>
      <c r="R39" s="76">
        <f>R38*InputVariables!$E$2</f>
        <v>939833.5716</v>
      </c>
    </row>
    <row r="40">
      <c r="A40" s="86" t="str">
        <f t="shared" si="13"/>
        <v>Enthusiast Labor Internal COGS</v>
      </c>
      <c r="B40" s="75">
        <f>B38*InputVariables!$E$3</f>
        <v>107208</v>
      </c>
      <c r="C40" s="75">
        <f>C38*InputVariables!$E$3</f>
        <v>168852.6</v>
      </c>
      <c r="D40" s="75">
        <f>D38*InputVariables!$E$3</f>
        <v>247650.48</v>
      </c>
      <c r="E40" s="75">
        <f>E38*InputVariables!$E$3</f>
        <v>391597.3215</v>
      </c>
      <c r="F40" s="75">
        <f>F38*InputVariables!$E$3</f>
        <v>469916.7858</v>
      </c>
      <c r="G40" s="75">
        <f>G38*InputVariables!$E$3</f>
        <v>563900.143</v>
      </c>
      <c r="H40" s="76">
        <f>H38*InputVariables!$E$3</f>
        <v>676680.1716</v>
      </c>
      <c r="I40" s="55"/>
      <c r="J40" s="55"/>
      <c r="K40" s="88" t="s">
        <v>35</v>
      </c>
      <c r="L40" s="75">
        <f>L38*InputVariables!$E$3</f>
        <v>268020</v>
      </c>
      <c r="M40" s="75">
        <f>M38*InputVariables!$E$3</f>
        <v>309563.1</v>
      </c>
      <c r="N40" s="75">
        <f>N38*InputVariables!$E$3</f>
        <v>340519.41</v>
      </c>
      <c r="O40" s="75">
        <f>O38*InputVariables!$E$3</f>
        <v>391597.3215</v>
      </c>
      <c r="P40" s="75">
        <f>P38*InputVariables!$E$3</f>
        <v>469916.7858</v>
      </c>
      <c r="Q40" s="75">
        <f>Q38*InputVariables!$E$3</f>
        <v>563900.143</v>
      </c>
      <c r="R40" s="76">
        <f>R38*InputVariables!$E$3</f>
        <v>676680.1716</v>
      </c>
    </row>
    <row r="41">
      <c r="A41" s="89" t="s">
        <v>36</v>
      </c>
      <c r="B41" s="80">
        <f t="shared" ref="B41:H41" si="14">B39-B40</f>
        <v>41692</v>
      </c>
      <c r="C41" s="80">
        <f t="shared" si="14"/>
        <v>65664.9</v>
      </c>
      <c r="D41" s="80">
        <f t="shared" si="14"/>
        <v>96308.52</v>
      </c>
      <c r="E41" s="80">
        <f t="shared" si="14"/>
        <v>152287.8473</v>
      </c>
      <c r="F41" s="80">
        <f t="shared" si="14"/>
        <v>182745.4167</v>
      </c>
      <c r="G41" s="80">
        <f t="shared" si="14"/>
        <v>219294.5</v>
      </c>
      <c r="H41" s="81">
        <f t="shared" si="14"/>
        <v>263153.4</v>
      </c>
      <c r="I41" s="55"/>
      <c r="J41" s="55"/>
      <c r="K41" s="90" t="s">
        <v>36</v>
      </c>
      <c r="L41" s="80">
        <f t="shared" ref="L41:R41" si="15">L39-L40</f>
        <v>104230</v>
      </c>
      <c r="M41" s="80">
        <f t="shared" si="15"/>
        <v>120385.65</v>
      </c>
      <c r="N41" s="80">
        <f t="shared" si="15"/>
        <v>132424.215</v>
      </c>
      <c r="O41" s="80">
        <f t="shared" si="15"/>
        <v>152287.8473</v>
      </c>
      <c r="P41" s="80">
        <f t="shared" si="15"/>
        <v>182745.4167</v>
      </c>
      <c r="Q41" s="80">
        <f t="shared" si="15"/>
        <v>219294.5</v>
      </c>
      <c r="R41" s="81">
        <f t="shared" si="15"/>
        <v>263153.4</v>
      </c>
    </row>
    <row r="42">
      <c r="A42" s="86"/>
      <c r="B42" s="75"/>
      <c r="C42" s="75"/>
      <c r="D42" s="75"/>
      <c r="E42" s="75"/>
      <c r="F42" s="75"/>
      <c r="G42" s="75"/>
      <c r="H42" s="76"/>
      <c r="I42" s="55"/>
      <c r="J42" s="55"/>
      <c r="K42" s="88"/>
      <c r="L42" s="84"/>
      <c r="M42" s="84"/>
      <c r="N42" s="84"/>
      <c r="O42" s="84"/>
      <c r="P42" s="84"/>
      <c r="Q42" s="84"/>
      <c r="R42" s="85"/>
    </row>
    <row r="43">
      <c r="A43" s="91" t="s">
        <v>37</v>
      </c>
      <c r="B43" s="92">
        <f>CustomerGrowthandMix!$E39</f>
        <v>10</v>
      </c>
      <c r="C43" s="92">
        <f>CustomerGrowthandMix!$E40</f>
        <v>15.75</v>
      </c>
      <c r="D43" s="92">
        <f>CustomerGrowthandMix!$E41</f>
        <v>23.1</v>
      </c>
      <c r="E43" s="92">
        <f>CustomerGrowthandMix!$E42</f>
        <v>36.526875</v>
      </c>
      <c r="F43" s="92">
        <f>CustomerGrowthandMix!$E43</f>
        <v>43.83225</v>
      </c>
      <c r="G43" s="92">
        <f>CustomerGrowthandMix!$E44</f>
        <v>52.5987</v>
      </c>
      <c r="H43" s="93">
        <f>CustomerGrowthandMix!$E45</f>
        <v>63.11844</v>
      </c>
      <c r="I43" s="94"/>
      <c r="J43" s="94"/>
      <c r="K43" s="95" t="s">
        <v>37</v>
      </c>
      <c r="L43" s="92">
        <f>CustomerGrowthandMix!J39</f>
        <v>25</v>
      </c>
      <c r="M43" s="92">
        <f>CustomerGrowthandMix!J40</f>
        <v>28.875</v>
      </c>
      <c r="N43" s="92">
        <f>CustomerGrowthandMix!J41</f>
        <v>31.7625</v>
      </c>
      <c r="O43" s="92">
        <f>CustomerGrowthandMix!J42</f>
        <v>36.526875</v>
      </c>
      <c r="P43" s="92">
        <f>CustomerGrowthandMix!J43</f>
        <v>43.83225</v>
      </c>
      <c r="Q43" s="92">
        <f>CustomerGrowthandMix!J44</f>
        <v>52.5987</v>
      </c>
      <c r="R43" s="93">
        <f>CustomerGrowthandMix!J45</f>
        <v>63.11844</v>
      </c>
    </row>
    <row r="44">
      <c r="A44" s="96"/>
      <c r="B44" s="75"/>
      <c r="C44" s="75"/>
      <c r="D44" s="75"/>
      <c r="E44" s="75"/>
      <c r="F44" s="75"/>
      <c r="G44" s="75"/>
      <c r="H44" s="75"/>
      <c r="I44" s="55"/>
      <c r="J44" s="55"/>
      <c r="K44" s="97"/>
      <c r="L44" s="84"/>
      <c r="M44" s="84"/>
      <c r="N44" s="84"/>
      <c r="O44" s="84"/>
      <c r="P44" s="84"/>
      <c r="Q44" s="84"/>
      <c r="R44" s="84"/>
    </row>
    <row r="45">
      <c r="A45" s="96"/>
      <c r="B45" s="75"/>
      <c r="C45" s="75"/>
      <c r="D45" s="75"/>
      <c r="E45" s="75"/>
      <c r="F45" s="75"/>
      <c r="G45" s="75"/>
      <c r="H45" s="75"/>
      <c r="I45" s="55"/>
      <c r="J45" s="55"/>
      <c r="K45" s="97"/>
      <c r="L45" s="84"/>
      <c r="M45" s="84"/>
      <c r="N45" s="84"/>
      <c r="O45" s="84"/>
      <c r="P45" s="84"/>
      <c r="Q45" s="84"/>
      <c r="R45" s="84"/>
    </row>
    <row r="46">
      <c r="A46" s="98" t="s">
        <v>38</v>
      </c>
      <c r="B46" s="71" t="s">
        <v>18</v>
      </c>
      <c r="C46" s="71" t="s">
        <v>19</v>
      </c>
      <c r="D46" s="71" t="s">
        <v>20</v>
      </c>
      <c r="E46" s="71" t="s">
        <v>21</v>
      </c>
      <c r="F46" s="71" t="s">
        <v>22</v>
      </c>
      <c r="G46" s="71" t="s">
        <v>23</v>
      </c>
      <c r="H46" s="72" t="s">
        <v>24</v>
      </c>
      <c r="I46" s="55"/>
      <c r="J46" s="55"/>
      <c r="K46" s="99" t="s">
        <v>39</v>
      </c>
      <c r="L46" s="71" t="s">
        <v>18</v>
      </c>
      <c r="M46" s="71" t="s">
        <v>19</v>
      </c>
      <c r="N46" s="71" t="s">
        <v>20</v>
      </c>
      <c r="O46" s="71" t="s">
        <v>21</v>
      </c>
      <c r="P46" s="71" t="s">
        <v>22</v>
      </c>
      <c r="Q46" s="71" t="s">
        <v>23</v>
      </c>
      <c r="R46" s="72" t="s">
        <v>24</v>
      </c>
    </row>
    <row r="47">
      <c r="A47" s="74" t="s">
        <v>40</v>
      </c>
      <c r="B47" s="75">
        <f>$H$5*CustomerGrowthandMix!$B49+$I$5*CustomerGrowthandMix!$C49+$J$5*CustomerGrowthandMix!$D49</f>
        <v>8708866.875</v>
      </c>
      <c r="C47" s="75">
        <f>H5*CustomerGrowthandMix!$B50+I5*CustomerGrowthandMix!$C50+J5*CustomerGrowthandMix!$D50</f>
        <v>6705827.494</v>
      </c>
      <c r="D47" s="75">
        <f>$H$5* CustomerGrowthandMix!$B$51 + $I$5* CustomerGrowthandMix!$B$51 + $J$5* CustomerGrowthandMix!$B$51</f>
        <v>4818752.978</v>
      </c>
      <c r="E47" s="75">
        <f>$H$5* CustomerGrowthandMix!$B$52 + $I$5* CustomerGrowthandMix!$B$52 + $J$5* CustomerGrowthandMix!$B$52</f>
        <v>4749913.649</v>
      </c>
      <c r="F47" s="75">
        <f>$H$5* CustomerGrowthandMix!$B$53 + $I$5* CustomerGrowthandMix!$B$53 + $J$5* CustomerGrowthandMix!$B$53</f>
        <v>5699896.379</v>
      </c>
      <c r="G47" s="75">
        <f>$H$5* CustomerGrowthandMix!$B$54 + $I$5* CustomerGrowthandMix!$B$54 + $J$5* CustomerGrowthandMix!$B$54</f>
        <v>6839875.655</v>
      </c>
      <c r="H47" s="76">
        <f>$H$5* CustomerGrowthandMix!$B$55 + $I$5* CustomerGrowthandMix!$B$55 + $J$5* CustomerGrowthandMix!$B$55</f>
        <v>8207850.786</v>
      </c>
      <c r="I47" s="55"/>
      <c r="J47" s="55"/>
      <c r="K47" s="77" t="s">
        <v>40</v>
      </c>
      <c r="L47" s="75">
        <f>$H$5*CustomerGrowthandMix!$G49+$I$5*CustomerGrowthandMix!$H49+$J$5*CustomerGrowthandMix!$I49</f>
        <v>4644729</v>
      </c>
      <c r="M47" s="75">
        <f>$H$5*CustomerGrowthandMix!$G50+$I$5*CustomerGrowthandMix!$H50+$J$5*CustomerGrowthandMix!$I50</f>
        <v>3657724.088</v>
      </c>
      <c r="N47" s="75">
        <f>$H$5*CustomerGrowthandMix!$G51+$I$5*CustomerGrowthandMix!$H51+$J$5*CustomerGrowthandMix!$I51</f>
        <v>4023496.496</v>
      </c>
      <c r="O47" s="75">
        <f>$H$5*CustomerGrowthandMix!$G52+$I$5*CustomerGrowthandMix!$H52+$J$5*CustomerGrowthandMix!$I52</f>
        <v>4627020.971</v>
      </c>
      <c r="P47" s="75">
        <f>$H$5*CustomerGrowthandMix!$G53+$I$5*CustomerGrowthandMix!$H53+$J$5*CustomerGrowthandMix!$I53</f>
        <v>5552425.165</v>
      </c>
      <c r="Q47" s="75">
        <f>$H$5*CustomerGrowthandMix!$G54+$I$5*CustomerGrowthandMix!$H54+$J$5*CustomerGrowthandMix!$I54</f>
        <v>6662910.198</v>
      </c>
      <c r="R47" s="76">
        <f>$H$5*CustomerGrowthandMix!$G55+$I$5*CustomerGrowthandMix!$H55+$J$5*CustomerGrowthandMix!$I55</f>
        <v>7995492.237</v>
      </c>
    </row>
    <row r="48">
      <c r="A48" s="74" t="s">
        <v>41</v>
      </c>
      <c r="B48" s="75">
        <f>$H$6*CustomerGrowthandMix!$B49+$I$6*CustomerGrowthandMix!$C49+$J$6*CustomerGrowthandMix!$D49</f>
        <v>6848062.556</v>
      </c>
      <c r="C48" s="75">
        <f>$H$6*CustomerGrowthandMix!$B50+$I$6*CustomerGrowthandMix!$C50+$J$6*CustomerGrowthandMix!$D50</f>
        <v>5273008.168</v>
      </c>
      <c r="D48" s="75">
        <f>$H$6*CustomerGrowthandMix!$B51+$I$6*CustomerGrowthandMix!$C51+$J$6*CustomerGrowthandMix!$D51</f>
        <v>3691105.718</v>
      </c>
      <c r="E48" s="75">
        <f>$H$6*CustomerGrowthandMix!$B52+$I$6*CustomerGrowthandMix!$C52+$J$6*CustomerGrowthandMix!$D52</f>
        <v>3638375.636</v>
      </c>
      <c r="F48" s="75">
        <f>$H$6*CustomerGrowthandMix!$B53+$I$6*CustomerGrowthandMix!$C53+$J$6*CustomerGrowthandMix!$D53</f>
        <v>4366050.763</v>
      </c>
      <c r="G48" s="75">
        <f>$H$6*CustomerGrowthandMix!$B54+$I$6*CustomerGrowthandMix!$C54+$J$6*CustomerGrowthandMix!$D54</f>
        <v>5239260.916</v>
      </c>
      <c r="H48" s="76">
        <f>$H$6*CustomerGrowthandMix!$B55+$I$6*CustomerGrowthandMix!$C55+$J$6*CustomerGrowthandMix!$D55</f>
        <v>6287113.099</v>
      </c>
      <c r="I48" s="55"/>
      <c r="J48" s="55"/>
      <c r="K48" s="77" t="s">
        <v>41</v>
      </c>
      <c r="L48" s="75">
        <f>$H$6*CustomerGrowthandMix!$G49+$I$6*CustomerGrowthandMix!$G49+$J$6*CustomerGrowthandMix!$G49</f>
        <v>3745298.52</v>
      </c>
      <c r="M48" s="75">
        <f>$H$6*CustomerGrowthandMix!$G50+$I$6*CustomerGrowthandMix!$G50+$J$6*CustomerGrowthandMix!$G50</f>
        <v>2949422.585</v>
      </c>
      <c r="N48" s="75">
        <f>$H$6*CustomerGrowthandMix!$G51+$I$6*CustomerGrowthandMix!$G51+$J$6*CustomerGrowthandMix!$G51</f>
        <v>3244364.843</v>
      </c>
      <c r="O48" s="75">
        <f>$H$6*CustomerGrowthandMix!$G52+$I$6*CustomerGrowthandMix!$G52+$J$6*CustomerGrowthandMix!$G52</f>
        <v>3731019.569</v>
      </c>
      <c r="P48" s="75">
        <f>$H$6*CustomerGrowthandMix!$G53+$I$6*CustomerGrowthandMix!$G53+$J$6*CustomerGrowthandMix!$G53</f>
        <v>4477223.483</v>
      </c>
      <c r="Q48" s="75">
        <f>$H$6*CustomerGrowthandMix!$G54+$I$6*CustomerGrowthandMix!$G54+$J$6*CustomerGrowthandMix!$G54</f>
        <v>5372668.18</v>
      </c>
      <c r="R48" s="76">
        <f>$H$6*CustomerGrowthandMix!$G55+$I$6*CustomerGrowthandMix!$G55+$J$6*CustomerGrowthandMix!$G55</f>
        <v>6447201.816</v>
      </c>
    </row>
    <row r="49">
      <c r="A49" s="79" t="s">
        <v>42</v>
      </c>
      <c r="B49" s="80">
        <f t="shared" ref="B49:H49" si="16">B47-B48</f>
        <v>1860804.319</v>
      </c>
      <c r="C49" s="80">
        <f t="shared" si="16"/>
        <v>1432819.325</v>
      </c>
      <c r="D49" s="80">
        <f t="shared" si="16"/>
        <v>1127647.26</v>
      </c>
      <c r="E49" s="80">
        <f t="shared" si="16"/>
        <v>1111538.013</v>
      </c>
      <c r="F49" s="80">
        <f t="shared" si="16"/>
        <v>1333845.616</v>
      </c>
      <c r="G49" s="80">
        <f t="shared" si="16"/>
        <v>1600614.739</v>
      </c>
      <c r="H49" s="81">
        <f t="shared" si="16"/>
        <v>1920737.687</v>
      </c>
      <c r="I49" s="55"/>
      <c r="J49" s="55"/>
      <c r="K49" s="82" t="s">
        <v>42</v>
      </c>
      <c r="L49" s="80">
        <f t="shared" ref="L49:R49" si="17">L47-L48</f>
        <v>899430.48</v>
      </c>
      <c r="M49" s="80">
        <f t="shared" si="17"/>
        <v>708301.503</v>
      </c>
      <c r="N49" s="80">
        <f t="shared" si="17"/>
        <v>779131.6533</v>
      </c>
      <c r="O49" s="80">
        <f t="shared" si="17"/>
        <v>896001.4013</v>
      </c>
      <c r="P49" s="80">
        <f t="shared" si="17"/>
        <v>1075201.682</v>
      </c>
      <c r="Q49" s="80">
        <f t="shared" si="17"/>
        <v>1290242.018</v>
      </c>
      <c r="R49" s="81">
        <f t="shared" si="17"/>
        <v>1548290.421</v>
      </c>
    </row>
    <row r="50">
      <c r="A50" s="74"/>
      <c r="B50" s="75"/>
      <c r="C50" s="75"/>
      <c r="D50" s="75"/>
      <c r="E50" s="75"/>
      <c r="F50" s="75"/>
      <c r="G50" s="75"/>
      <c r="H50" s="76"/>
      <c r="I50" s="55"/>
      <c r="J50" s="55"/>
      <c r="K50" s="77"/>
      <c r="L50" s="84"/>
      <c r="M50" s="84"/>
      <c r="N50" s="84"/>
      <c r="O50" s="84"/>
      <c r="P50" s="84"/>
      <c r="Q50" s="84"/>
      <c r="R50" s="85"/>
    </row>
    <row r="51">
      <c r="A51" s="86" t="s">
        <v>43</v>
      </c>
      <c r="B51" s="78">
        <f>H7*CustomerGrowthandMix!$B49+I7*CustomerGrowthandMix!$C49+J7*CustomerGrowthandMix!$D49</f>
        <v>8115</v>
      </c>
      <c r="C51" s="78">
        <f>$H$7*CustomerGrowthandMix!$B50+$I$7*CustomerGrowthandMix!$C50+$J$7*CustomerGrowthandMix!$D50</f>
        <v>6248.55</v>
      </c>
      <c r="D51" s="78">
        <f>$H$7*CustomerGrowthandMix!$B51+$I$7*CustomerGrowthandMix!$C51+$J$7*CustomerGrowthandMix!$D51</f>
        <v>4373.985</v>
      </c>
      <c r="E51" s="78">
        <f>$H$7*CustomerGrowthandMix!$B52+$I$7*CustomerGrowthandMix!$C52+$J$7*CustomerGrowthandMix!$D52</f>
        <v>4311.4995</v>
      </c>
      <c r="F51" s="78">
        <f>$H$7*CustomerGrowthandMix!$B53+$I$7*CustomerGrowthandMix!$C53+$J$7*CustomerGrowthandMix!$D53</f>
        <v>5173.7994</v>
      </c>
      <c r="G51" s="78">
        <f>$H$7*CustomerGrowthandMix!$B54+$I$7*CustomerGrowthandMix!$C54+$J$7*CustomerGrowthandMix!$D54</f>
        <v>6208.55928</v>
      </c>
      <c r="H51" s="87">
        <f>$H$7*CustomerGrowthandMix!$B55+$I$7*CustomerGrowthandMix!$C55+$J$7*CustomerGrowthandMix!$D55</f>
        <v>7450.271136</v>
      </c>
      <c r="I51" s="55"/>
      <c r="J51" s="55"/>
      <c r="K51" s="88" t="s">
        <v>43</v>
      </c>
      <c r="L51" s="78">
        <f>$H$7*CustomerGrowthandMix!$G49+$I$7*CustomerGrowthandMix!$H49+$J$7*CustomerGrowthandMix!$I49</f>
        <v>4328</v>
      </c>
      <c r="M51" s="78">
        <f>$H$7*CustomerGrowthandMix!$G50+$I$7*CustomerGrowthandMix!$H50+$J$7*CustomerGrowthandMix!$I50</f>
        <v>3408.3</v>
      </c>
      <c r="N51" s="78">
        <f>$H$7*CustomerGrowthandMix!$G51+$I$7*CustomerGrowthandMix!$H51+$J$7*CustomerGrowthandMix!$I51</f>
        <v>3749.13</v>
      </c>
      <c r="O51" s="78">
        <f>$H$7*CustomerGrowthandMix!$G52+$I$7*CustomerGrowthandMix!$H52+$J$7*CustomerGrowthandMix!$I52</f>
        <v>4311.4995</v>
      </c>
      <c r="P51" s="78">
        <f>$H$7*CustomerGrowthandMix!$G53+$I$7*CustomerGrowthandMix!$H53+$J$7*CustomerGrowthandMix!$I53</f>
        <v>5173.7994</v>
      </c>
      <c r="Q51" s="78">
        <f>$H$7*CustomerGrowthandMix!$G54+$I$7*CustomerGrowthandMix!$H54+$J$7*CustomerGrowthandMix!$I54</f>
        <v>6208.55928</v>
      </c>
      <c r="R51" s="87">
        <f>$H$7*CustomerGrowthandMix!$G55+$I$7*CustomerGrowthandMix!$H55+$J$7*CustomerGrowthandMix!$I55</f>
        <v>7450.271136</v>
      </c>
    </row>
    <row r="52">
      <c r="A52" s="86" t="s">
        <v>44</v>
      </c>
      <c r="B52" s="75">
        <f>B$51*InputVariables!$E$2</f>
        <v>1014375</v>
      </c>
      <c r="C52" s="75">
        <f>C$51*InputVariables!$E$2</f>
        <v>781068.75</v>
      </c>
      <c r="D52" s="75">
        <f>D$51*InputVariables!$E$2</f>
        <v>546748.125</v>
      </c>
      <c r="E52" s="75">
        <f>E$51*InputVariables!$E$2</f>
        <v>538937.4375</v>
      </c>
      <c r="F52" s="75">
        <f>F$51*InputVariables!$E$2</f>
        <v>646724.925</v>
      </c>
      <c r="G52" s="75">
        <f>G$51*InputVariables!$E$2</f>
        <v>776069.91</v>
      </c>
      <c r="H52" s="76">
        <f>H$51*InputVariables!$E$2</f>
        <v>931283.892</v>
      </c>
      <c r="I52" s="55"/>
      <c r="J52" s="55"/>
      <c r="K52" s="88" t="s">
        <v>44</v>
      </c>
      <c r="L52" s="75">
        <f>L$51*InputVariables!$E$2</f>
        <v>541000</v>
      </c>
      <c r="M52" s="75">
        <f>M$51*InputVariables!$E$2</f>
        <v>426037.5</v>
      </c>
      <c r="N52" s="75">
        <f>N$51*InputVariables!$E$2</f>
        <v>468641.25</v>
      </c>
      <c r="O52" s="75">
        <f>O$51*InputVariables!$E$2</f>
        <v>538937.4375</v>
      </c>
      <c r="P52" s="75">
        <f>P$51*InputVariables!$E$2</f>
        <v>646724.925</v>
      </c>
      <c r="Q52" s="75">
        <f>Q$51*InputVariables!$E$2</f>
        <v>776069.91</v>
      </c>
      <c r="R52" s="76">
        <f>R$51*InputVariables!$E$2</f>
        <v>931283.892</v>
      </c>
    </row>
    <row r="53">
      <c r="A53" s="86" t="s">
        <v>45</v>
      </c>
      <c r="B53" s="75">
        <f>B$51*InputVariables!$E$3</f>
        <v>730350</v>
      </c>
      <c r="C53" s="75">
        <f>C$51*InputVariables!$E$3</f>
        <v>562369.5</v>
      </c>
      <c r="D53" s="75">
        <f>D$51*InputVariables!$E$3</f>
        <v>393658.65</v>
      </c>
      <c r="E53" s="75">
        <f>E$51*InputVariables!$E$3</f>
        <v>388034.955</v>
      </c>
      <c r="F53" s="75">
        <f>F$51*InputVariables!$E$3</f>
        <v>465641.946</v>
      </c>
      <c r="G53" s="75">
        <f>G$51*InputVariables!$E$3</f>
        <v>558770.3352</v>
      </c>
      <c r="H53" s="76">
        <f>H$51*InputVariables!$E$3</f>
        <v>670524.4022</v>
      </c>
      <c r="I53" s="55"/>
      <c r="J53" s="55"/>
      <c r="K53" s="88" t="s">
        <v>45</v>
      </c>
      <c r="L53" s="75">
        <f>L$51*InputVariables!$E$3</f>
        <v>389520</v>
      </c>
      <c r="M53" s="75">
        <f>M$51*InputVariables!$E$3</f>
        <v>306747</v>
      </c>
      <c r="N53" s="75">
        <f>N$51*InputVariables!$E$3</f>
        <v>337421.7</v>
      </c>
      <c r="O53" s="75">
        <f>O$51*InputVariables!$E$3</f>
        <v>388034.955</v>
      </c>
      <c r="P53" s="75">
        <f>P$51*InputVariables!$E$3</f>
        <v>465641.946</v>
      </c>
      <c r="Q53" s="75">
        <f>Q$51*InputVariables!$E$3</f>
        <v>558770.3352</v>
      </c>
      <c r="R53" s="76">
        <f>R$51*InputVariables!$E$3</f>
        <v>670524.4022</v>
      </c>
    </row>
    <row r="54">
      <c r="A54" s="89" t="s">
        <v>46</v>
      </c>
      <c r="B54" s="80">
        <f t="shared" ref="B54:H54" si="18">B52-B53</f>
        <v>284025</v>
      </c>
      <c r="C54" s="80">
        <f t="shared" si="18"/>
        <v>218699.25</v>
      </c>
      <c r="D54" s="80">
        <f t="shared" si="18"/>
        <v>153089.475</v>
      </c>
      <c r="E54" s="80">
        <f t="shared" si="18"/>
        <v>150902.4825</v>
      </c>
      <c r="F54" s="80">
        <f t="shared" si="18"/>
        <v>181082.979</v>
      </c>
      <c r="G54" s="80">
        <f t="shared" si="18"/>
        <v>217299.5748</v>
      </c>
      <c r="H54" s="81">
        <f t="shared" si="18"/>
        <v>260759.4898</v>
      </c>
      <c r="I54" s="55"/>
      <c r="J54" s="55"/>
      <c r="K54" s="90" t="s">
        <v>46</v>
      </c>
      <c r="L54" s="80">
        <f t="shared" ref="L54:R54" si="19">L52-L53</f>
        <v>151480</v>
      </c>
      <c r="M54" s="80">
        <f t="shared" si="19"/>
        <v>119290.5</v>
      </c>
      <c r="N54" s="80">
        <f t="shared" si="19"/>
        <v>131219.55</v>
      </c>
      <c r="O54" s="80">
        <f t="shared" si="19"/>
        <v>150902.4825</v>
      </c>
      <c r="P54" s="80">
        <f t="shared" si="19"/>
        <v>181082.979</v>
      </c>
      <c r="Q54" s="80">
        <f t="shared" si="19"/>
        <v>217299.5748</v>
      </c>
      <c r="R54" s="81">
        <f t="shared" si="19"/>
        <v>260759.4898</v>
      </c>
    </row>
    <row r="55">
      <c r="A55" s="86"/>
      <c r="B55" s="75"/>
      <c r="C55" s="75"/>
      <c r="D55" s="75"/>
      <c r="E55" s="75"/>
      <c r="F55" s="75"/>
      <c r="G55" s="75"/>
      <c r="H55" s="76"/>
      <c r="I55" s="55"/>
      <c r="J55" s="55"/>
      <c r="K55" s="88"/>
      <c r="L55" s="84"/>
      <c r="M55" s="84"/>
      <c r="N55" s="84"/>
      <c r="O55" s="84"/>
      <c r="P55" s="84"/>
      <c r="Q55" s="84"/>
      <c r="R55" s="85"/>
    </row>
    <row r="56">
      <c r="A56" s="91" t="s">
        <v>47</v>
      </c>
      <c r="B56" s="92">
        <f>CustomerGrowthandMix!$E49</f>
        <v>37.5</v>
      </c>
      <c r="C56" s="92">
        <f>CustomerGrowthandMix!$E50</f>
        <v>28.875</v>
      </c>
      <c r="D56" s="92">
        <f>CustomerGrowthandMix!$E51</f>
        <v>20.2125</v>
      </c>
      <c r="E56" s="92">
        <f>CustomerGrowthandMix!$E52</f>
        <v>19.92375</v>
      </c>
      <c r="F56" s="92">
        <f>CustomerGrowthandMix!$E53</f>
        <v>23.9085</v>
      </c>
      <c r="G56" s="92">
        <f>CustomerGrowthandMix!$E54</f>
        <v>28.6902</v>
      </c>
      <c r="H56" s="93">
        <f>CustomerGrowthandMix!$E55</f>
        <v>34.42824</v>
      </c>
      <c r="I56" s="55"/>
      <c r="J56" s="55"/>
      <c r="K56" s="95" t="s">
        <v>47</v>
      </c>
      <c r="L56" s="92">
        <f>CustomerGrowthandMix!J49</f>
        <v>20</v>
      </c>
      <c r="M56" s="92">
        <f>CustomerGrowthandMix!J50</f>
        <v>15.75</v>
      </c>
      <c r="N56" s="92">
        <f>CustomerGrowthandMix!J51</f>
        <v>17.325</v>
      </c>
      <c r="O56" s="92">
        <f>CustomerGrowthandMix!J52</f>
        <v>19.92375</v>
      </c>
      <c r="P56" s="92">
        <f>CustomerGrowthandMix!J53</f>
        <v>23.9085</v>
      </c>
      <c r="Q56" s="92">
        <f>CustomerGrowthandMix!J54</f>
        <v>28.6902</v>
      </c>
      <c r="R56" s="93">
        <f>CustomerGrowthandMix!J55</f>
        <v>34.42824</v>
      </c>
    </row>
    <row r="57">
      <c r="A57" s="100"/>
      <c r="B57" s="101"/>
      <c r="C57" s="101"/>
      <c r="D57" s="101"/>
      <c r="E57" s="102"/>
      <c r="F57" s="102"/>
      <c r="G57" s="103"/>
      <c r="H57" s="102"/>
      <c r="I57" s="102"/>
      <c r="J57" s="101"/>
      <c r="K57" s="101"/>
    </row>
    <row r="58">
      <c r="A58" s="104" t="s">
        <v>48</v>
      </c>
      <c r="B58" s="71" t="s">
        <v>18</v>
      </c>
      <c r="C58" s="71" t="s">
        <v>19</v>
      </c>
      <c r="D58" s="71" t="s">
        <v>20</v>
      </c>
      <c r="E58" s="71" t="s">
        <v>21</v>
      </c>
      <c r="F58" s="71" t="s">
        <v>22</v>
      </c>
      <c r="G58" s="71" t="s">
        <v>23</v>
      </c>
      <c r="H58" s="72" t="s">
        <v>24</v>
      </c>
      <c r="I58" s="102"/>
      <c r="J58" s="101"/>
      <c r="K58" s="104" t="s">
        <v>49</v>
      </c>
      <c r="L58" s="71" t="s">
        <v>18</v>
      </c>
      <c r="M58" s="71" t="s">
        <v>19</v>
      </c>
      <c r="N58" s="71" t="s">
        <v>20</v>
      </c>
      <c r="O58" s="71" t="s">
        <v>21</v>
      </c>
      <c r="P58" s="71" t="s">
        <v>22</v>
      </c>
      <c r="Q58" s="71" t="s">
        <v>23</v>
      </c>
      <c r="R58" s="72" t="s">
        <v>24</v>
      </c>
    </row>
    <row r="59">
      <c r="A59" s="53" t="s">
        <v>9</v>
      </c>
      <c r="B59" s="101">
        <f t="shared" ref="B59:H59" si="20">B20+B34+B47</f>
        <v>8906456.689</v>
      </c>
      <c r="C59" s="101">
        <f t="shared" si="20"/>
        <v>7033046.151</v>
      </c>
      <c r="D59" s="101">
        <f t="shared" si="20"/>
        <v>5315951.328</v>
      </c>
      <c r="E59" s="101">
        <f t="shared" si="20"/>
        <v>5481390.332</v>
      </c>
      <c r="F59" s="101">
        <f t="shared" si="20"/>
        <v>6577668.398</v>
      </c>
      <c r="G59" s="101">
        <f t="shared" si="20"/>
        <v>7893202.077</v>
      </c>
      <c r="H59" s="105">
        <f t="shared" si="20"/>
        <v>9471842.493</v>
      </c>
      <c r="I59" s="102"/>
      <c r="J59" s="101"/>
      <c r="K59" s="54" t="s">
        <v>9</v>
      </c>
      <c r="L59" s="101">
        <f t="shared" ref="L59:R59" si="21">L20+L34+L47</f>
        <v>5133619.503</v>
      </c>
      <c r="M59" s="101">
        <f t="shared" si="21"/>
        <v>4230933.791</v>
      </c>
      <c r="N59" s="101">
        <f t="shared" si="21"/>
        <v>4654027.171</v>
      </c>
      <c r="O59" s="101">
        <f t="shared" si="21"/>
        <v>5352131.246</v>
      </c>
      <c r="P59" s="101">
        <f t="shared" si="21"/>
        <v>6422557.495</v>
      </c>
      <c r="Q59" s="101">
        <f t="shared" si="21"/>
        <v>7707068.994</v>
      </c>
      <c r="R59" s="105">
        <f t="shared" si="21"/>
        <v>9248482.793</v>
      </c>
    </row>
    <row r="60">
      <c r="A60" s="106" t="s">
        <v>10</v>
      </c>
      <c r="B60" s="101">
        <f t="shared" ref="B60:H60" si="22">B21+B35+B48</f>
        <v>7005141.188</v>
      </c>
      <c r="C60" s="101">
        <f t="shared" si="22"/>
        <v>5533497.617</v>
      </c>
      <c r="D60" s="101">
        <f t="shared" si="22"/>
        <v>4082756.685</v>
      </c>
      <c r="E60" s="101">
        <f t="shared" si="22"/>
        <v>4214894.726</v>
      </c>
      <c r="F60" s="101">
        <f t="shared" si="22"/>
        <v>5057873.672</v>
      </c>
      <c r="G60" s="101">
        <f t="shared" si="22"/>
        <v>6069448.406</v>
      </c>
      <c r="H60" s="105">
        <f t="shared" si="22"/>
        <v>7283338.087</v>
      </c>
      <c r="I60" s="102"/>
      <c r="J60" s="101"/>
      <c r="K60" s="107" t="s">
        <v>10</v>
      </c>
      <c r="L60" s="101">
        <f t="shared" ref="L60:R60" si="23">L21+L35+L48</f>
        <v>4136931.222</v>
      </c>
      <c r="M60" s="101">
        <f t="shared" si="23"/>
        <v>3409053.72</v>
      </c>
      <c r="N60" s="101">
        <f t="shared" si="23"/>
        <v>3749959.092</v>
      </c>
      <c r="O60" s="101">
        <f t="shared" si="23"/>
        <v>4312452.956</v>
      </c>
      <c r="P60" s="101">
        <f t="shared" si="23"/>
        <v>5174943.547</v>
      </c>
      <c r="Q60" s="101">
        <f t="shared" si="23"/>
        <v>6209932.257</v>
      </c>
      <c r="R60" s="105">
        <f t="shared" si="23"/>
        <v>7451918.708</v>
      </c>
    </row>
    <row r="61">
      <c r="A61" s="108" t="s">
        <v>50</v>
      </c>
      <c r="B61" s="109">
        <f t="shared" ref="B61:H61" si="24">B59-B60</f>
        <v>1901315.501</v>
      </c>
      <c r="C61" s="109">
        <f t="shared" si="24"/>
        <v>1499548.534</v>
      </c>
      <c r="D61" s="109">
        <f t="shared" si="24"/>
        <v>1233194.643</v>
      </c>
      <c r="E61" s="109">
        <f t="shared" si="24"/>
        <v>1266495.605</v>
      </c>
      <c r="F61" s="109">
        <f t="shared" si="24"/>
        <v>1519794.726</v>
      </c>
      <c r="G61" s="109">
        <f t="shared" si="24"/>
        <v>1823753.671</v>
      </c>
      <c r="H61" s="110">
        <f t="shared" si="24"/>
        <v>2188504.406</v>
      </c>
      <c r="I61" s="102"/>
      <c r="J61" s="101"/>
      <c r="K61" s="111" t="s">
        <v>50</v>
      </c>
      <c r="L61" s="112">
        <f t="shared" ref="L61:R61" si="25">L59-L60</f>
        <v>996688.2801</v>
      </c>
      <c r="M61" s="112">
        <f t="shared" si="25"/>
        <v>821880.0713</v>
      </c>
      <c r="N61" s="112">
        <f t="shared" si="25"/>
        <v>904068.0785</v>
      </c>
      <c r="O61" s="112">
        <f t="shared" si="25"/>
        <v>1039678.29</v>
      </c>
      <c r="P61" s="112">
        <f t="shared" si="25"/>
        <v>1247613.948</v>
      </c>
      <c r="Q61" s="112">
        <f t="shared" si="25"/>
        <v>1497136.738</v>
      </c>
      <c r="R61" s="113">
        <f t="shared" si="25"/>
        <v>1796564.086</v>
      </c>
    </row>
    <row r="62">
      <c r="A62" s="106"/>
      <c r="B62" s="101"/>
      <c r="C62" s="101"/>
      <c r="D62" s="101"/>
      <c r="E62" s="101"/>
      <c r="F62" s="101"/>
      <c r="G62" s="103"/>
      <c r="H62" s="114"/>
      <c r="I62" s="102"/>
      <c r="J62" s="101"/>
      <c r="K62" s="106"/>
      <c r="R62" s="61"/>
    </row>
    <row r="63">
      <c r="A63" s="53" t="s">
        <v>11</v>
      </c>
      <c r="B63" s="115">
        <f t="shared" ref="B63:H63" si="26">B24+B38+B51</f>
        <v>9380.855</v>
      </c>
      <c r="C63" s="115">
        <f t="shared" si="26"/>
        <v>8359.85325</v>
      </c>
      <c r="D63" s="115">
        <f t="shared" si="26"/>
        <v>7556.789625</v>
      </c>
      <c r="E63" s="115">
        <f t="shared" si="26"/>
        <v>8960.062361</v>
      </c>
      <c r="F63" s="115">
        <f t="shared" si="26"/>
        <v>10752.07483</v>
      </c>
      <c r="G63" s="115">
        <f t="shared" si="26"/>
        <v>12902.4898</v>
      </c>
      <c r="H63" s="116">
        <f t="shared" si="26"/>
        <v>15482.98776</v>
      </c>
      <c r="I63" s="102"/>
      <c r="J63" s="101"/>
      <c r="K63" s="54" t="s">
        <v>11</v>
      </c>
      <c r="L63" s="115">
        <f t="shared" ref="L63:R63" si="27">L24+L38+L51</f>
        <v>7455.31</v>
      </c>
      <c r="M63" s="115">
        <f t="shared" si="27"/>
        <v>7083.05325</v>
      </c>
      <c r="N63" s="115">
        <f t="shared" si="27"/>
        <v>7791.358575</v>
      </c>
      <c r="O63" s="115">
        <f t="shared" si="27"/>
        <v>8960.062361</v>
      </c>
      <c r="P63" s="115">
        <f t="shared" si="27"/>
        <v>10752.07483</v>
      </c>
      <c r="Q63" s="115">
        <f t="shared" si="27"/>
        <v>12902.4898</v>
      </c>
      <c r="R63" s="116">
        <f t="shared" si="27"/>
        <v>15482.98776</v>
      </c>
    </row>
    <row r="64">
      <c r="A64" s="53" t="s">
        <v>12</v>
      </c>
      <c r="B64" s="101">
        <f>B63*InputVariables!$E$2</f>
        <v>1172606.875</v>
      </c>
      <c r="C64" s="101">
        <f>C63*InputVariables!$E$2</f>
        <v>1044981.656</v>
      </c>
      <c r="D64" s="101">
        <f>D63*InputVariables!$E$2</f>
        <v>944598.7031</v>
      </c>
      <c r="E64" s="101">
        <f>E63*InputVariables!$E$2</f>
        <v>1120007.795</v>
      </c>
      <c r="F64" s="101">
        <f>F63*InputVariables!$E$2</f>
        <v>1344009.354</v>
      </c>
      <c r="G64" s="101">
        <f>G63*InputVariables!$E$2</f>
        <v>1612811.225</v>
      </c>
      <c r="H64" s="105">
        <f>H63*InputVariables!$E$2</f>
        <v>1935373.47</v>
      </c>
      <c r="I64" s="102"/>
      <c r="J64" s="101"/>
      <c r="K64" s="54" t="s">
        <v>12</v>
      </c>
      <c r="L64" s="101">
        <f>L63*InputVariables!$E$2</f>
        <v>931913.75</v>
      </c>
      <c r="M64" s="101">
        <f>M63*InputVariables!$E$2</f>
        <v>885381.6563</v>
      </c>
      <c r="N64" s="101">
        <f>N63*InputVariables!$E$2</f>
        <v>973919.8219</v>
      </c>
      <c r="O64" s="101">
        <f>O63*InputVariables!$E$2</f>
        <v>1120007.795</v>
      </c>
      <c r="P64" s="101">
        <f>P63*InputVariables!$E$2</f>
        <v>1344009.354</v>
      </c>
      <c r="Q64" s="101">
        <f>Q63*InputVariables!$E$2</f>
        <v>1612811.225</v>
      </c>
      <c r="R64" s="105">
        <f>R63*InputVariables!$E$2</f>
        <v>1935373.47</v>
      </c>
    </row>
    <row r="65">
      <c r="A65" s="53" t="s">
        <v>13</v>
      </c>
      <c r="B65" s="101">
        <f>B63*InputVariables!$E$3</f>
        <v>844276.95</v>
      </c>
      <c r="C65" s="101">
        <f>C63*InputVariables!$E$3</f>
        <v>752386.7925</v>
      </c>
      <c r="D65" s="101">
        <f>D63*InputVariables!$E$3</f>
        <v>680111.0663</v>
      </c>
      <c r="E65" s="101">
        <f>E63*InputVariables!$E$3</f>
        <v>806405.6125</v>
      </c>
      <c r="F65" s="101">
        <f>F63*InputVariables!$E$3</f>
        <v>967686.735</v>
      </c>
      <c r="G65" s="101">
        <f>G63*InputVariables!$E$3</f>
        <v>1161224.082</v>
      </c>
      <c r="H65" s="105">
        <f>H63*InputVariables!$E$3</f>
        <v>1393468.898</v>
      </c>
      <c r="I65" s="102"/>
      <c r="J65" s="101"/>
      <c r="K65" s="54" t="s">
        <v>13</v>
      </c>
      <c r="L65" s="101">
        <f>L63*InputVariables!$E$3</f>
        <v>670977.9</v>
      </c>
      <c r="M65" s="101">
        <f>M63*InputVariables!$E$3</f>
        <v>637474.7925</v>
      </c>
      <c r="N65" s="101">
        <f>N63*InputVariables!$E$3</f>
        <v>701222.2718</v>
      </c>
      <c r="O65" s="101">
        <f>O63*InputVariables!$E$3</f>
        <v>806405.6125</v>
      </c>
      <c r="P65" s="101">
        <f>P63*InputVariables!$E$3</f>
        <v>967686.735</v>
      </c>
      <c r="Q65" s="101">
        <f>Q63*InputVariables!$E$3</f>
        <v>1161224.082</v>
      </c>
      <c r="R65" s="105">
        <f>R63*InputVariables!$E$3</f>
        <v>1393468.898</v>
      </c>
    </row>
    <row r="66">
      <c r="A66" s="108" t="s">
        <v>51</v>
      </c>
      <c r="B66" s="109">
        <f t="shared" ref="B66:H66" si="28">B64-B65</f>
        <v>328329.925</v>
      </c>
      <c r="C66" s="109">
        <f t="shared" si="28"/>
        <v>292594.8638</v>
      </c>
      <c r="D66" s="109">
        <f t="shared" si="28"/>
        <v>264487.6369</v>
      </c>
      <c r="E66" s="109">
        <f t="shared" si="28"/>
        <v>313602.1826</v>
      </c>
      <c r="F66" s="109">
        <f t="shared" si="28"/>
        <v>376322.6192</v>
      </c>
      <c r="G66" s="109">
        <f t="shared" si="28"/>
        <v>451587.143</v>
      </c>
      <c r="H66" s="110">
        <f t="shared" si="28"/>
        <v>541904.5716</v>
      </c>
      <c r="I66" s="102"/>
      <c r="J66" s="101"/>
      <c r="K66" s="111" t="s">
        <v>51</v>
      </c>
      <c r="L66" s="112">
        <f t="shared" ref="L66:R66" si="29">L64-L65</f>
        <v>260935.85</v>
      </c>
      <c r="M66" s="112">
        <f t="shared" si="29"/>
        <v>247906.8638</v>
      </c>
      <c r="N66" s="112">
        <f t="shared" si="29"/>
        <v>272697.5501</v>
      </c>
      <c r="O66" s="112">
        <f t="shared" si="29"/>
        <v>313602.1826</v>
      </c>
      <c r="P66" s="112">
        <f t="shared" si="29"/>
        <v>376322.6192</v>
      </c>
      <c r="Q66" s="112">
        <f t="shared" si="29"/>
        <v>451587.143</v>
      </c>
      <c r="R66" s="113">
        <f t="shared" si="29"/>
        <v>541904.5716</v>
      </c>
    </row>
    <row r="67">
      <c r="A67" s="106"/>
      <c r="B67" s="101"/>
      <c r="C67" s="101"/>
      <c r="D67" s="101"/>
      <c r="F67" s="102"/>
      <c r="G67" s="103"/>
      <c r="H67" s="114"/>
      <c r="I67" s="102"/>
      <c r="J67" s="101"/>
      <c r="K67" s="106"/>
      <c r="R67" s="61"/>
    </row>
    <row r="68">
      <c r="A68" s="108" t="s">
        <v>52</v>
      </c>
      <c r="B68" s="117">
        <f t="shared" ref="B68:H68" si="30">B29+B43+B56</f>
        <v>50</v>
      </c>
      <c r="C68" s="117">
        <f t="shared" si="30"/>
        <v>52.5</v>
      </c>
      <c r="D68" s="117">
        <f t="shared" si="30"/>
        <v>57.75</v>
      </c>
      <c r="E68" s="117">
        <f t="shared" si="30"/>
        <v>66.4125</v>
      </c>
      <c r="F68" s="117">
        <f t="shared" si="30"/>
        <v>79.695</v>
      </c>
      <c r="G68" s="117">
        <f t="shared" si="30"/>
        <v>95.634</v>
      </c>
      <c r="H68" s="118">
        <f t="shared" si="30"/>
        <v>114.7608</v>
      </c>
      <c r="I68" s="102"/>
      <c r="J68" s="101"/>
      <c r="K68" s="108" t="s">
        <v>52</v>
      </c>
      <c r="L68" s="117">
        <f t="shared" ref="L68:R68" si="31">L29+L43+L56</f>
        <v>50</v>
      </c>
      <c r="M68" s="117">
        <f t="shared" si="31"/>
        <v>52.5</v>
      </c>
      <c r="N68" s="117">
        <f t="shared" si="31"/>
        <v>57.75</v>
      </c>
      <c r="O68" s="117">
        <f t="shared" si="31"/>
        <v>66.4125</v>
      </c>
      <c r="P68" s="117">
        <f t="shared" si="31"/>
        <v>79.695</v>
      </c>
      <c r="Q68" s="117">
        <f t="shared" si="31"/>
        <v>95.634</v>
      </c>
      <c r="R68" s="118">
        <f t="shared" si="31"/>
        <v>114.7608</v>
      </c>
    </row>
    <row r="69">
      <c r="A69" s="100"/>
      <c r="B69" s="101"/>
      <c r="C69" s="101"/>
      <c r="D69" s="101"/>
      <c r="F69" s="102"/>
      <c r="G69" s="103"/>
      <c r="H69" s="102"/>
      <c r="I69" s="102"/>
      <c r="J69" s="101"/>
      <c r="K69" s="101"/>
    </row>
    <row r="70">
      <c r="A70" s="119" t="s">
        <v>53</v>
      </c>
      <c r="B70" s="120" t="s">
        <v>18</v>
      </c>
      <c r="C70" s="120" t="s">
        <v>19</v>
      </c>
      <c r="D70" s="120" t="s">
        <v>20</v>
      </c>
      <c r="E70" s="120" t="s">
        <v>21</v>
      </c>
      <c r="F70" s="120" t="s">
        <v>22</v>
      </c>
      <c r="G70" s="120" t="s">
        <v>23</v>
      </c>
      <c r="H70" s="120" t="s">
        <v>24</v>
      </c>
      <c r="I70" s="102"/>
      <c r="J70" s="101"/>
      <c r="K70" s="101"/>
    </row>
    <row r="71">
      <c r="A71" s="121"/>
      <c r="B71" s="122"/>
      <c r="C71" s="122"/>
      <c r="D71" s="122"/>
      <c r="E71" s="122"/>
      <c r="F71" s="122"/>
      <c r="G71" s="122"/>
      <c r="H71" s="122"/>
      <c r="I71" s="102"/>
      <c r="J71" s="101"/>
      <c r="K71" s="101"/>
    </row>
    <row r="72">
      <c r="A72" s="123" t="s">
        <v>54</v>
      </c>
      <c r="B72" s="122"/>
      <c r="C72" s="122"/>
      <c r="D72" s="122"/>
      <c r="E72" s="122"/>
      <c r="F72" s="122"/>
      <c r="G72" s="122"/>
      <c r="H72" s="122"/>
      <c r="I72" s="55"/>
      <c r="J72" s="55"/>
    </row>
    <row r="73">
      <c r="A73" s="124" t="s">
        <v>55</v>
      </c>
      <c r="B73" s="122"/>
      <c r="C73" s="122"/>
      <c r="D73" s="122"/>
      <c r="E73" s="122"/>
      <c r="F73" s="122"/>
      <c r="G73" s="122"/>
      <c r="H73" s="122"/>
      <c r="I73" s="55"/>
      <c r="J73" s="55"/>
    </row>
    <row r="74">
      <c r="A74" s="124" t="s">
        <v>56</v>
      </c>
      <c r="B74" s="125">
        <f t="array" ref="B74:H80">{
  COUNTIFS(LocationGrowth!$B$2:$B$68, "Acquisition", LocationGrowth!$A$2:$A$68, SEQUENCE(1, 7, 1, 1));
  COUNTIFS(LocationGrowth!$B$2:$B$68, "Acquisition", LocationGrowth!$A$2:$A$68, SEQUENCE(1, 7, 1, 1) - 1);
  COUNTIFS(LocationGrowth!$B$2:$B$68, "Acquisition", LocationGrowth!$A$2:$A$68, SEQUENCE(1, 7, 1, 1) - 2);
  COUNTIFS(LocationGrowth!$B$2:$B$68, "Acquisition", LocationGrowth!$A$2:$A$68, SEQUENCE(1, 7, 1, 1) - 3);
  COUNTIFS(LocationGrowth!$B$2:$B$68, "Acquisition", LocationGrowth!$A$2:$A$68, SEQUENCE(1, 7, 1, 1) - 4);
  COUNTIFS(LocationGrowth!$B$2:$B$68, "Acquisition", LocationGrowth!$A$2:$A$68, SEQUENCE(1, 7, 1, 1) - 5);
  COUNTIFS(LocationGrowth!$B$2:$B$68, "Acquisition", LocationGrowth!$A$2:$A$68, SEQUENCE(1, 7, 1, 1) - 6)
}</f>
        <v>2</v>
      </c>
      <c r="C74" s="125">
        <v>1.0</v>
      </c>
      <c r="D74" s="125">
        <v>1.0</v>
      </c>
      <c r="E74" s="125">
        <v>1.0</v>
      </c>
      <c r="F74" s="125">
        <v>2.0</v>
      </c>
      <c r="G74" s="125">
        <v>3.0</v>
      </c>
      <c r="H74" s="125">
        <v>3.0</v>
      </c>
      <c r="I74" s="55"/>
      <c r="J74" s="55"/>
    </row>
    <row r="75">
      <c r="A75" s="124" t="s">
        <v>57</v>
      </c>
      <c r="B75" s="125">
        <v>0.0</v>
      </c>
      <c r="C75" s="125">
        <v>2.0</v>
      </c>
      <c r="D75" s="125">
        <v>1.0</v>
      </c>
      <c r="E75" s="125">
        <v>1.0</v>
      </c>
      <c r="F75" s="125">
        <v>1.0</v>
      </c>
      <c r="G75" s="125">
        <v>2.0</v>
      </c>
      <c r="H75" s="125">
        <v>3.0</v>
      </c>
      <c r="I75" s="55"/>
      <c r="J75" s="55"/>
    </row>
    <row r="76">
      <c r="A76" s="124" t="s">
        <v>58</v>
      </c>
      <c r="B76" s="125">
        <v>0.0</v>
      </c>
      <c r="C76" s="125">
        <v>0.0</v>
      </c>
      <c r="D76" s="125">
        <v>2.0</v>
      </c>
      <c r="E76" s="125">
        <v>1.0</v>
      </c>
      <c r="F76" s="125">
        <v>1.0</v>
      </c>
      <c r="G76" s="125">
        <v>1.0</v>
      </c>
      <c r="H76" s="125">
        <v>2.0</v>
      </c>
      <c r="I76" s="55"/>
      <c r="J76" s="55"/>
    </row>
    <row r="77">
      <c r="A77" s="124" t="s">
        <v>59</v>
      </c>
      <c r="B77" s="125">
        <v>0.0</v>
      </c>
      <c r="C77" s="125">
        <v>0.0</v>
      </c>
      <c r="D77" s="125">
        <v>0.0</v>
      </c>
      <c r="E77" s="125">
        <v>2.0</v>
      </c>
      <c r="F77" s="125">
        <v>1.0</v>
      </c>
      <c r="G77" s="125">
        <v>1.0</v>
      </c>
      <c r="H77" s="125">
        <v>1.0</v>
      </c>
      <c r="I77" s="55"/>
      <c r="J77" s="55"/>
    </row>
    <row r="78">
      <c r="A78" s="124" t="s">
        <v>60</v>
      </c>
      <c r="B78" s="125">
        <v>0.0</v>
      </c>
      <c r="C78" s="125">
        <v>0.0</v>
      </c>
      <c r="D78" s="125">
        <v>0.0</v>
      </c>
      <c r="E78" s="125">
        <v>0.0</v>
      </c>
      <c r="F78" s="125">
        <v>2.0</v>
      </c>
      <c r="G78" s="125">
        <v>1.0</v>
      </c>
      <c r="H78" s="125">
        <v>1.0</v>
      </c>
      <c r="I78" s="55"/>
      <c r="J78" s="55"/>
    </row>
    <row r="79">
      <c r="A79" s="124" t="s">
        <v>61</v>
      </c>
      <c r="B79" s="125">
        <v>0.0</v>
      </c>
      <c r="C79" s="125">
        <v>0.0</v>
      </c>
      <c r="D79" s="125">
        <v>0.0</v>
      </c>
      <c r="E79" s="125">
        <v>0.0</v>
      </c>
      <c r="F79" s="125">
        <v>0.0</v>
      </c>
      <c r="G79" s="125">
        <v>2.0</v>
      </c>
      <c r="H79" s="125">
        <v>1.0</v>
      </c>
      <c r="I79" s="55"/>
      <c r="J79" s="55"/>
    </row>
    <row r="80">
      <c r="A80" s="124" t="s">
        <v>62</v>
      </c>
      <c r="B80" s="125">
        <v>0.0</v>
      </c>
      <c r="C80" s="125">
        <v>0.0</v>
      </c>
      <c r="D80" s="125">
        <v>0.0</v>
      </c>
      <c r="E80" s="125">
        <v>0.0</v>
      </c>
      <c r="F80" s="125">
        <v>0.0</v>
      </c>
      <c r="G80" s="125">
        <v>0.0</v>
      </c>
      <c r="H80" s="125">
        <v>2.0</v>
      </c>
      <c r="I80" s="55"/>
      <c r="J80" s="55"/>
    </row>
    <row r="81">
      <c r="A81" s="121"/>
      <c r="B81" s="125"/>
      <c r="C81" s="122"/>
      <c r="D81" s="122"/>
      <c r="E81" s="122"/>
      <c r="F81" s="122"/>
      <c r="G81" s="122"/>
      <c r="H81" s="122"/>
      <c r="I81" s="55"/>
      <c r="J81" s="55"/>
    </row>
    <row r="82">
      <c r="A82" s="124" t="s">
        <v>63</v>
      </c>
      <c r="B82" s="125"/>
      <c r="C82" s="122"/>
      <c r="D82" s="122"/>
      <c r="E82" s="122"/>
      <c r="F82" s="122"/>
      <c r="G82" s="122"/>
      <c r="H82" s="122"/>
      <c r="I82" s="55"/>
      <c r="J82" s="55"/>
    </row>
    <row r="83">
      <c r="A83" s="124" t="s">
        <v>56</v>
      </c>
      <c r="B83" s="125">
        <f t="array" ref="B83:H89">{
  COUNTIFS(LocationGrowth!$B$2:$B$68, "Organic", LocationGrowth!$A$2:$A$68, SEQUENCE(1, 7, 1, 1));
  COUNTIFS(LocationGrowth!$B$2:$B$68, "Organic", LocationGrowth!$A$2:$A$68, SEQUENCE(1, 7, 1, 1) - 1);
  COUNTIFS(LocationGrowth!$B$2:$B$68, "Organic", LocationGrowth!$A$2:$A$68, SEQUENCE(1, 7, 1, 1) - 2);
  COUNTIFS(LocationGrowth!$B$2:$B$68, "Organic", LocationGrowth!$A$2:$A$68, SEQUENCE(1, 7, 1, 1) - 3);
  COUNTIFS(LocationGrowth!$B$2:$B$68, "Organic", LocationGrowth!$A$2:$A$68, SEQUENCE(1, 7, 1, 1) - 4);
  COUNTIFS(LocationGrowth!$B$2:$B$68, "Organic", LocationGrowth!$A$2:$A$68, SEQUENCE(1, 7, 1, 1) - 5);
  COUNTIFS(LocationGrowth!$B$2:$B$68, "Organic", LocationGrowth!$A$2:$A$68, SEQUENCE(1, 7, 1, 1) - 6)
}</f>
        <v>0</v>
      </c>
      <c r="C83" s="125">
        <v>2.0</v>
      </c>
      <c r="D83" s="125">
        <v>2.0</v>
      </c>
      <c r="E83" s="125">
        <v>2.0</v>
      </c>
      <c r="F83" s="125">
        <v>3.0</v>
      </c>
      <c r="G83" s="125">
        <v>4.0</v>
      </c>
      <c r="H83" s="125">
        <v>5.0</v>
      </c>
      <c r="I83" s="55"/>
      <c r="J83" s="55"/>
    </row>
    <row r="84">
      <c r="A84" s="124" t="s">
        <v>57</v>
      </c>
      <c r="B84" s="125">
        <v>0.0</v>
      </c>
      <c r="C84" s="125">
        <v>0.0</v>
      </c>
      <c r="D84" s="125">
        <v>2.0</v>
      </c>
      <c r="E84" s="125">
        <v>2.0</v>
      </c>
      <c r="F84" s="125">
        <v>2.0</v>
      </c>
      <c r="G84" s="125">
        <v>3.0</v>
      </c>
      <c r="H84" s="125">
        <v>4.0</v>
      </c>
      <c r="I84" s="55"/>
      <c r="J84" s="55"/>
    </row>
    <row r="85">
      <c r="A85" s="124" t="s">
        <v>58</v>
      </c>
      <c r="B85" s="125">
        <v>0.0</v>
      </c>
      <c r="C85" s="125">
        <v>0.0</v>
      </c>
      <c r="D85" s="125">
        <v>0.0</v>
      </c>
      <c r="E85" s="125">
        <v>2.0</v>
      </c>
      <c r="F85" s="125">
        <v>2.0</v>
      </c>
      <c r="G85" s="125">
        <v>2.0</v>
      </c>
      <c r="H85" s="125">
        <v>3.0</v>
      </c>
      <c r="I85" s="55"/>
      <c r="J85" s="55"/>
      <c r="Q85" s="55"/>
    </row>
    <row r="86">
      <c r="A86" s="124" t="s">
        <v>59</v>
      </c>
      <c r="B86" s="125">
        <v>0.0</v>
      </c>
      <c r="C86" s="125">
        <v>0.0</v>
      </c>
      <c r="D86" s="125">
        <v>0.0</v>
      </c>
      <c r="E86" s="125">
        <v>0.0</v>
      </c>
      <c r="F86" s="125">
        <v>2.0</v>
      </c>
      <c r="G86" s="125">
        <v>2.0</v>
      </c>
      <c r="H86" s="125">
        <v>2.0</v>
      </c>
      <c r="I86" s="55"/>
      <c r="J86" s="55"/>
      <c r="Q86" s="55"/>
    </row>
    <row r="87">
      <c r="A87" s="124" t="s">
        <v>60</v>
      </c>
      <c r="B87" s="125">
        <v>0.0</v>
      </c>
      <c r="C87" s="125">
        <v>0.0</v>
      </c>
      <c r="D87" s="125">
        <v>0.0</v>
      </c>
      <c r="E87" s="125">
        <v>0.0</v>
      </c>
      <c r="F87" s="125">
        <v>0.0</v>
      </c>
      <c r="G87" s="125">
        <v>2.0</v>
      </c>
      <c r="H87" s="125">
        <v>2.0</v>
      </c>
      <c r="I87" s="55"/>
      <c r="J87" s="55"/>
      <c r="Q87" s="55"/>
    </row>
    <row r="88">
      <c r="A88" s="124" t="s">
        <v>61</v>
      </c>
      <c r="B88" s="125">
        <v>0.0</v>
      </c>
      <c r="C88" s="125">
        <v>0.0</v>
      </c>
      <c r="D88" s="125">
        <v>0.0</v>
      </c>
      <c r="E88" s="125">
        <v>0.0</v>
      </c>
      <c r="F88" s="125">
        <v>0.0</v>
      </c>
      <c r="G88" s="125">
        <v>0.0</v>
      </c>
      <c r="H88" s="125">
        <v>2.0</v>
      </c>
      <c r="I88" s="55"/>
      <c r="J88" s="55"/>
      <c r="Q88" s="55"/>
    </row>
    <row r="89">
      <c r="A89" s="124" t="s">
        <v>62</v>
      </c>
      <c r="B89" s="125">
        <v>0.0</v>
      </c>
      <c r="C89" s="125">
        <v>0.0</v>
      </c>
      <c r="D89" s="125">
        <v>0.0</v>
      </c>
      <c r="E89" s="125">
        <v>0.0</v>
      </c>
      <c r="F89" s="125">
        <v>0.0</v>
      </c>
      <c r="G89" s="125">
        <v>0.0</v>
      </c>
      <c r="H89" s="125">
        <v>0.0</v>
      </c>
      <c r="I89" s="55"/>
      <c r="J89" s="55"/>
      <c r="P89" s="53"/>
      <c r="Q89" s="55"/>
    </row>
    <row r="90">
      <c r="A90" s="121"/>
      <c r="B90" s="122"/>
      <c r="C90" s="122"/>
      <c r="D90" s="122"/>
      <c r="E90" s="122"/>
      <c r="F90" s="122"/>
      <c r="G90" s="122"/>
      <c r="H90" s="122"/>
      <c r="I90" s="55"/>
      <c r="J90" s="55"/>
      <c r="Q90" s="55"/>
    </row>
    <row r="91">
      <c r="A91" s="123" t="s">
        <v>64</v>
      </c>
      <c r="B91" s="125">
        <f t="shared" ref="B91:H91" si="32">sum(B74:B89)</f>
        <v>2</v>
      </c>
      <c r="C91" s="125">
        <f t="shared" si="32"/>
        <v>5</v>
      </c>
      <c r="D91" s="125">
        <f t="shared" si="32"/>
        <v>8</v>
      </c>
      <c r="E91" s="125">
        <f t="shared" si="32"/>
        <v>11</v>
      </c>
      <c r="F91" s="125">
        <f t="shared" si="32"/>
        <v>16</v>
      </c>
      <c r="G91" s="125">
        <f t="shared" si="32"/>
        <v>23</v>
      </c>
      <c r="H91" s="125">
        <f t="shared" si="32"/>
        <v>31</v>
      </c>
      <c r="I91" s="55"/>
      <c r="J91" s="55"/>
      <c r="Q91" s="55"/>
    </row>
    <row r="92">
      <c r="A92" s="43"/>
      <c r="B92" s="55"/>
      <c r="C92" s="55"/>
      <c r="D92" s="55"/>
      <c r="E92" s="55"/>
      <c r="F92" s="55"/>
      <c r="G92" s="55"/>
      <c r="H92" s="55"/>
      <c r="I92" s="55"/>
      <c r="J92" s="55"/>
      <c r="Q92" s="55"/>
    </row>
    <row r="93">
      <c r="A93" s="43"/>
      <c r="B93" s="55"/>
      <c r="C93" s="55"/>
      <c r="D93" s="55"/>
      <c r="E93" s="55"/>
      <c r="F93" s="55"/>
      <c r="G93" s="55"/>
      <c r="H93" s="55"/>
      <c r="I93" s="55"/>
      <c r="J93" s="55"/>
      <c r="P93" s="86"/>
      <c r="Q93" s="55"/>
    </row>
    <row r="94">
      <c r="A94" s="126"/>
      <c r="B94" s="55"/>
      <c r="C94" s="55"/>
      <c r="D94" s="55"/>
      <c r="E94" s="55"/>
      <c r="F94" s="55"/>
      <c r="G94" s="55"/>
      <c r="H94" s="55"/>
      <c r="I94" s="55"/>
      <c r="J94" s="55"/>
      <c r="P94" s="127" t="s">
        <v>65</v>
      </c>
      <c r="Q94" s="55"/>
    </row>
    <row r="95">
      <c r="A95" s="126"/>
      <c r="B95" s="55"/>
      <c r="C95" s="55"/>
      <c r="D95" s="55"/>
      <c r="E95" s="55"/>
      <c r="F95" s="55"/>
      <c r="G95" s="55"/>
      <c r="H95" s="55"/>
      <c r="I95" s="55"/>
      <c r="J95" s="55"/>
      <c r="P95" s="128"/>
      <c r="Q95" s="129" t="s">
        <v>18</v>
      </c>
      <c r="R95" s="129" t="s">
        <v>19</v>
      </c>
      <c r="S95" s="129" t="s">
        <v>20</v>
      </c>
      <c r="T95" s="129" t="s">
        <v>21</v>
      </c>
      <c r="U95" s="129" t="s">
        <v>22</v>
      </c>
      <c r="V95" s="129" t="s">
        <v>23</v>
      </c>
      <c r="W95" s="129" t="s">
        <v>24</v>
      </c>
    </row>
    <row r="96">
      <c r="A96" s="130" t="s">
        <v>66</v>
      </c>
      <c r="B96" s="131" t="s">
        <v>67</v>
      </c>
      <c r="C96" s="131" t="s">
        <v>18</v>
      </c>
      <c r="D96" s="131" t="s">
        <v>19</v>
      </c>
      <c r="E96" s="131" t="s">
        <v>20</v>
      </c>
      <c r="F96" s="131" t="s">
        <v>21</v>
      </c>
      <c r="G96" s="131" t="s">
        <v>22</v>
      </c>
      <c r="H96" s="131" t="s">
        <v>23</v>
      </c>
      <c r="I96" s="131" t="s">
        <v>24</v>
      </c>
      <c r="J96" s="55"/>
      <c r="L96" s="132" t="s">
        <v>66</v>
      </c>
      <c r="M96" s="131" t="s">
        <v>24</v>
      </c>
      <c r="P96" s="133" t="s">
        <v>68</v>
      </c>
      <c r="Q96" s="134">
        <f t="array" ref="Q96:W96">{
  SUMPRODUCT(B74:B80, {B47;C47;D47;E47;F47;G47;H47}) + SUMPRODUCT(B83:B89, {L47;M47;N47;O47;P47;Q47;R47}),
  SUMPRODUCT(C74:C80, {B47;C47;D47;E47;F47;G47;H47}) + SUMPRODUCT(C83:C89, {L47;M47;N47;O47;P47;Q47;R47}),
  SUMPRODUCT(D74:D80, {B47;C47;D47;E47;F47;G47;H47}) + SUMPRODUCT(D83:D89, {L47;M47;N47;O47;P47;Q47;R47}),
  SUMPRODUCT(E74:E80, {B47;C47;D47;E47;F47;G47;H47}) + SUMPRODUCT(E83:E89, {L47;M47;N47;O47;P47;Q47;R47}),
  SUMPRODUCT(F74:F80, {B47;C47;D47;E47;F47;G47;H47}) + SUMPRODUCT(F83:F89, {L47;M47;N47;O47;P47;Q47;R47}),
  SUMPRODUCT(G74:G80, {B47;C47;D47;E47;F47;G47;H47}) + SUMPRODUCT(G83:G89, {L47;M47;N47;O47;P47;Q47;R47}),
  SUMPRODUCT(H74:H80, {B47;C47;D47;E47;F47;G47;H47}) + SUMPRODUCT(H83:H89, {L47;M47;N47;O47;P47;Q47;R47})
}</f>
        <v>17417733.75</v>
      </c>
      <c r="R96" s="128">
        <v>3.1409979862500004E7</v>
      </c>
      <c r="S96" s="128">
        <v>4.165710649875E7</v>
      </c>
      <c r="T96" s="128">
        <v>5.438517381225001E7</v>
      </c>
      <c r="U96" s="128">
        <v>8.364269073757502E7</v>
      </c>
      <c r="V96" s="128">
        <v>1.26444543454215E8</v>
      </c>
      <c r="W96" s="128">
        <v>1.7319671982168302E8</v>
      </c>
    </row>
    <row r="97">
      <c r="A97" s="127" t="s">
        <v>69</v>
      </c>
      <c r="P97" s="127" t="s">
        <v>70</v>
      </c>
      <c r="Q97" s="135">
        <f t="array" ref="Q97:W97">{
  SUMPRODUCT(B74:B80, {B49;C49;D49;E49;F49;G49;H49}) + SUMPRODUCT(B83:B89, {L49;M49;N49;O49;P49;Q49;R49}),
  SUMPRODUCT(C74:C80, {B49;C49;D49;E49;F49;G49;H49}) + SUMPRODUCT(C83:C89, {L49;M49;N49;O49;P49;Q49;R49}),
  SUMPRODUCT(D74:D80, {B49;C49;D49;E49;F49;G49;H49}) + SUMPRODUCT(D83:D89, {L49;M49;N49;O49;P49;Q49;R49}),
  SUMPRODUCT(E74:E80, {B49;C49;D49;E49;F49;G49;H49}) + SUMPRODUCT(E83:E89, {L49;M49;N49;O49;P49;Q49;R49}),
  SUMPRODUCT(F74:F80, {B49;C49;D49;E49;F49;G49;H49}) + SUMPRODUCT(F83:F89, {L49;M49;N49;O49;P49;Q49;R49}),
  SUMPRODUCT(G74:G80, {B49;C49;D49;E49;F49;G49;H49}) + SUMPRODUCT(G83:G89, {L49;M49;N49;O49;P49;Q49;R49}),
  SUMPRODUCT(H74:H80, {B49;C49;D49;E49;F49;G49;H49}) + SUMPRODUCT(H83:H89, {L49;M49;N49;O49;P49;Q49;R49})
}</f>
        <v>3721608.638</v>
      </c>
      <c r="R97" s="135">
        <v>6525303.929625</v>
      </c>
      <c r="S97" s="135">
        <v>8764382.12955</v>
      </c>
      <c r="T97" s="135">
        <v>1.14180742026975E7</v>
      </c>
      <c r="U97" s="135">
        <v>1.7526465022397626E7</v>
      </c>
      <c r="V97" s="135">
        <v>2.6445607874725275E7</v>
      </c>
      <c r="W97" s="135">
        <v>3.6214282766312204E7</v>
      </c>
    </row>
    <row r="98">
      <c r="A98" s="136" t="s">
        <v>9</v>
      </c>
      <c r="C98" s="55">
        <f t="array" ref="C98:I98">{
  SUMPRODUCT(B74:B80, {B59;C59;D59;E59;F59;G59;H59}) + SUMPRODUCT(B83:B89, {L59;M59;N59;O59;P59;Q59;R59}),
  SUMPRODUCT(C74:C80, {B59;C59;D59;E59;F59;G59;H59}) + SUMPRODUCT(C83:C89, {L59;M59;N59;O59;P59;Q59;R59}),
  SUMPRODUCT(D74:D80, {B59;C59;D59;E59;F59;G59;H59}) + SUMPRODUCT(D83:D89, {L59;M59;N59;O59;P59;Q59;R59}),
  SUMPRODUCT(E74:E80, {B59;C59;D59;E59;F59;G59;H59}) + SUMPRODUCT(E83:E89, {L59;M59;N59;O59;P59;Q59;R59}),
  SUMPRODUCT(F74:F80, {B59;C59;D59;E59;F59;G59;H59}) + SUMPRODUCT(F83:F89, {L59;M59;N59;O59;P59;Q59;R59}),
  SUMPRODUCT(G74:G80, {B59;C59;D59;E59;F59;G59;H59}) + SUMPRODUCT(G83:G89, {L59;M59;N59;O59;P59;Q59;R59}),
  SUMPRODUCT(H74:H80, {B59;C59;D59;E59;F59;G59;H59}) + SUMPRODUCT(H83:H89, {L59;M59;N59;O59;P59;Q59;R59})
}</f>
        <v>17812913.38</v>
      </c>
      <c r="D98" s="55">
        <v>3.3239787995375007E7</v>
      </c>
      <c r="E98" s="55">
        <v>4.5300512083812505E7</v>
      </c>
      <c r="F98" s="55">
        <v>6.025539575994876E7</v>
      </c>
      <c r="G98" s="55">
        <v>9.267368090774852E7</v>
      </c>
      <c r="H98" s="55">
        <v>1.4003158778910822E8</v>
      </c>
      <c r="I98" s="55">
        <v>1.9286378663005862E8</v>
      </c>
      <c r="J98" s="55"/>
      <c r="L98" s="136" t="s">
        <v>10</v>
      </c>
      <c r="M98" s="55">
        <v>1.583019441364081E8</v>
      </c>
      <c r="P98" s="137" t="s">
        <v>71</v>
      </c>
      <c r="Q98" s="134">
        <f t="array" ref="Q98:W98">{
  SUMPRODUCT(B74:B80, {B52;C52;D52;E52;F52;G52;H52}) + SUMPRODUCT(B83:B89, {L52;M52;N52;O52;P52;Q52;R52}),
  SUMPRODUCT(C74:C80, {B52;C52;D52;E52;F52;G52;H52}) + SUMPRODUCT(C83:C89, {L52;M52;N52;O52;P52;Q52;R52}),
  SUMPRODUCT(D74:D80, {B52;C52;D52;E52;F52;G52;H52}) + SUMPRODUCT(D83:D89, {L52;M52;N52;O52;P52;Q52;R52}),
  SUMPRODUCT(E74:E80, {B52;C52;D52;E52;F52;G52;H52}) + SUMPRODUCT(E83:E89, {L52;M52;N52;O52;P52;Q52;R52}),
  SUMPRODUCT(F74:F80, {B52;C52;D52;E52;F52;G52;H52}) + SUMPRODUCT(F83:F89, {L52;M52;N52;O52;P52;Q52;R52}),
  SUMPRODUCT(G74:G80, {B52;C52;D52;E52;F52;G52;H52}) + SUMPRODUCT(G83:G89, {L52;M52;N52;O52;P52;Q52;R52}),
  SUMPRODUCT(H74:H80, {B52;C52;D52;E52;F52;G52;H52}) + SUMPRODUCT(H83:H89, {L52;M52;N52;O52;P52;Q52;R52})
}</f>
        <v>2028750</v>
      </c>
      <c r="R98" s="134">
        <v>3658512.5</v>
      </c>
      <c r="S98" s="134">
        <v>4823015.0</v>
      </c>
      <c r="T98" s="134">
        <v>6291424.25</v>
      </c>
      <c r="U98" s="134">
        <v>9679186.5375</v>
      </c>
      <c r="V98" s="134">
        <v>1.4640532532499999E7</v>
      </c>
      <c r="W98" s="134">
        <v>2.0042665851499997E7</v>
      </c>
    </row>
    <row r="99">
      <c r="A99" s="136" t="s">
        <v>10</v>
      </c>
      <c r="C99" s="55">
        <f t="array" ref="C99:I99">{
  SUMPRODUCT(B74:B80, {B60;C60;D60;E60;F60;G60;H60}) + SUMPRODUCT(B83:B89, {L60;M60;N60;O60;P60;Q60;R60}),
  SUMPRODUCT(C74:C80, {B60;C60;D60;E60;F60;G60;H60}) + SUMPRODUCT(C83:C89, {L60;M60;N60;O60;P60;Q60;R60}),
  SUMPRODUCT(D74:D80, {B60;C60;D60;E60;F60;G60;H60}) + SUMPRODUCT(D83:D89, {L60;M60;N60;O60;P60;Q60;R60}),
  SUMPRODUCT(E74:E80, {B60;C60;D60;E60;F60;G60;H60}) + SUMPRODUCT(E83:E89, {L60;M60;N60;O60;P60;Q60;R60}),
  SUMPRODUCT(F74:F80, {B60;C60;D60;E60;F60;G60;H60}) + SUMPRODUCT(F83:F89, {L60;M60;N60;O60;P60;Q60;R60}),
  SUMPRODUCT(G74:G80, {B60;C60;D60;E60;F60;G60;H60}) + SUMPRODUCT(G83:G89, {L60;M60;N60;O60;P60;Q60;R60}),
  SUMPRODUCT(H74:H80, {B60;C60;D60;E60;F60;G60;H60}) + SUMPRODUCT(H83:H89, {L60;M60;N60;O60;P60;Q60;R60})
}</f>
        <v>14010282.38</v>
      </c>
      <c r="D99" s="55">
        <v>2.634599886651625E7</v>
      </c>
      <c r="E99" s="55">
        <v>3.5796122059551254E7</v>
      </c>
      <c r="F99" s="55">
        <v>4.764307301189113E7</v>
      </c>
      <c r="G99" s="55">
        <v>7.331090395126598E7</v>
      </c>
      <c r="H99" s="55">
        <v>1.1082643793333393E8</v>
      </c>
      <c r="I99" s="55">
        <v>1.5265572855125767E8</v>
      </c>
      <c r="J99" s="55"/>
      <c r="L99" s="138" t="s">
        <v>50</v>
      </c>
      <c r="M99" s="139">
        <v>4.233690662420595E7</v>
      </c>
      <c r="P99" s="137" t="s">
        <v>72</v>
      </c>
      <c r="Q99" s="128">
        <f t="array" ref="Q99:W99">{
  SUMPRODUCT(B74:B80, {B56;C56;D56;E56;F56;G56;H56}) + SUMPRODUCT(B83:B89, {L56;M56;N56;O56;P56;Q56;R56}),
  SUMPRODUCT(C74:C80, {B56;C56;D56;E56;F56;G56;H56}) + SUMPRODUCT(C83:C89, {L56;M56;N56;O56;P56;Q56;R56}),
  SUMPRODUCT(D74:D80, {B56;C56;D56;E56;F56;G56;H56}) + SUMPRODUCT(D83:D89, {L56;M56;N56;O56;P56;Q56;R56}),
  SUMPRODUCT(E74:E80, {B56;C56;D56;E56;F56;G56;H56}) + SUMPRODUCT(E83:E89, {L56;M56;N56;O56;P56;Q56;R56}),
  SUMPRODUCT(F74:F80, {B56;C56;D56;E56;F56;G56;H56}) + SUMPRODUCT(F83:F89, {L56;M56;N56;O56;P56;Q56;R56}),
  SUMPRODUCT(G74:G80, {B56;C56;D56;E56;F56;G56;H56}) + SUMPRODUCT(G83:G89, {L56;M56;N56;O56;P56;Q56;R56}),
  SUMPRODUCT(H74:H80, {B56;C56;D56;E56;F56;G56;H56}) + SUMPRODUCT(H83:H89, {L56;M56;N56;O56;P56;Q56;R56})
}</f>
        <v>75</v>
      </c>
      <c r="R99" s="128">
        <v>135.25</v>
      </c>
      <c r="S99" s="128">
        <v>178.3</v>
      </c>
      <c r="T99" s="128">
        <v>232.585</v>
      </c>
      <c r="U99" s="128">
        <v>357.82575</v>
      </c>
      <c r="V99" s="128">
        <v>541.23965</v>
      </c>
      <c r="W99" s="128">
        <v>740.94883</v>
      </c>
    </row>
    <row r="100">
      <c r="A100" s="140" t="s">
        <v>50</v>
      </c>
      <c r="B100" s="141"/>
      <c r="C100" s="142">
        <f t="shared" ref="C100:I100" si="33">C98-C99</f>
        <v>3802631.001</v>
      </c>
      <c r="D100" s="142">
        <f t="shared" si="33"/>
        <v>6893789.129</v>
      </c>
      <c r="E100" s="142">
        <f t="shared" si="33"/>
        <v>9504390.024</v>
      </c>
      <c r="F100" s="142">
        <f t="shared" si="33"/>
        <v>12612322.75</v>
      </c>
      <c r="G100" s="142">
        <f t="shared" si="33"/>
        <v>19362776.96</v>
      </c>
      <c r="H100" s="142">
        <f t="shared" si="33"/>
        <v>29205149.86</v>
      </c>
      <c r="I100" s="142">
        <f t="shared" si="33"/>
        <v>40208058.08</v>
      </c>
      <c r="J100" s="55"/>
      <c r="L100" s="136"/>
      <c r="M100" s="55"/>
    </row>
    <row r="101">
      <c r="A101" s="136"/>
      <c r="C101" s="55"/>
      <c r="D101" s="55"/>
      <c r="E101" s="55"/>
      <c r="F101" s="55"/>
      <c r="G101" s="55"/>
      <c r="H101" s="55"/>
      <c r="I101" s="55"/>
      <c r="J101" s="55"/>
      <c r="L101" s="143" t="s">
        <v>11</v>
      </c>
      <c r="M101" s="94">
        <v>271041.74397101003</v>
      </c>
      <c r="P101" s="55" t="str">
        <f>A47</f>
        <v>Luxury Hardware Revenue</v>
      </c>
      <c r="Q101" s="144">
        <f t="array" ref="Q101:W101">{
  SUMPRODUCT($B$74:$B$80, {B47;C47;D47;E47;F47;G47;H47}) + SUMPRODUCT($B$83:$B$89, {L47;M47;N47;O47;P47;Q47;R47}),
  SUMPRODUCT($C$74:$C$80, {B47;C47;D47;E47;F47;G47;H47}) + SUMPRODUCT($C$83:$C$89, {L47;M47;N47;O47;P47;Q47;R47}),
  SUMPRODUCT($D$74:$D$80, {B47;C47;D47;E47;F47;G47;H47}) + SUMPRODUCT($D$83:$D$89, {L47;M47;N47;O47;P47;Q47;R47}),
  SUMPRODUCT($E$74:$E$80, {B47;C47;D47;E47;F47;G47;H47}) + SUMPRODUCT($E$83:$E$89, {L47;M47;N47;O47;P47;Q47;R47}),
  SUMPRODUCT($F$74:$F$80, {B47;C47;D47;E47;F47;G47;H47}) + SUMPRODUCT($F$83:$F$89, {L47;M47;N47;O47;P47;Q47;R47}),
  SUMPRODUCT($G$74:$G$80, {B47;C47;D47;E47;F47;G47;H47}) + SUMPRODUCT($G$83:$G$89, {L47;M47;N47;O47;P47;Q47;R47}),
  SUMPRODUCT($H$74:$H$80, {B47;C47;D47;E47;F47;G47;H47}) + SUMPRODUCT($H$83:$H$89, {L47;M47;N47;O47;P47;Q47;R47})
}</f>
        <v>17417733.75</v>
      </c>
      <c r="R101" s="144">
        <v>3.1409979862500004E7</v>
      </c>
      <c r="S101" s="144">
        <v>4.165710649875E7</v>
      </c>
      <c r="T101" s="144">
        <v>5.438517381225001E7</v>
      </c>
      <c r="U101" s="144">
        <v>8.364269073757502E7</v>
      </c>
      <c r="V101" s="144">
        <v>1.26444543454215E8</v>
      </c>
      <c r="W101" s="144">
        <v>1.7319671982168302E8</v>
      </c>
    </row>
    <row r="102">
      <c r="A102" s="143" t="s">
        <v>11</v>
      </c>
      <c r="C102" s="94">
        <f t="array" ref="C102:I102">{
  SUMPRODUCT(B74:B80, {B63;C63;D63;E63;F63;G63;H63}) + SUMPRODUCT(B83:B89, {L63;M63;N63;O63;P63;Q63;R63}),
  SUMPRODUCT(C74:C80, {B63;C63;D63;E63;F63;G63;H63}) + SUMPRODUCT(C83:C89, {L63;M63;N63;O63;P63;Q63;R63}),
  SUMPRODUCT(D74:D80, {B63;C63;D63;E63;F63;G63;H63}) + SUMPRODUCT(D83:D89, {L63;M63;N63;O63;P63;Q63;R63}),
  SUMPRODUCT(E74:E80, {B63;C63;D63;E63;F63;G63;H63}) + SUMPRODUCT(E83:E89, {L63;M63;N63;O63;P63;Q63;R63}),
  SUMPRODUCT(F74:F80, {B63;C63;D63;E63;F63;G63;H63}) + SUMPRODUCT(F83:F89, {L63;M63;N63;O63;P63;Q63;R63}),
  SUMPRODUCT(G74:G80, {B63;C63;D63;E63;F63;G63;H63}) + SUMPRODUCT(G83:G89, {L63;M63;N63;O63;P63;Q63;R63}),
  SUMPRODUCT(H74:H80, {B63;C63;D63;E63;F63;G63;H63}) + SUMPRODUCT(H83:H89, {L63;M63;N63;O63;P63;Q63;R63})
}</f>
        <v>18761.71</v>
      </c>
      <c r="D102" s="94">
        <v>41011.181500000006</v>
      </c>
      <c r="E102" s="94">
        <v>61931.01400000001</v>
      </c>
      <c r="F102" s="94">
        <v>87877.06624750001</v>
      </c>
      <c r="G102" s="94">
        <v>135177.44327575003</v>
      </c>
      <c r="H102" s="94">
        <v>204013.56920965004</v>
      </c>
      <c r="I102" s="94">
        <v>286128.39923033</v>
      </c>
      <c r="J102" s="55"/>
      <c r="L102" s="136" t="s">
        <v>12</v>
      </c>
      <c r="M102" s="55">
        <v>3.388021799637625E7</v>
      </c>
    </row>
    <row r="103">
      <c r="A103" s="136" t="s">
        <v>12</v>
      </c>
      <c r="C103" s="55">
        <f>C102*InputVariables!$E$2</f>
        <v>2345213.75</v>
      </c>
      <c r="D103" s="55">
        <f>D102*InputVariables!$E$2</f>
        <v>5126397.688</v>
      </c>
      <c r="E103" s="55">
        <f>E102*InputVariables!$E$2</f>
        <v>7741376.75</v>
      </c>
      <c r="F103" s="55">
        <f>F102*InputVariables!$E$2</f>
        <v>10984633.28</v>
      </c>
      <c r="G103" s="55">
        <f>G102*InputVariables!$E$2</f>
        <v>16897180.41</v>
      </c>
      <c r="H103" s="55">
        <f>H102*InputVariables!$E$2</f>
        <v>25501696.15</v>
      </c>
      <c r="I103" s="55">
        <f>I102*InputVariables!$E$2</f>
        <v>35766049.9</v>
      </c>
      <c r="J103" s="55"/>
      <c r="L103" s="145" t="s">
        <v>73</v>
      </c>
      <c r="M103" s="55">
        <v>2.4393756957390904E7</v>
      </c>
    </row>
    <row r="104">
      <c r="A104" s="145" t="s">
        <v>74</v>
      </c>
      <c r="C104" s="55">
        <f>C102*InputVariables!$E$3</f>
        <v>1688553.9</v>
      </c>
      <c r="D104" s="55">
        <f>D102*InputVariables!$E$3</f>
        <v>3691006.335</v>
      </c>
      <c r="E104" s="55">
        <f>E102*InputVariables!$E$3</f>
        <v>5573791.26</v>
      </c>
      <c r="F104" s="55">
        <f>F102*InputVariables!$E$3</f>
        <v>7908935.962</v>
      </c>
      <c r="G104" s="55">
        <f>G102*InputVariables!$E$3</f>
        <v>12165969.89</v>
      </c>
      <c r="H104" s="55">
        <f>H102*InputVariables!$E$3</f>
        <v>18361221.23</v>
      </c>
      <c r="I104" s="55">
        <f>I102*InputVariables!$E$3</f>
        <v>25751555.93</v>
      </c>
      <c r="J104" s="55"/>
      <c r="L104" s="138" t="s">
        <v>51</v>
      </c>
      <c r="M104" s="139">
        <v>9486461.03898535</v>
      </c>
    </row>
    <row r="105">
      <c r="A105" s="140" t="s">
        <v>51</v>
      </c>
      <c r="B105" s="141"/>
      <c r="C105" s="142">
        <f t="shared" ref="C105:I105" si="34">C103-C104</f>
        <v>656659.85</v>
      </c>
      <c r="D105" s="142">
        <f t="shared" si="34"/>
        <v>1435391.353</v>
      </c>
      <c r="E105" s="142">
        <f t="shared" si="34"/>
        <v>2167585.49</v>
      </c>
      <c r="F105" s="142">
        <f t="shared" si="34"/>
        <v>3075697.319</v>
      </c>
      <c r="G105" s="142">
        <f t="shared" si="34"/>
        <v>4731210.515</v>
      </c>
      <c r="H105" s="142">
        <f t="shared" si="34"/>
        <v>7140474.922</v>
      </c>
      <c r="I105" s="142">
        <f t="shared" si="34"/>
        <v>10014493.97</v>
      </c>
      <c r="J105" s="55"/>
      <c r="L105" s="136"/>
      <c r="M105" s="55"/>
    </row>
    <row r="106">
      <c r="A106" s="136"/>
      <c r="C106" s="55"/>
      <c r="D106" s="55"/>
      <c r="E106" s="55"/>
      <c r="F106" s="55"/>
      <c r="G106" s="55"/>
      <c r="H106" s="55"/>
      <c r="I106" s="55"/>
      <c r="J106" s="55"/>
      <c r="L106" s="136" t="s">
        <v>75</v>
      </c>
      <c r="M106" s="55">
        <v>2.3451906875699028E8</v>
      </c>
    </row>
    <row r="107">
      <c r="A107" s="145" t="s">
        <v>76</v>
      </c>
      <c r="C107" s="55">
        <f t="shared" ref="C107:I107" si="35">Q186</f>
        <v>1113325.61</v>
      </c>
      <c r="D107" s="55">
        <f t="shared" si="35"/>
        <v>2964177.835</v>
      </c>
      <c r="E107" s="55">
        <f t="shared" si="35"/>
        <v>5375937.684</v>
      </c>
      <c r="F107" s="55">
        <f t="shared" si="35"/>
        <v>7441718.216</v>
      </c>
      <c r="G107" s="55">
        <f t="shared" si="35"/>
        <v>11999957.19</v>
      </c>
      <c r="H107" s="55">
        <f t="shared" si="35"/>
        <v>18566952.33</v>
      </c>
      <c r="I107" s="55">
        <f t="shared" si="35"/>
        <v>27400803.97</v>
      </c>
      <c r="J107" s="55"/>
      <c r="L107" s="146"/>
      <c r="M107" s="147"/>
    </row>
    <row r="108">
      <c r="A108" s="145" t="s">
        <v>77</v>
      </c>
      <c r="C108" s="55">
        <f t="shared" ref="C108:I108" si="36">Q187</f>
        <v>779327.927</v>
      </c>
      <c r="D108" s="55">
        <f t="shared" si="36"/>
        <v>2074924.484</v>
      </c>
      <c r="E108" s="55">
        <f t="shared" si="36"/>
        <v>3763156.379</v>
      </c>
      <c r="F108" s="55">
        <f t="shared" si="36"/>
        <v>5209202.751</v>
      </c>
      <c r="G108" s="55">
        <f t="shared" si="36"/>
        <v>8399970.036</v>
      </c>
      <c r="H108" s="55">
        <f t="shared" si="36"/>
        <v>12996866.63</v>
      </c>
      <c r="I108" s="55">
        <f t="shared" si="36"/>
        <v>19180562.78</v>
      </c>
      <c r="J108" s="55"/>
      <c r="L108" s="146"/>
      <c r="M108" s="147"/>
    </row>
    <row r="109">
      <c r="A109" s="148" t="s">
        <v>78</v>
      </c>
      <c r="B109" s="141"/>
      <c r="C109" s="142">
        <f t="shared" ref="C109:I109" si="37">C107-C108</f>
        <v>333997.683</v>
      </c>
      <c r="D109" s="142">
        <f t="shared" si="37"/>
        <v>889253.3505</v>
      </c>
      <c r="E109" s="142">
        <f t="shared" si="37"/>
        <v>1612781.305</v>
      </c>
      <c r="F109" s="142">
        <f t="shared" si="37"/>
        <v>2232515.465</v>
      </c>
      <c r="G109" s="142">
        <f t="shared" si="37"/>
        <v>3599987.158</v>
      </c>
      <c r="H109" s="142">
        <f t="shared" si="37"/>
        <v>5570085.698</v>
      </c>
      <c r="I109" s="142">
        <f t="shared" si="37"/>
        <v>8220241.19</v>
      </c>
      <c r="J109" s="55"/>
      <c r="L109" s="146"/>
      <c r="M109" s="147"/>
      <c r="P109" s="144" t="str">
        <f t="shared" ref="P109:P114" si="38">A10</f>
        <v/>
      </c>
    </row>
    <row r="110">
      <c r="A110" s="136"/>
      <c r="C110" s="55"/>
      <c r="D110" s="55"/>
      <c r="E110" s="55"/>
      <c r="F110" s="55"/>
      <c r="G110" s="55"/>
      <c r="H110" s="55"/>
      <c r="I110" s="55"/>
      <c r="J110" s="55"/>
      <c r="L110" s="146"/>
      <c r="M110" s="147"/>
      <c r="P110" s="144" t="str">
        <f t="shared" si="38"/>
        <v>Gross Profit</v>
      </c>
    </row>
    <row r="111">
      <c r="A111" s="148" t="s">
        <v>79</v>
      </c>
      <c r="B111" s="141"/>
      <c r="C111" s="142">
        <f>C127*InputVariables!$H$19*((C98+C103)/C127)*InputVariables!$H$20</f>
        <v>100790.6356</v>
      </c>
      <c r="D111" s="142">
        <f>D127*InputVariables!$H$19*((D98+D103)/D127)*InputVariables!$H$20</f>
        <v>191830.9284</v>
      </c>
      <c r="E111" s="142">
        <f>E127*InputVariables!$H$19*((E98+E103)/E127)*InputVariables!$H$20</f>
        <v>265209.4442</v>
      </c>
      <c r="F111" s="142">
        <f>F127*InputVariables!$H$19*((F98+F103)/F127)*InputVariables!$H$20</f>
        <v>356200.1452</v>
      </c>
      <c r="G111" s="142">
        <f>G127*InputVariables!$H$19*((G98+G103)/G127)*InputVariables!$H$20</f>
        <v>547854.3066</v>
      </c>
      <c r="H111" s="142">
        <f>H127*InputVariables!$H$19*((H98+H103)/H127)*InputVariables!$H$20</f>
        <v>827666.4197</v>
      </c>
      <c r="I111" s="142">
        <f>I127*InputVariables!$H$19*((I98+I103)/I127)*InputVariables!$H$20</f>
        <v>1143149.183</v>
      </c>
      <c r="J111" s="55"/>
      <c r="L111" s="146"/>
      <c r="M111" s="147"/>
      <c r="P111" s="144" t="str">
        <f t="shared" si="38"/>
        <v/>
      </c>
    </row>
    <row r="112">
      <c r="A112" s="136"/>
      <c r="C112" s="55"/>
      <c r="D112" s="55"/>
      <c r="E112" s="55"/>
      <c r="F112" s="55"/>
      <c r="G112" s="55"/>
      <c r="H112" s="55"/>
      <c r="I112" s="55"/>
      <c r="J112" s="55"/>
      <c r="L112" s="146"/>
      <c r="M112" s="147"/>
      <c r="P112" s="144" t="str">
        <f t="shared" si="38"/>
        <v/>
      </c>
    </row>
    <row r="113">
      <c r="A113" s="136" t="s">
        <v>75</v>
      </c>
      <c r="C113" s="55">
        <f t="shared" ref="C113:I113" si="39">C98+C103+C107+C111</f>
        <v>21372243.37</v>
      </c>
      <c r="D113" s="55">
        <f t="shared" si="39"/>
        <v>41522194.45</v>
      </c>
      <c r="E113" s="55">
        <f t="shared" si="39"/>
        <v>58683035.96</v>
      </c>
      <c r="F113" s="55">
        <f t="shared" si="39"/>
        <v>79037947.4</v>
      </c>
      <c r="G113" s="55">
        <f t="shared" si="39"/>
        <v>122118672.8</v>
      </c>
      <c r="H113" s="55">
        <f t="shared" si="39"/>
        <v>184927902.7</v>
      </c>
      <c r="I113" s="55">
        <f t="shared" si="39"/>
        <v>257173789.7</v>
      </c>
      <c r="J113" s="55"/>
      <c r="L113" s="148" t="s">
        <v>80</v>
      </c>
      <c r="M113" s="142">
        <v>5.1823367663191296E7</v>
      </c>
      <c r="P113" s="144" t="str">
        <f t="shared" si="38"/>
        <v/>
      </c>
    </row>
    <row r="114">
      <c r="A114" s="148" t="s">
        <v>81</v>
      </c>
      <c r="B114" s="149"/>
      <c r="C114" s="142">
        <f t="shared" ref="C114:I114" si="40">C100+C103+C107+C111</f>
        <v>7361960.997</v>
      </c>
      <c r="D114" s="142">
        <f t="shared" si="40"/>
        <v>15176195.58</v>
      </c>
      <c r="E114" s="142">
        <f t="shared" si="40"/>
        <v>22886913.9</v>
      </c>
      <c r="F114" s="142">
        <f t="shared" si="40"/>
        <v>31394874.39</v>
      </c>
      <c r="G114" s="142">
        <f t="shared" si="40"/>
        <v>48807768.87</v>
      </c>
      <c r="H114" s="142">
        <f t="shared" si="40"/>
        <v>74101464.75</v>
      </c>
      <c r="I114" s="142">
        <f t="shared" si="40"/>
        <v>104518061.1</v>
      </c>
      <c r="J114" s="55"/>
      <c r="L114" s="143"/>
      <c r="M114" s="94"/>
      <c r="P114" s="144" t="str">
        <f t="shared" si="38"/>
        <v/>
      </c>
    </row>
    <row r="115">
      <c r="A115" s="143"/>
      <c r="C115" s="94"/>
      <c r="D115" s="94"/>
      <c r="E115" s="94"/>
      <c r="F115" s="94"/>
      <c r="G115" s="94"/>
      <c r="H115" s="94"/>
      <c r="I115" s="94"/>
      <c r="J115" s="55"/>
      <c r="L115" s="143" t="s">
        <v>82</v>
      </c>
      <c r="M115" s="94">
        <v>3627635.736423391</v>
      </c>
    </row>
    <row r="116">
      <c r="A116" s="143" t="s">
        <v>82</v>
      </c>
      <c r="C116" s="94">
        <f>C$114*InputVariables!H3</f>
        <v>1104294.15</v>
      </c>
      <c r="D116" s="94">
        <f>D$114*InputVariables!I3</f>
        <v>2124667.381</v>
      </c>
      <c r="E116" s="94">
        <f>E$114*InputVariables!J3</f>
        <v>2975298.807</v>
      </c>
      <c r="F116" s="94">
        <f>F$114*InputVariables!K3</f>
        <v>3767384.927</v>
      </c>
      <c r="G116" s="94">
        <f>G$114*InputVariables!L3</f>
        <v>5368854.575</v>
      </c>
      <c r="H116" s="94">
        <f>H$114*InputVariables!M3</f>
        <v>7410146.475</v>
      </c>
      <c r="I116" s="94">
        <f>I$114*InputVariables!N3</f>
        <v>9406625.502</v>
      </c>
      <c r="J116" s="55"/>
      <c r="L116" s="143" t="s">
        <v>83</v>
      </c>
      <c r="M116" s="94">
        <v>7255271.472846782</v>
      </c>
    </row>
    <row r="117">
      <c r="A117" s="143" t="s">
        <v>83</v>
      </c>
      <c r="C117" s="94">
        <f>C$114*InputVariables!H4</f>
        <v>1472392.199</v>
      </c>
      <c r="D117" s="94">
        <f>D$114*InputVariables!I4</f>
        <v>2883477.16</v>
      </c>
      <c r="E117" s="94">
        <f>E$114*InputVariables!J4</f>
        <v>4119644.502</v>
      </c>
      <c r="F117" s="94">
        <f>F$114*InputVariables!K4</f>
        <v>5337128.646</v>
      </c>
      <c r="G117" s="94">
        <f>G$114*InputVariables!L4</f>
        <v>7809243.019</v>
      </c>
      <c r="H117" s="94">
        <f>H$114*InputVariables!M4</f>
        <v>11115219.71</v>
      </c>
      <c r="I117" s="94">
        <f>I$114*InputVariables!N4</f>
        <v>14632528.56</v>
      </c>
      <c r="J117" s="55"/>
      <c r="L117" s="143" t="s">
        <v>84</v>
      </c>
      <c r="M117" s="94">
        <v>2591168.383159565</v>
      </c>
      <c r="Q117" s="84"/>
      <c r="R117" s="84"/>
      <c r="S117" s="84"/>
      <c r="T117" s="84"/>
      <c r="U117" s="84"/>
      <c r="V117" s="84"/>
      <c r="W117" s="84"/>
    </row>
    <row r="118">
      <c r="A118" s="143" t="s">
        <v>84</v>
      </c>
      <c r="C118" s="94">
        <f>C$114*InputVariables!H5</f>
        <v>588956.8798</v>
      </c>
      <c r="D118" s="94">
        <f>D$114*InputVariables!I5</f>
        <v>1062333.691</v>
      </c>
      <c r="E118" s="94">
        <f>E$114*InputVariables!J5</f>
        <v>1373214.834</v>
      </c>
      <c r="F118" s="94">
        <f>F$114*InputVariables!K5</f>
        <v>1883692.463</v>
      </c>
      <c r="G118" s="94">
        <f>G$114*InputVariables!L5</f>
        <v>2440388.443</v>
      </c>
      <c r="H118" s="94">
        <f>H$114*InputVariables!M5</f>
        <v>3705073.238</v>
      </c>
      <c r="I118" s="94">
        <f>I$114*InputVariables!N5</f>
        <v>5225903.057</v>
      </c>
      <c r="J118" s="55"/>
      <c r="L118" s="143" t="s">
        <v>85</v>
      </c>
      <c r="M118" s="94">
        <v>951300.0</v>
      </c>
      <c r="P118" s="144" t="str">
        <f t="shared" ref="P118:P128" si="43">A19</f>
        <v/>
      </c>
      <c r="Q118" s="150" t="s">
        <v>18</v>
      </c>
      <c r="R118" s="150" t="s">
        <v>19</v>
      </c>
      <c r="S118" s="150" t="s">
        <v>20</v>
      </c>
      <c r="T118" s="150" t="s">
        <v>21</v>
      </c>
      <c r="U118" s="150" t="s">
        <v>22</v>
      </c>
      <c r="V118" s="150" t="s">
        <v>23</v>
      </c>
      <c r="W118" s="150" t="s">
        <v>24</v>
      </c>
      <c r="Z118" s="144" t="str">
        <f t="shared" ref="Z118:AG118" si="41">P118</f>
        <v/>
      </c>
      <c r="AA118" s="151" t="str">
        <f t="shared" si="41"/>
        <v>Year 1</v>
      </c>
      <c r="AB118" s="151" t="str">
        <f t="shared" si="41"/>
        <v>Year 2</v>
      </c>
      <c r="AC118" s="151" t="str">
        <f t="shared" si="41"/>
        <v>Year 3</v>
      </c>
      <c r="AD118" s="151" t="str">
        <f t="shared" si="41"/>
        <v>Year 4</v>
      </c>
      <c r="AE118" s="151" t="str">
        <f t="shared" si="41"/>
        <v>Year 5</v>
      </c>
      <c r="AF118" s="151" t="str">
        <f t="shared" si="41"/>
        <v>Year 6</v>
      </c>
      <c r="AG118" s="151" t="str">
        <f t="shared" si="41"/>
        <v>Year 7</v>
      </c>
    </row>
    <row r="119">
      <c r="A119" s="152" t="s">
        <v>86</v>
      </c>
      <c r="B119" s="149"/>
      <c r="C119" s="153">
        <f t="shared" ref="C119:I119" si="42">sum(C116:C118)</f>
        <v>3165643.229</v>
      </c>
      <c r="D119" s="153">
        <f t="shared" si="42"/>
        <v>6070478.232</v>
      </c>
      <c r="E119" s="153">
        <f t="shared" si="42"/>
        <v>8468158.144</v>
      </c>
      <c r="F119" s="153">
        <f t="shared" si="42"/>
        <v>10988206.04</v>
      </c>
      <c r="G119" s="153">
        <f t="shared" si="42"/>
        <v>15618486.04</v>
      </c>
      <c r="H119" s="153">
        <f t="shared" si="42"/>
        <v>22230439.43</v>
      </c>
      <c r="I119" s="153">
        <f t="shared" si="42"/>
        <v>29265057.12</v>
      </c>
      <c r="J119" s="55"/>
      <c r="L119" s="143"/>
      <c r="M119" s="94"/>
      <c r="P119" s="144" t="str">
        <f t="shared" si="43"/>
        <v>Basic Hardware Revenue</v>
      </c>
      <c r="Q119" s="135">
        <f t="array" ref="Q119:W119">{
  SUMPRODUCT($B$74:$B$80, {B20;C20;D20;E20;F20;G20;H20}) + SUMPRODUCT($B$83:$B$89, {L20;M20;N20;O20;P20;Q20;R20}),
  SUMPRODUCT($C$74:$C$80, {B20;C20;D20;E20;F20;G20;H20}) + SUMPRODUCT($C$83:$C$89, {L20;M20;N20;O20;P20;Q20;R20}),
  SUMPRODUCT($D$74:$D$80, {B20;C20;D20;E20;F20;G20;H20}) + SUMPRODUCT($D$83:$D$89, {L20;M20;N20;O20;P20;Q20;R20}),
  SUMPRODUCT($E$74:$E$80, {B20;C20;D20;E20;F20;G20;H20}) + SUMPRODUCT($E$83:$E$89, {L20;M20;N20;O20;P20;Q20;R20}),
  SUMPRODUCT($F$74:$F$80, {B20;C20;D20;E20;F20;G20;H20}) + SUMPRODUCT($F$83:$F$89, {L20;M20;N20;O20;P20;Q20;R20}),
  SUMPRODUCT($G$74:$G$80, {B20;C20;D20;E20;F20;G20;H20}) + SUMPRODUCT($G$83:$G$89, {L20;M20;N20;O20;P20;Q20;R20}),
  SUMPRODUCT($H$74:$H$80, {B20;C20;D20;E20;F20;G20;H20}) + SUMPRODUCT($H$83:$H$89, {L20;M20;N20;O20;P20;Q20;R20})
}</f>
        <v>20336.1275</v>
      </c>
      <c r="R119" s="144">
        <v>114899.120375</v>
      </c>
      <c r="S119" s="144">
        <v>269718.3325625</v>
      </c>
      <c r="T119" s="144">
        <v>363513.07851125003</v>
      </c>
      <c r="U119" s="144">
        <v>534359.132711</v>
      </c>
      <c r="V119" s="144">
        <v>797332.3611257001</v>
      </c>
      <c r="W119" s="144">
        <v>1180446.81947959</v>
      </c>
      <c r="Z119" s="144" t="str">
        <f t="shared" ref="Z119:AG119" si="44">P119</f>
        <v>Basic Hardware Revenue</v>
      </c>
      <c r="AA119" s="135">
        <f t="shared" si="44"/>
        <v>20336.1275</v>
      </c>
      <c r="AB119" s="144">
        <f t="shared" si="44"/>
        <v>114899.1204</v>
      </c>
      <c r="AC119" s="144">
        <f t="shared" si="44"/>
        <v>269718.3326</v>
      </c>
      <c r="AD119" s="144">
        <f t="shared" si="44"/>
        <v>363513.0785</v>
      </c>
      <c r="AE119" s="144">
        <f t="shared" si="44"/>
        <v>534359.1327</v>
      </c>
      <c r="AF119" s="144">
        <f t="shared" si="44"/>
        <v>797332.3611</v>
      </c>
      <c r="AG119" s="144">
        <f t="shared" si="44"/>
        <v>1180446.819</v>
      </c>
    </row>
    <row r="120">
      <c r="A120" s="143"/>
      <c r="C120" s="94"/>
      <c r="D120" s="94"/>
      <c r="E120" s="94"/>
      <c r="F120" s="94"/>
      <c r="G120" s="94"/>
      <c r="H120" s="94"/>
      <c r="I120" s="94"/>
      <c r="J120" s="55"/>
      <c r="L120" s="154" t="s">
        <v>87</v>
      </c>
      <c r="M120" s="155">
        <v>3.739799207076156E7</v>
      </c>
      <c r="P120" s="144" t="str">
        <f t="shared" si="43"/>
        <v>Basic Hardware COGS</v>
      </c>
      <c r="Q120" s="135">
        <f t="array" ref="Q120:W120">{
  SUMPRODUCT($B$74:$B$80, {B21;C21;D21;E21;F21;G21;H21}) + SUMPRODUCT($B$83:$B$89, {L21;M21;N21;O21;P21;Q21;R21}),
  SUMPRODUCT($C$74:$C$80, {B21;C21;D21;E21;F21;G21;H21}) + SUMPRODUCT($C$83:$C$89, {L21;M21;N21;O21;P21;Q21;R21}),
  SUMPRODUCT($D$74:$D$80, {B21;C21;D21;E21;F21;G21;H21}) + SUMPRODUCT($D$83:$D$89, {L21;M21;N21;O21;P21;Q21;R21}),
  SUMPRODUCT($E$74:$E$80, {B21;C21;D21;E21;F21;G21;H21}) + SUMPRODUCT($E$83:$E$89, {L21;M21;N21;O21;P21;Q21;R21}),
  SUMPRODUCT($F$74:$F$80, {B21;C21;D21;E21;F21;G21;H21}) + SUMPRODUCT($F$83:$F$89, {L21;M21;N21;O21;P21;Q21;R21}),
  SUMPRODUCT($G$74:$G$80, {B21;C21;D21;E21;F21;G21;H21}) + SUMPRODUCT($G$83:$G$89, {L21;M21;N21;O21;P21;Q21;R21}),
  SUMPRODUCT($H$74:$H$80, {B21;C21;D21;E21;F21;G21;H21}) + SUMPRODUCT($H$83:$H$89, {L21;M21;N21;O21;P21;Q21;R21})
}</f>
        <v>16622.98853</v>
      </c>
      <c r="R120" s="144">
        <v>95413.73801624999</v>
      </c>
      <c r="S120" s="144">
        <v>219945.52191375004</v>
      </c>
      <c r="T120" s="144">
        <v>298371.85137455625</v>
      </c>
      <c r="U120" s="144">
        <v>439634.9466515644</v>
      </c>
      <c r="V120" s="144">
        <v>657553.2021145991</v>
      </c>
      <c r="W120" s="144">
        <v>972991.8249874285</v>
      </c>
      <c r="Z120" s="144" t="str">
        <f t="shared" ref="Z120:AG120" si="45">P120</f>
        <v>Basic Hardware COGS</v>
      </c>
      <c r="AA120" s="135">
        <f t="shared" si="45"/>
        <v>16622.98853</v>
      </c>
      <c r="AB120" s="144">
        <f t="shared" si="45"/>
        <v>95413.73802</v>
      </c>
      <c r="AC120" s="144">
        <f t="shared" si="45"/>
        <v>219945.5219</v>
      </c>
      <c r="AD120" s="144">
        <f t="shared" si="45"/>
        <v>298371.8514</v>
      </c>
      <c r="AE120" s="144">
        <f t="shared" si="45"/>
        <v>439634.9467</v>
      </c>
      <c r="AF120" s="144">
        <f t="shared" si="45"/>
        <v>657553.2021</v>
      </c>
      <c r="AG120" s="144">
        <f t="shared" si="45"/>
        <v>972991.825</v>
      </c>
    </row>
    <row r="121">
      <c r="A121" s="154" t="s">
        <v>87</v>
      </c>
      <c r="B121" s="156"/>
      <c r="C121" s="155">
        <f t="shared" ref="C121:I121" si="46">(C98-C99)+(C103-C104)+(C107-C108)+C111-C119</f>
        <v>1728435.941</v>
      </c>
      <c r="D121" s="155">
        <f t="shared" si="46"/>
        <v>3339786.528</v>
      </c>
      <c r="E121" s="155">
        <f t="shared" si="46"/>
        <v>5081808.12</v>
      </c>
      <c r="F121" s="155">
        <f t="shared" si="46"/>
        <v>7288529.64</v>
      </c>
      <c r="G121" s="155">
        <f t="shared" si="46"/>
        <v>12623342.9</v>
      </c>
      <c r="H121" s="155">
        <f t="shared" si="46"/>
        <v>20512937.47</v>
      </c>
      <c r="I121" s="155">
        <f t="shared" si="46"/>
        <v>30320885.31</v>
      </c>
      <c r="J121" s="55"/>
      <c r="P121" s="144" t="str">
        <f t="shared" si="43"/>
        <v>Basic Hardware Margin</v>
      </c>
      <c r="Q121" s="135">
        <f t="array" ref="Q121:W121">{
  SUMPRODUCT($B$74:$B$80, {B22;C22;D22;E22;F22;G22;H22}) + SUMPRODUCT($B$83:$B$89, {L22;M22;N22;O22;P22;Q22;R22}),
  SUMPRODUCT($C$74:$C$80, {B22;C22;D22;E22;F22;G22;H22}) + SUMPRODUCT($C$83:$C$89, {L22;M22;N22;O22;P22;Q22;R22}),
  SUMPRODUCT($D$74:$D$80, {B22;C22;D22;E22;F22;G22;H22}) + SUMPRODUCT($D$83:$D$89, {L22;M22;N22;O22;P22;Q22;R22}),
  SUMPRODUCT($E$74:$E$80, {B22;C22;D22;E22;F22;G22;H22}) + SUMPRODUCT($E$83:$E$89, {L22;M22;N22;O22;P22;Q22;R22}),
  SUMPRODUCT($F$74:$F$80, {B22;C22;D22;E22;F22;G22;H22}) + SUMPRODUCT($F$83:$F$89, {L22;M22;N22;O22;P22;Q22;R22}),
  SUMPRODUCT($G$74:$G$80, {B22;C22;D22;E22;F22;G22;H22}) + SUMPRODUCT($G$83:$G$89, {L22;M22;N22;O22;P22;Q22;R22}),
  SUMPRODUCT($H$74:$H$80, {B22;C22;D22;E22;F22;G22;H22}) + SUMPRODUCT($H$83:$H$89, {L22;M22;N22;O22;P22;Q22;R22})
}</f>
        <v>3713.138975</v>
      </c>
      <c r="R121" s="144">
        <v>19485.382358749994</v>
      </c>
      <c r="S121" s="144">
        <v>49772.810648750004</v>
      </c>
      <c r="T121" s="144">
        <v>65141.22713669375</v>
      </c>
      <c r="U121" s="144">
        <v>94724.18605943563</v>
      </c>
      <c r="V121" s="144">
        <v>139779.15901110088</v>
      </c>
      <c r="W121" s="144">
        <v>207454.99449216167</v>
      </c>
      <c r="Z121" s="144" t="str">
        <f t="shared" ref="Z121:AG121" si="47">P121</f>
        <v>Basic Hardware Margin</v>
      </c>
      <c r="AA121" s="135">
        <f t="shared" si="47"/>
        <v>3713.138975</v>
      </c>
      <c r="AB121" s="144">
        <f t="shared" si="47"/>
        <v>19485.38236</v>
      </c>
      <c r="AC121" s="144">
        <f t="shared" si="47"/>
        <v>49772.81065</v>
      </c>
      <c r="AD121" s="144">
        <f t="shared" si="47"/>
        <v>65141.22714</v>
      </c>
      <c r="AE121" s="144">
        <f t="shared" si="47"/>
        <v>94724.18606</v>
      </c>
      <c r="AF121" s="144">
        <f t="shared" si="47"/>
        <v>139779.159</v>
      </c>
      <c r="AG121" s="144">
        <f t="shared" si="47"/>
        <v>207454.9945</v>
      </c>
    </row>
    <row r="122">
      <c r="A122" s="43"/>
      <c r="J122" s="55"/>
      <c r="P122" s="144" t="str">
        <f t="shared" si="43"/>
        <v/>
      </c>
      <c r="Q122" s="135">
        <f t="array" ref="Q122:W122">{
  SUMPRODUCT($B$74:$B$80, {B23;C23;D23;E23;F23;G23;H23}) + SUMPRODUCT($B$83:$B$89, {L23;M23;N23;O23;P23;Q23;R23}),
  SUMPRODUCT($C$74:$C$80, {B23;C23;D23;E23;F23;G23;H23}) + SUMPRODUCT($C$83:$C$89, {L23;M23;N23;O23;P23;Q23;R23}),
  SUMPRODUCT($D$74:$D$80, {B23;C23;D23;E23;F23;G23;H23}) + SUMPRODUCT($D$83:$D$89, {L23;M23;N23;O23;P23;Q23;R23}),
  SUMPRODUCT($E$74:$E$80, {B23;C23;D23;E23;F23;G23;H23}) + SUMPRODUCT($E$83:$E$89, {L23;M23;N23;O23;P23;Q23;R23}),
  SUMPRODUCT($F$74:$F$80, {B23;C23;D23;E23;F23;G23;H23}) + SUMPRODUCT($F$83:$F$89, {L23;M23;N23;O23;P23;Q23;R23}),
  SUMPRODUCT($G$74:$G$80, {B23;C23;D23;E23;F23;G23;H23}) + SUMPRODUCT($G$83:$G$89, {L23;M23;N23;O23;P23;Q23;R23}),
  SUMPRODUCT($H$74:$H$80, {B23;C23;D23;E23;F23;G23;H23}) + SUMPRODUCT($H$83:$H$89, {L23;M23;N23;O23;P23;Q23;R23})
}</f>
        <v>0</v>
      </c>
      <c r="R122" s="144">
        <v>0.0</v>
      </c>
      <c r="S122" s="144">
        <v>0.0</v>
      </c>
      <c r="T122" s="144">
        <v>0.0</v>
      </c>
      <c r="U122" s="144">
        <v>0.0</v>
      </c>
      <c r="V122" s="144">
        <v>0.0</v>
      </c>
      <c r="W122" s="144">
        <v>0.0</v>
      </c>
      <c r="Z122" s="144" t="str">
        <f t="shared" ref="Z122:AG122" si="48">P122</f>
        <v/>
      </c>
      <c r="AA122" s="135">
        <f t="shared" si="48"/>
        <v>0</v>
      </c>
      <c r="AB122" s="144">
        <f t="shared" si="48"/>
        <v>0</v>
      </c>
      <c r="AC122" s="144">
        <f t="shared" si="48"/>
        <v>0</v>
      </c>
      <c r="AD122" s="144">
        <f t="shared" si="48"/>
        <v>0</v>
      </c>
      <c r="AE122" s="144">
        <f t="shared" si="48"/>
        <v>0</v>
      </c>
      <c r="AF122" s="144">
        <f t="shared" si="48"/>
        <v>0</v>
      </c>
      <c r="AG122" s="144">
        <f t="shared" si="48"/>
        <v>0</v>
      </c>
    </row>
    <row r="123">
      <c r="A123" s="143" t="s">
        <v>85</v>
      </c>
      <c r="C123" s="94">
        <f>C143*InputVariables!$E$26</f>
        <v>398250</v>
      </c>
      <c r="D123" s="94">
        <f>D143*InputVariables!$E$26</f>
        <v>398250</v>
      </c>
      <c r="E123" s="94">
        <f>E143*InputVariables!$E$26</f>
        <v>1059750</v>
      </c>
      <c r="F123" s="94">
        <f>F143*InputVariables!$E$26</f>
        <v>1059750</v>
      </c>
      <c r="G123" s="94">
        <f>G143*InputVariables!$E$26</f>
        <v>1480950</v>
      </c>
      <c r="H123" s="94">
        <f>H143*InputVariables!$E$26</f>
        <v>1480950</v>
      </c>
      <c r="I123" s="94">
        <f>I143*InputVariables!$E$26</f>
        <v>1480950</v>
      </c>
      <c r="J123" s="55"/>
      <c r="P123" s="144" t="str">
        <f t="shared" si="43"/>
        <v>Basic Labor Hours</v>
      </c>
      <c r="Q123" s="135">
        <f t="array" ref="Q123:W123">{
  SUMPRODUCT($B$74:$B$80, {B24;C24;D24;E24;F24;G24;H24}) + SUMPRODUCT($B$83:$B$89, {L24;M24;N24;O24;P24;Q24;R24}),
  SUMPRODUCT($C$74:$C$80, {B24;C24;D24;E24;F24;G24;H24}) + SUMPRODUCT($C$83:$C$89, {L24;M24;N24;O24;P24;Q24;R24}),
  SUMPRODUCT($D$74:$D$80, {B24;C24;D24;E24;F24;G24;H24}) + SUMPRODUCT($D$83:$D$89, {L24;M24;N24;O24;P24;Q24;R24}),
  SUMPRODUCT($E$74:$E$80, {B24;C24;D24;E24;F24;G24;H24}) + SUMPRODUCT($E$83:$E$89, {L24;M24;N24;O24;P24;Q24;R24}),
  SUMPRODUCT($F$74:$F$80, {B24;C24;D24;E24;F24;G24;H24}) + SUMPRODUCT($F$83:$F$89, {L24;M24;N24;O24;P24;Q24;R24}),
  SUMPRODUCT($G$74:$G$80, {B24;C24;D24;E24;F24;G24;H24}) + SUMPRODUCT($G$83:$G$89, {L24;M24;N24;O24;P24;Q24;R24}),
  SUMPRODUCT($H$74:$H$80, {B24;C24;D24;E24;F24;G24;H24}) + SUMPRODUCT($H$83:$H$89, {L24;M24;N24;O24;P24;Q24;R24})
}</f>
        <v>149.31</v>
      </c>
      <c r="R123" s="144">
        <v>843.6015</v>
      </c>
      <c r="S123" s="144">
        <v>1941.0300000000002</v>
      </c>
      <c r="T123" s="144">
        <v>2622.2195475000003</v>
      </c>
      <c r="U123" s="144">
        <v>3857.6216857500003</v>
      </c>
      <c r="V123" s="144">
        <v>5765.63775165</v>
      </c>
      <c r="W123" s="144">
        <v>8531.55593073</v>
      </c>
      <c r="Z123" s="144" t="str">
        <f t="shared" ref="Z123:AG123" si="49">P123</f>
        <v>Basic Labor Hours</v>
      </c>
      <c r="AA123" s="135">
        <f t="shared" si="49"/>
        <v>149.31</v>
      </c>
      <c r="AB123" s="144">
        <f t="shared" si="49"/>
        <v>843.6015</v>
      </c>
      <c r="AC123" s="144">
        <f t="shared" si="49"/>
        <v>1941.03</v>
      </c>
      <c r="AD123" s="144">
        <f t="shared" si="49"/>
        <v>2622.219548</v>
      </c>
      <c r="AE123" s="144">
        <f t="shared" si="49"/>
        <v>3857.621686</v>
      </c>
      <c r="AF123" s="144">
        <f t="shared" si="49"/>
        <v>5765.637752</v>
      </c>
      <c r="AG123" s="144">
        <f t="shared" si="49"/>
        <v>8531.555931</v>
      </c>
    </row>
    <row r="124">
      <c r="A124" s="157"/>
      <c r="C124" s="94"/>
      <c r="D124" s="94"/>
      <c r="E124" s="94"/>
      <c r="F124" s="94"/>
      <c r="G124" s="94"/>
      <c r="H124" s="94"/>
      <c r="I124" s="94"/>
      <c r="J124" s="55"/>
      <c r="P124" s="144" t="str">
        <f t="shared" si="43"/>
        <v>Basic Labor Revenue</v>
      </c>
      <c r="Q124" s="135">
        <f t="array" ref="Q124:W124">{
  SUMPRODUCT($B$74:$B$80, {B25;C25;D25;E25;F25;G25;H25}) + SUMPRODUCT($B$83:$B$89, {L25;M25;N25;O25;P25;Q25;R25}),
  SUMPRODUCT($C$74:$C$80, {B25;C25;D25;E25;F25;G25;H25}) + SUMPRODUCT($C$83:$C$89, {L25;M25;N25;O25;P25;Q25;R25}),
  SUMPRODUCT($D$74:$D$80, {B25;C25;D25;E25;F25;G25;H25}) + SUMPRODUCT($D$83:$D$89, {L25;M25;N25;O25;P25;Q25;R25}),
  SUMPRODUCT($E$74:$E$80, {B25;C25;D25;E25;F25;G25;H25}) + SUMPRODUCT($E$83:$E$89, {L25;M25;N25;O25;P25;Q25;R25}),
  SUMPRODUCT($F$74:$F$80, {B25;C25;D25;E25;F25;G25;H25}) + SUMPRODUCT($F$83:$F$89, {L25;M25;N25;O25;P25;Q25;R25}),
  SUMPRODUCT($G$74:$G$80, {B25;C25;D25;E25;F25;G25;H25}) + SUMPRODUCT($G$83:$G$89, {L25;M25;N25;O25;P25;Q25;R25}),
  SUMPRODUCT($H$74:$H$80, {B25;C25;D25;E25;F25;G25;H25}) + SUMPRODUCT($H$83:$H$89, {L25;M25;N25;O25;P25;Q25;R25})
}</f>
        <v>18663.75</v>
      </c>
      <c r="R124" s="144">
        <v>105450.1875</v>
      </c>
      <c r="S124" s="144">
        <v>242628.75</v>
      </c>
      <c r="T124" s="144">
        <v>327777.44343750004</v>
      </c>
      <c r="U124" s="144">
        <v>482202.71071875</v>
      </c>
      <c r="V124" s="144">
        <v>720704.71895625</v>
      </c>
      <c r="W124" s="144">
        <v>1066444.49134125</v>
      </c>
      <c r="Z124" s="144" t="str">
        <f t="shared" ref="Z124:AG124" si="50">P124</f>
        <v>Basic Labor Revenue</v>
      </c>
      <c r="AA124" s="135">
        <f t="shared" si="50"/>
        <v>18663.75</v>
      </c>
      <c r="AB124" s="144">
        <f t="shared" si="50"/>
        <v>105450.1875</v>
      </c>
      <c r="AC124" s="144">
        <f t="shared" si="50"/>
        <v>242628.75</v>
      </c>
      <c r="AD124" s="144">
        <f t="shared" si="50"/>
        <v>327777.4434</v>
      </c>
      <c r="AE124" s="144">
        <f t="shared" si="50"/>
        <v>482202.7107</v>
      </c>
      <c r="AF124" s="144">
        <f t="shared" si="50"/>
        <v>720704.719</v>
      </c>
      <c r="AG124" s="144">
        <f t="shared" si="50"/>
        <v>1066444.491</v>
      </c>
    </row>
    <row r="125">
      <c r="A125" s="157"/>
      <c r="C125" s="94"/>
      <c r="D125" s="94"/>
      <c r="E125" s="94"/>
      <c r="F125" s="94"/>
      <c r="G125" s="94"/>
      <c r="H125" s="94"/>
      <c r="I125" s="94"/>
      <c r="J125" s="55"/>
      <c r="P125" s="144" t="str">
        <f t="shared" si="43"/>
        <v>Basic Labor Internal COGS</v>
      </c>
      <c r="Q125" s="135">
        <f t="array" ref="Q125:W125">{
  SUMPRODUCT($B$74:$B$80, {B26;C26;D26;E26;F26;G26;H26}) + SUMPRODUCT($B$83:$B$89, {L26;M26;N26;O26;P26;Q26;R26}),
  SUMPRODUCT($C$74:$C$80, {B26;C26;D26;E26;F26;G26;H26}) + SUMPRODUCT($C$83:$C$89, {L26;M26;N26;O26;P26;Q26;R26}),
  SUMPRODUCT($D$74:$D$80, {B26;C26;D26;E26;F26;G26;H26}) + SUMPRODUCT($D$83:$D$89, {L26;M26;N26;O26;P26;Q26;R26}),
  SUMPRODUCT($E$74:$E$80, {B26;C26;D26;E26;F26;G26;H26}) + SUMPRODUCT($E$83:$E$89, {L26;M26;N26;O26;P26;Q26;R26}),
  SUMPRODUCT($F$74:$F$80, {B26;C26;D26;E26;F26;G26;H26}) + SUMPRODUCT($F$83:$F$89, {L26;M26;N26;O26;P26;Q26;R26}),
  SUMPRODUCT($G$74:$G$80, {B26;C26;D26;E26;F26;G26;H26}) + SUMPRODUCT($G$83:$G$89, {L26;M26;N26;O26;P26;Q26;R26}),
  SUMPRODUCT($H$74:$H$80, {B26;C26;D26;E26;F26;G26;H26}) + SUMPRODUCT($H$83:$H$89, {L26;M26;N26;O26;P26;Q26;R26})
}</f>
        <v>13437.9</v>
      </c>
      <c r="R125" s="144">
        <v>75924.135</v>
      </c>
      <c r="S125" s="144">
        <v>174692.7</v>
      </c>
      <c r="T125" s="144">
        <v>235999.75927500002</v>
      </c>
      <c r="U125" s="144">
        <v>347185.9517175</v>
      </c>
      <c r="V125" s="144">
        <v>518907.3976485</v>
      </c>
      <c r="W125" s="144">
        <v>767840.0337657</v>
      </c>
      <c r="Z125" s="144" t="str">
        <f t="shared" ref="Z125:AG125" si="51">P125</f>
        <v>Basic Labor Internal COGS</v>
      </c>
      <c r="AA125" s="135">
        <f t="shared" si="51"/>
        <v>13437.9</v>
      </c>
      <c r="AB125" s="144">
        <f t="shared" si="51"/>
        <v>75924.135</v>
      </c>
      <c r="AC125" s="144">
        <f t="shared" si="51"/>
        <v>174692.7</v>
      </c>
      <c r="AD125" s="144">
        <f t="shared" si="51"/>
        <v>235999.7593</v>
      </c>
      <c r="AE125" s="144">
        <f t="shared" si="51"/>
        <v>347185.9517</v>
      </c>
      <c r="AF125" s="144">
        <f t="shared" si="51"/>
        <v>518907.3976</v>
      </c>
      <c r="AG125" s="144">
        <f t="shared" si="51"/>
        <v>767840.0338</v>
      </c>
    </row>
    <row r="126">
      <c r="A126" s="157" t="s">
        <v>88</v>
      </c>
      <c r="C126" s="94"/>
      <c r="D126" s="94"/>
      <c r="E126" s="94"/>
      <c r="F126" s="94"/>
      <c r="G126" s="94"/>
      <c r="H126" s="94"/>
      <c r="I126" s="94"/>
      <c r="J126" s="55"/>
      <c r="P126" s="144" t="str">
        <f t="shared" si="43"/>
        <v>Basic Labor Margin</v>
      </c>
      <c r="Q126" s="135">
        <f t="array" ref="Q126:W126">{
  SUMPRODUCT($B$74:$B$80, {B27;C27;D27;E27;F27;G27;H27}) + SUMPRODUCT($B$83:$B$89, {L27;M27;N27;O27;P27;Q27;R27}),
  SUMPRODUCT($C$74:$C$80, {B27;C27;D27;E27;F27;G27;H27}) + SUMPRODUCT($C$83:$C$89, {L27;M27;N27;O27;P27;Q27;R27}),
  SUMPRODUCT($D$74:$D$80, {B27;C27;D27;E27;F27;G27;H27}) + SUMPRODUCT($D$83:$D$89, {L27;M27;N27;O27;P27;Q27;R27}),
  SUMPRODUCT($E$74:$E$80, {B27;C27;D27;E27;F27;G27;H27}) + SUMPRODUCT($E$83:$E$89, {L27;M27;N27;O27;P27;Q27;R27}),
  SUMPRODUCT($F$74:$F$80, {B27;C27;D27;E27;F27;G27;H27}) + SUMPRODUCT($F$83:$F$89, {L27;M27;N27;O27;P27;Q27;R27}),
  SUMPRODUCT($G$74:$G$80, {B27;C27;D27;E27;F27;G27;H27}) + SUMPRODUCT($G$83:$G$89, {L27;M27;N27;O27;P27;Q27;R27}),
  SUMPRODUCT($H$74:$H$80, {B27;C27;D27;E27;F27;G27;H27}) + SUMPRODUCT($H$83:$H$89, {L27;M27;N27;O27;P27;Q27;R27})
}</f>
        <v>5225.85</v>
      </c>
      <c r="R126" s="144">
        <v>29526.052499999998</v>
      </c>
      <c r="S126" s="144">
        <v>67936.05</v>
      </c>
      <c r="T126" s="144">
        <v>91777.68416250001</v>
      </c>
      <c r="U126" s="144">
        <v>135016.75900125003</v>
      </c>
      <c r="V126" s="144">
        <v>201797.32130775</v>
      </c>
      <c r="W126" s="144">
        <v>298604.45757555</v>
      </c>
      <c r="Z126" s="144" t="str">
        <f t="shared" ref="Z126:AG126" si="52">P126</f>
        <v>Basic Labor Margin</v>
      </c>
      <c r="AA126" s="135">
        <f t="shared" si="52"/>
        <v>5225.85</v>
      </c>
      <c r="AB126" s="144">
        <f t="shared" si="52"/>
        <v>29526.0525</v>
      </c>
      <c r="AC126" s="144">
        <f t="shared" si="52"/>
        <v>67936.05</v>
      </c>
      <c r="AD126" s="144">
        <f t="shared" si="52"/>
        <v>91777.68416</v>
      </c>
      <c r="AE126" s="144">
        <f t="shared" si="52"/>
        <v>135016.759</v>
      </c>
      <c r="AF126" s="144">
        <f t="shared" si="52"/>
        <v>201797.3213</v>
      </c>
      <c r="AG126" s="144">
        <f t="shared" si="52"/>
        <v>298604.4576</v>
      </c>
    </row>
    <row r="127">
      <c r="A127" s="158" t="s">
        <v>89</v>
      </c>
      <c r="C127" s="94">
        <f t="array" ref="C127:I127">{
  SUMPRODUCT(B74:B80, {B68;C68;D68;E68;F68;G68;H68}) + SUMPRODUCT(B83:B89, {L68;M68;N68;O68;P68;Q68;R68}),
  SUMPRODUCT(C74:C80, {B68;C68;D68;E68;F68;G68;H68}) + SUMPRODUCT(C83:C89, {L68;M68;N68;O68;P68;Q68;R68}),
  SUMPRODUCT(D74:D80, {B68;C68;D68;E68;F68;G68;H68}) + SUMPRODUCT(D83:D89, {L68;M68;N68;O68;P68;Q68;R68}),
  SUMPRODUCT(E74:E80, {B68;C68;D68;E68;F68;G68;H68}) + SUMPRODUCT(E83:E89, {L68;M68;N68;O68;P68;Q68;R68}),
  SUMPRODUCT(F74:F80, {B68;C68;D68;E68;F68;G68;H68}) + SUMPRODUCT(F83:F89, {L68;M68;N68;O68;P68;Q68;R68}),
  SUMPRODUCT(G74:G80, {B68;C68;D68;E68;F68;G68;H68}) + SUMPRODUCT(G83:G89, {L68;M68;N68;O68;P68;Q68;R68}),
  SUMPRODUCT(H74:H80, {B68;C68;D68;E68;F68;G68;H68}) + SUMPRODUCT(H83:H89, {L68;M68;N68;O68;P68;Q68;R68})
}</f>
        <v>100</v>
      </c>
      <c r="D127" s="94">
        <v>255.0</v>
      </c>
      <c r="E127" s="94">
        <v>423.0</v>
      </c>
      <c r="F127" s="94">
        <v>613.575</v>
      </c>
      <c r="G127" s="94">
        <v>939.3775</v>
      </c>
      <c r="H127" s="94">
        <v>1415.3405000000002</v>
      </c>
      <c r="I127" s="94">
        <v>2010.9961000000003</v>
      </c>
      <c r="J127" s="55"/>
      <c r="L127" s="136" t="s">
        <v>9</v>
      </c>
      <c r="M127" s="55">
        <v>2.0063885076061404E8</v>
      </c>
      <c r="P127" s="144" t="str">
        <f t="shared" si="43"/>
        <v/>
      </c>
      <c r="Q127" s="135">
        <f t="array" ref="Q127:W127">{
  SUMPRODUCT($B$74:$B$80, {B28;C28;D28;E28;F28;G28;H28}) + SUMPRODUCT($B$83:$B$89, {L28;M28;N28;O28;P28;Q28;R28}),
  SUMPRODUCT($C$74:$C$80, {B28;C28;D28;E28;F28;G28;H28}) + SUMPRODUCT($C$83:$C$89, {L28;M28;N28;O28;P28;Q28;R28}),
  SUMPRODUCT($D$74:$D$80, {B28;C28;D28;E28;F28;G28;H28}) + SUMPRODUCT($D$83:$D$89, {L28;M28;N28;O28;P28;Q28;R28}),
  SUMPRODUCT($E$74:$E$80, {B28;C28;D28;E28;F28;G28;H28}) + SUMPRODUCT($E$83:$E$89, {L28;M28;N28;O28;P28;Q28;R28}),
  SUMPRODUCT($F$74:$F$80, {B28;C28;D28;E28;F28;G28;H28}) + SUMPRODUCT($F$83:$F$89, {L28;M28;N28;O28;P28;Q28;R28}),
  SUMPRODUCT($G$74:$G$80, {B28;C28;D28;E28;F28;G28;H28}) + SUMPRODUCT($G$83:$G$89, {L28;M28;N28;O28;P28;Q28;R28}),
  SUMPRODUCT($H$74:$H$80, {B28;C28;D28;E28;F28;G28;H28}) + SUMPRODUCT($H$83:$H$89, {L28;M28;N28;O28;P28;Q28;R28})
}</f>
        <v>0</v>
      </c>
      <c r="R127" s="144">
        <v>0.0</v>
      </c>
      <c r="S127" s="144">
        <v>0.0</v>
      </c>
      <c r="T127" s="144">
        <v>0.0</v>
      </c>
      <c r="U127" s="144">
        <v>0.0</v>
      </c>
      <c r="V127" s="144">
        <v>0.0</v>
      </c>
      <c r="W127" s="144">
        <v>0.0</v>
      </c>
      <c r="Z127" s="144" t="str">
        <f t="shared" ref="Z127:AG127" si="53">P127</f>
        <v/>
      </c>
      <c r="AA127" s="135">
        <f t="shared" si="53"/>
        <v>0</v>
      </c>
      <c r="AB127" s="144">
        <f t="shared" si="53"/>
        <v>0</v>
      </c>
      <c r="AC127" s="144">
        <f t="shared" si="53"/>
        <v>0</v>
      </c>
      <c r="AD127" s="144">
        <f t="shared" si="53"/>
        <v>0</v>
      </c>
      <c r="AE127" s="144">
        <f t="shared" si="53"/>
        <v>0</v>
      </c>
      <c r="AF127" s="144">
        <f t="shared" si="53"/>
        <v>0</v>
      </c>
      <c r="AG127" s="144">
        <f t="shared" si="53"/>
        <v>0</v>
      </c>
    </row>
    <row r="128">
      <c r="A128" s="159" t="s">
        <v>90</v>
      </c>
      <c r="C128" s="94">
        <f>LocationGrowth!B39</f>
        <v>0</v>
      </c>
      <c r="D128" s="94">
        <f>LocationGrowth!C39</f>
        <v>2</v>
      </c>
      <c r="E128" s="94">
        <f>LocationGrowth!D39</f>
        <v>2</v>
      </c>
      <c r="F128" s="94">
        <f>LocationGrowth!F39</f>
        <v>3</v>
      </c>
      <c r="G128" s="94">
        <f>LocationGrowth!E39</f>
        <v>2</v>
      </c>
      <c r="H128" s="94">
        <f>LocationGrowth!G39</f>
        <v>4</v>
      </c>
      <c r="I128" s="94">
        <f>LocationGrowth!H39</f>
        <v>5</v>
      </c>
      <c r="J128" s="55"/>
      <c r="P128" s="144" t="str">
        <f t="shared" si="43"/>
        <v>Basic Customers</v>
      </c>
      <c r="Q128" s="135">
        <f t="array" ref="Q128:W128">{
  SUMPRODUCT($B$74:$B$80, {B29;C29;D29;E29;F29;G29;H29}) + SUMPRODUCT($B$83:$B$89, {L29;M29;N29;O29;P29;Q29;R29}),
  SUMPRODUCT($C$74:$C$80, {B29;C29;D29;E29;F29;G29;H29}) + SUMPRODUCT($C$83:$C$89, {L29;M29;N29;O29;P29;Q29;R29}),
  SUMPRODUCT($D$74:$D$80, {B29;C29;D29;E29;F29;G29;H29}) + SUMPRODUCT($D$83:$D$89, {L29;M29;N29;O29;P29;Q29;R29}),
  SUMPRODUCT($E$74:$E$80, {B29;C29;D29;E29;F29;G29;H29}) + SUMPRODUCT($E$83:$E$89, {L29;M29;N29;O29;P29;Q29;R29}),
  SUMPRODUCT($F$74:$F$80, {B29;C29;D29;E29;F29;G29;H29}) + SUMPRODUCT($F$83:$F$89, {L29;M29;N29;O29;P29;Q29;R29}),
  SUMPRODUCT($G$74:$G$80, {B29;C29;D29;E29;F29;G29;H29}) + SUMPRODUCT($G$83:$G$89, {L29;M29;N29;O29;P29;Q29;R29}),
  SUMPRODUCT($H$74:$H$80, {B29;C29;D29;E29;F29;G29;H29}) + SUMPRODUCT($H$83:$H$89, {L29;M29;N29;O29;P29;Q29;R29})
}</f>
        <v>5</v>
      </c>
      <c r="R128" s="144">
        <v>28.25</v>
      </c>
      <c r="S128" s="144">
        <v>65.0</v>
      </c>
      <c r="T128" s="144">
        <v>87.81125</v>
      </c>
      <c r="U128" s="144">
        <v>129.181625</v>
      </c>
      <c r="V128" s="144">
        <v>193.076075</v>
      </c>
      <c r="W128" s="144">
        <v>285.69941500000004</v>
      </c>
      <c r="Z128" s="144" t="str">
        <f t="shared" ref="Z128:AG128" si="54">P128</f>
        <v>Basic Customers</v>
      </c>
      <c r="AA128" s="135">
        <f t="shared" si="54"/>
        <v>5</v>
      </c>
      <c r="AB128" s="144">
        <f t="shared" si="54"/>
        <v>28.25</v>
      </c>
      <c r="AC128" s="144">
        <f t="shared" si="54"/>
        <v>65</v>
      </c>
      <c r="AD128" s="144">
        <f t="shared" si="54"/>
        <v>87.81125</v>
      </c>
      <c r="AE128" s="144">
        <f t="shared" si="54"/>
        <v>129.181625</v>
      </c>
      <c r="AF128" s="144">
        <f t="shared" si="54"/>
        <v>193.076075</v>
      </c>
      <c r="AG128" s="144">
        <f t="shared" si="54"/>
        <v>285.699415</v>
      </c>
    </row>
    <row r="129">
      <c r="A129" s="159" t="s">
        <v>91</v>
      </c>
      <c r="C129" s="94">
        <f>LocationGrowth!B40</f>
        <v>2</v>
      </c>
      <c r="D129" s="94">
        <f>LocationGrowth!C40</f>
        <v>1</v>
      </c>
      <c r="E129" s="94">
        <f>LocationGrowth!D40</f>
        <v>1</v>
      </c>
      <c r="F129" s="94">
        <f>LocationGrowth!F40</f>
        <v>2</v>
      </c>
      <c r="G129" s="94">
        <f>LocationGrowth!E40</f>
        <v>1</v>
      </c>
      <c r="H129" s="94">
        <f>LocationGrowth!G40</f>
        <v>3</v>
      </c>
      <c r="I129" s="94">
        <f>LocationGrowth!H40</f>
        <v>3</v>
      </c>
      <c r="J129" s="55"/>
      <c r="P129" s="127" t="s">
        <v>92</v>
      </c>
      <c r="Q129" s="160">
        <f>Q128*InputVariables!$M$15</f>
        <v>2</v>
      </c>
      <c r="R129" s="160">
        <f>R128*InputVariables!$M$15</f>
        <v>11.3</v>
      </c>
      <c r="S129" s="160">
        <f>S128*InputVariables!$M$15</f>
        <v>26</v>
      </c>
      <c r="T129" s="160">
        <f>T128*InputVariables!$M$15</f>
        <v>35.1245</v>
      </c>
      <c r="U129" s="160">
        <f>U128*InputVariables!$M$15</f>
        <v>51.67265</v>
      </c>
      <c r="V129" s="160">
        <f>V128*InputVariables!$M$15</f>
        <v>77.23043</v>
      </c>
      <c r="W129" s="160">
        <f>W128*InputVariables!$M$15</f>
        <v>114.279766</v>
      </c>
      <c r="Z129" s="144" t="str">
        <f t="shared" ref="Z129:AG129" si="55">P129</f>
        <v>Basic Support Customers (New)</v>
      </c>
      <c r="AA129" s="160">
        <f t="shared" si="55"/>
        <v>2</v>
      </c>
      <c r="AB129" s="160">
        <f t="shared" si="55"/>
        <v>11.3</v>
      </c>
      <c r="AC129" s="160">
        <f t="shared" si="55"/>
        <v>26</v>
      </c>
      <c r="AD129" s="160">
        <f t="shared" si="55"/>
        <v>35.1245</v>
      </c>
      <c r="AE129" s="160">
        <f t="shared" si="55"/>
        <v>51.67265</v>
      </c>
      <c r="AF129" s="160">
        <f t="shared" si="55"/>
        <v>77.23043</v>
      </c>
      <c r="AG129" s="160">
        <f t="shared" si="55"/>
        <v>114.279766</v>
      </c>
    </row>
    <row r="130">
      <c r="A130" s="157" t="s">
        <v>93</v>
      </c>
      <c r="C130" s="161">
        <f t="shared" ref="C130:I130" si="56">SUM(C128:C129)</f>
        <v>2</v>
      </c>
      <c r="D130" s="161">
        <f t="shared" si="56"/>
        <v>3</v>
      </c>
      <c r="E130" s="161">
        <f t="shared" si="56"/>
        <v>3</v>
      </c>
      <c r="F130" s="161">
        <f t="shared" si="56"/>
        <v>5</v>
      </c>
      <c r="G130" s="161">
        <f t="shared" si="56"/>
        <v>3</v>
      </c>
      <c r="H130" s="161">
        <f t="shared" si="56"/>
        <v>7</v>
      </c>
      <c r="I130" s="161">
        <f t="shared" si="56"/>
        <v>8</v>
      </c>
      <c r="J130" s="55"/>
      <c r="P130" s="127" t="s">
        <v>94</v>
      </c>
      <c r="Q130" s="160">
        <f t="shared" ref="Q130:W130" si="57">sum($Q$129:Q129)</f>
        <v>2</v>
      </c>
      <c r="R130" s="160">
        <f t="shared" si="57"/>
        <v>13.3</v>
      </c>
      <c r="S130" s="160">
        <f t="shared" si="57"/>
        <v>39.3</v>
      </c>
      <c r="T130" s="160">
        <f t="shared" si="57"/>
        <v>74.4245</v>
      </c>
      <c r="U130" s="160">
        <f t="shared" si="57"/>
        <v>126.09715</v>
      </c>
      <c r="V130" s="160">
        <f t="shared" si="57"/>
        <v>203.32758</v>
      </c>
      <c r="W130" s="160">
        <f t="shared" si="57"/>
        <v>317.607346</v>
      </c>
      <c r="Z130" s="144" t="str">
        <f t="shared" ref="Z130:AG130" si="58">P130</f>
        <v>Basic Support Subscribers (Cumulative)</v>
      </c>
      <c r="AA130" s="160">
        <f t="shared" si="58"/>
        <v>2</v>
      </c>
      <c r="AB130" s="160">
        <f t="shared" si="58"/>
        <v>13.3</v>
      </c>
      <c r="AC130" s="160">
        <f t="shared" si="58"/>
        <v>39.3</v>
      </c>
      <c r="AD130" s="160">
        <f t="shared" si="58"/>
        <v>74.4245</v>
      </c>
      <c r="AE130" s="160">
        <f t="shared" si="58"/>
        <v>126.09715</v>
      </c>
      <c r="AF130" s="160">
        <f t="shared" si="58"/>
        <v>203.32758</v>
      </c>
      <c r="AG130" s="160">
        <f t="shared" si="58"/>
        <v>317.607346</v>
      </c>
    </row>
    <row r="131">
      <c r="A131" s="162" t="s">
        <v>95</v>
      </c>
      <c r="B131" s="149"/>
      <c r="C131" s="153">
        <f t="shared" ref="C131:I131" si="59">sum(B74:B89)</f>
        <v>2</v>
      </c>
      <c r="D131" s="153">
        <f t="shared" si="59"/>
        <v>5</v>
      </c>
      <c r="E131" s="153">
        <f t="shared" si="59"/>
        <v>8</v>
      </c>
      <c r="F131" s="153">
        <f t="shared" si="59"/>
        <v>11</v>
      </c>
      <c r="G131" s="153">
        <f t="shared" si="59"/>
        <v>16</v>
      </c>
      <c r="H131" s="153">
        <f t="shared" si="59"/>
        <v>23</v>
      </c>
      <c r="I131" s="153">
        <f t="shared" si="59"/>
        <v>31</v>
      </c>
      <c r="J131" s="55"/>
      <c r="P131" s="127" t="s">
        <v>96</v>
      </c>
      <c r="Q131" s="160"/>
      <c r="R131" s="160">
        <f>Q130*InputVariables!$M$16</f>
        <v>0.6</v>
      </c>
      <c r="S131" s="160">
        <f>R130*InputVariables!$M$16</f>
        <v>3.99</v>
      </c>
      <c r="T131" s="160">
        <f>S130*InputVariables!$M$16+S132*InputVariables!$M$16</f>
        <v>22.383</v>
      </c>
      <c r="U131" s="160">
        <f>T130*InputVariables!$M$16+T132*InputVariables!$M$16</f>
        <v>37.9398</v>
      </c>
      <c r="V131" s="160">
        <f>U130*InputVariables!$M$16+U132*InputVariables!$M$16</f>
        <v>64.27635</v>
      </c>
      <c r="W131" s="160">
        <f>V130*InputVariables!$M$16+V132*InputVariables!$M$16</f>
        <v>102.713643</v>
      </c>
      <c r="Z131" s="144" t="str">
        <f t="shared" ref="Z131:AG131" si="60">P131</f>
        <v>Churning Subscribers</v>
      </c>
      <c r="AA131" s="160" t="str">
        <f t="shared" si="60"/>
        <v/>
      </c>
      <c r="AB131" s="160">
        <f t="shared" si="60"/>
        <v>0.6</v>
      </c>
      <c r="AC131" s="160">
        <f t="shared" si="60"/>
        <v>3.99</v>
      </c>
      <c r="AD131" s="160">
        <f t="shared" si="60"/>
        <v>22.383</v>
      </c>
      <c r="AE131" s="160">
        <f t="shared" si="60"/>
        <v>37.9398</v>
      </c>
      <c r="AF131" s="160">
        <f t="shared" si="60"/>
        <v>64.27635</v>
      </c>
      <c r="AG131" s="160">
        <f t="shared" si="60"/>
        <v>102.713643</v>
      </c>
    </row>
    <row r="132">
      <c r="A132" s="43"/>
      <c r="C132" s="55"/>
      <c r="D132" s="55"/>
      <c r="E132" s="55"/>
      <c r="F132" s="55"/>
      <c r="G132" s="55"/>
      <c r="H132" s="55"/>
      <c r="I132" s="55"/>
      <c r="J132" s="55"/>
      <c r="P132" s="163" t="s">
        <v>97</v>
      </c>
      <c r="Q132" s="164">
        <f t="shared" ref="Q132:W132" si="61">Q130-Q131</f>
        <v>2</v>
      </c>
      <c r="R132" s="164">
        <f t="shared" si="61"/>
        <v>12.7</v>
      </c>
      <c r="S132" s="164">
        <f t="shared" si="61"/>
        <v>35.31</v>
      </c>
      <c r="T132" s="164">
        <f t="shared" si="61"/>
        <v>52.0415</v>
      </c>
      <c r="U132" s="164">
        <f t="shared" si="61"/>
        <v>88.15735</v>
      </c>
      <c r="V132" s="164">
        <f t="shared" si="61"/>
        <v>139.05123</v>
      </c>
      <c r="W132" s="164">
        <f t="shared" si="61"/>
        <v>214.893703</v>
      </c>
      <c r="Z132" s="144" t="str">
        <f t="shared" ref="Z132:AG132" si="62">P132</f>
        <v>Total Subscribers</v>
      </c>
      <c r="AA132" s="160">
        <f t="shared" si="62"/>
        <v>2</v>
      </c>
      <c r="AB132" s="160">
        <f t="shared" si="62"/>
        <v>12.7</v>
      </c>
      <c r="AC132" s="160">
        <f t="shared" si="62"/>
        <v>35.31</v>
      </c>
      <c r="AD132" s="160">
        <f t="shared" si="62"/>
        <v>52.0415</v>
      </c>
      <c r="AE132" s="160">
        <f t="shared" si="62"/>
        <v>88.15735</v>
      </c>
      <c r="AF132" s="160">
        <f t="shared" si="62"/>
        <v>139.05123</v>
      </c>
      <c r="AG132" s="160">
        <f t="shared" si="62"/>
        <v>214.893703</v>
      </c>
    </row>
    <row r="133">
      <c r="A133" s="159" t="s">
        <v>98</v>
      </c>
      <c r="C133" s="94">
        <f t="shared" ref="C133:I133" si="63">Q185</f>
        <v>72</v>
      </c>
      <c r="D133" s="94">
        <f t="shared" si="63"/>
        <v>221.65</v>
      </c>
      <c r="E133" s="94">
        <f t="shared" si="63"/>
        <v>441.385</v>
      </c>
      <c r="F133" s="94">
        <f t="shared" si="63"/>
        <v>641.188375</v>
      </c>
      <c r="G133" s="94">
        <f t="shared" si="63"/>
        <v>1063.847913</v>
      </c>
      <c r="H133" s="94">
        <f t="shared" si="63"/>
        <v>1670.037855</v>
      </c>
      <c r="I133" s="94">
        <f t="shared" si="63"/>
        <v>2508.473861</v>
      </c>
      <c r="J133" s="55"/>
      <c r="P133" s="163" t="s">
        <v>99</v>
      </c>
      <c r="Q133" s="147">
        <f>Q132*(((Q119+Q124)/Q128)*InputVariables!$M$17)</f>
        <v>779.99755</v>
      </c>
      <c r="R133" s="147">
        <f>R132*(((R119+R124)/R128)*InputVariables!$M$17)</f>
        <v>4952.984443</v>
      </c>
      <c r="S133" s="147">
        <f>S132*(((S119+S124)/S128)*InputVariables!$M$17)</f>
        <v>13916.13499</v>
      </c>
      <c r="T133" s="147">
        <f>T132*(((T119+T124)/T128)*InputVariables!$M$17)</f>
        <v>20484.73043</v>
      </c>
      <c r="U133" s="147">
        <f>U132*(((U119+U124)/U128)*InputVariables!$M$17)</f>
        <v>34686.58883</v>
      </c>
      <c r="V133" s="147">
        <f>V132*(((V119+V124)/V128)*InputVariables!$M$17)</f>
        <v>54663.66643</v>
      </c>
      <c r="W133" s="147">
        <f>W132*(((W119+W124)/W128)*InputVariables!$M$17)</f>
        <v>84501.88707</v>
      </c>
      <c r="Z133" s="144" t="str">
        <f t="shared" ref="Z133:AG133" si="64">#REF!</f>
        <v>#REF!</v>
      </c>
      <c r="AA133" s="144" t="str">
        <f t="shared" si="64"/>
        <v>#REF!</v>
      </c>
      <c r="AB133" s="144" t="str">
        <f t="shared" si="64"/>
        <v>#REF!</v>
      </c>
      <c r="AC133" s="144" t="str">
        <f t="shared" si="64"/>
        <v>#REF!</v>
      </c>
      <c r="AD133" s="144" t="str">
        <f t="shared" si="64"/>
        <v>#REF!</v>
      </c>
      <c r="AE133" s="144" t="str">
        <f t="shared" si="64"/>
        <v>#REF!</v>
      </c>
      <c r="AF133" s="144" t="str">
        <f t="shared" si="64"/>
        <v>#REF!</v>
      </c>
      <c r="AG133" s="144" t="str">
        <f t="shared" si="64"/>
        <v>#REF!</v>
      </c>
    </row>
    <row r="134">
      <c r="A134" s="159"/>
      <c r="C134" s="55"/>
      <c r="D134" s="55"/>
      <c r="E134" s="55"/>
      <c r="F134" s="55"/>
      <c r="G134" s="55"/>
      <c r="H134" s="55"/>
      <c r="I134" s="55"/>
      <c r="J134" s="55"/>
      <c r="P134" s="163" t="s">
        <v>100</v>
      </c>
      <c r="Q134" s="147">
        <f>Q133*(1-InputVariables!$M$19)</f>
        <v>545.998285</v>
      </c>
      <c r="R134" s="147">
        <f>R133*(1-InputVariables!$M$19)</f>
        <v>3467.08911</v>
      </c>
      <c r="S134" s="147">
        <f>S133*(1-InputVariables!$M$19)</f>
        <v>9741.294492</v>
      </c>
      <c r="T134" s="147">
        <f>T133*(1-InputVariables!$M$19)</f>
        <v>14339.3113</v>
      </c>
      <c r="U134" s="147">
        <f>U133*(1-InputVariables!$M$19)</f>
        <v>24280.61218</v>
      </c>
      <c r="V134" s="147">
        <f>V133*(1-InputVariables!$M$19)</f>
        <v>38264.5665</v>
      </c>
      <c r="W134" s="147">
        <f>W133*(1-InputVariables!$M$19)</f>
        <v>59151.32095</v>
      </c>
      <c r="Z134" s="144" t="str">
        <f t="shared" ref="Z134:AG134" si="65">#REF!</f>
        <v>#REF!</v>
      </c>
      <c r="AA134" s="144" t="str">
        <f t="shared" si="65"/>
        <v>#REF!</v>
      </c>
      <c r="AB134" s="144" t="str">
        <f t="shared" si="65"/>
        <v>#REF!</v>
      </c>
      <c r="AC134" s="144" t="str">
        <f t="shared" si="65"/>
        <v>#REF!</v>
      </c>
      <c r="AD134" s="144" t="str">
        <f t="shared" si="65"/>
        <v>#REF!</v>
      </c>
      <c r="AE134" s="144" t="str">
        <f t="shared" si="65"/>
        <v>#REF!</v>
      </c>
      <c r="AF134" s="144" t="str">
        <f t="shared" si="65"/>
        <v>#REF!</v>
      </c>
      <c r="AG134" s="144" t="str">
        <f t="shared" si="65"/>
        <v>#REF!</v>
      </c>
    </row>
    <row r="135">
      <c r="A135" s="159"/>
      <c r="C135" s="55"/>
      <c r="D135" s="55"/>
      <c r="E135" s="55"/>
      <c r="F135" s="55"/>
      <c r="G135" s="55"/>
      <c r="H135" s="55"/>
      <c r="I135" s="55"/>
      <c r="J135" s="55"/>
      <c r="P135" s="165" t="s">
        <v>101</v>
      </c>
      <c r="Q135" s="147">
        <f t="shared" ref="Q135:W135" si="66">Q119+Q124+Q133</f>
        <v>39779.87505</v>
      </c>
      <c r="R135" s="147">
        <f t="shared" si="66"/>
        <v>225302.2923</v>
      </c>
      <c r="S135" s="147">
        <f t="shared" si="66"/>
        <v>526263.2176</v>
      </c>
      <c r="T135" s="147">
        <f t="shared" si="66"/>
        <v>711775.2524</v>
      </c>
      <c r="U135" s="147">
        <f t="shared" si="66"/>
        <v>1051248.432</v>
      </c>
      <c r="V135" s="147">
        <f t="shared" si="66"/>
        <v>1572700.747</v>
      </c>
      <c r="W135" s="147">
        <f t="shared" si="66"/>
        <v>2331393.198</v>
      </c>
      <c r="Z135" s="144" t="str">
        <f t="shared" ref="Z135:AG135" si="67">P135</f>
        <v>Basic Revenue</v>
      </c>
      <c r="AA135" s="55">
        <f t="shared" si="67"/>
        <v>39779.87505</v>
      </c>
      <c r="AB135" s="55">
        <f t="shared" si="67"/>
        <v>225302.2923</v>
      </c>
      <c r="AC135" s="55">
        <f t="shared" si="67"/>
        <v>526263.2176</v>
      </c>
      <c r="AD135" s="55">
        <f t="shared" si="67"/>
        <v>711775.2524</v>
      </c>
      <c r="AE135" s="55">
        <f t="shared" si="67"/>
        <v>1051248.432</v>
      </c>
      <c r="AF135" s="55">
        <f t="shared" si="67"/>
        <v>1572700.747</v>
      </c>
      <c r="AG135" s="55">
        <f t="shared" si="67"/>
        <v>2331393.198</v>
      </c>
    </row>
    <row r="136">
      <c r="A136" s="159" t="s">
        <v>102</v>
      </c>
      <c r="C136" s="55">
        <f>LocationGrowth!B49</f>
        <v>6750000</v>
      </c>
      <c r="D136" s="55">
        <f>LocationGrowth!C49</f>
        <v>11375000</v>
      </c>
      <c r="E136" s="55">
        <f>LocationGrowth!D49</f>
        <v>11375000</v>
      </c>
      <c r="F136" s="55">
        <f>LocationGrowth!F49</f>
        <v>18750000</v>
      </c>
      <c r="G136" s="55">
        <f>LocationGrowth!E49</f>
        <v>11375000</v>
      </c>
      <c r="H136" s="55">
        <f>LocationGrowth!G49</f>
        <v>26125000</v>
      </c>
      <c r="I136" s="55">
        <f>LocationGrowth!H49</f>
        <v>30125000</v>
      </c>
      <c r="J136" s="55"/>
      <c r="P136" s="166" t="s">
        <v>103</v>
      </c>
      <c r="Q136" s="135">
        <f t="shared" ref="Q136:W136" si="68">Q120+Q125+Q134</f>
        <v>30606.88681</v>
      </c>
      <c r="R136" s="55">
        <f t="shared" si="68"/>
        <v>174804.9621</v>
      </c>
      <c r="S136" s="55">
        <f t="shared" si="68"/>
        <v>404379.5164</v>
      </c>
      <c r="T136" s="55">
        <f t="shared" si="68"/>
        <v>548710.9219</v>
      </c>
      <c r="U136" s="55">
        <f t="shared" si="68"/>
        <v>811101.5106</v>
      </c>
      <c r="V136" s="55">
        <f t="shared" si="68"/>
        <v>1214725.166</v>
      </c>
      <c r="W136" s="55">
        <f t="shared" si="68"/>
        <v>1799983.18</v>
      </c>
      <c r="Z136" s="144" t="str">
        <f t="shared" ref="Z136:AG136" si="69">P133</f>
        <v>Revenue of Support</v>
      </c>
      <c r="AA136" s="55">
        <f t="shared" si="69"/>
        <v>779.99755</v>
      </c>
      <c r="AB136" s="55">
        <f t="shared" si="69"/>
        <v>4952.984443</v>
      </c>
      <c r="AC136" s="55">
        <f t="shared" si="69"/>
        <v>13916.13499</v>
      </c>
      <c r="AD136" s="55">
        <f t="shared" si="69"/>
        <v>20484.73043</v>
      </c>
      <c r="AE136" s="55">
        <f t="shared" si="69"/>
        <v>34686.58883</v>
      </c>
      <c r="AF136" s="55">
        <f t="shared" si="69"/>
        <v>54663.66643</v>
      </c>
      <c r="AG136" s="55">
        <f t="shared" si="69"/>
        <v>84501.88707</v>
      </c>
    </row>
    <row r="137">
      <c r="A137" s="159" t="s">
        <v>104</v>
      </c>
      <c r="C137" s="167">
        <f t="shared" ref="C137:I137" si="70">0.05+0.2*($C$114/C$114)^0.5</f>
        <v>0.25</v>
      </c>
      <c r="D137" s="167">
        <f t="shared" si="70"/>
        <v>0.1892981326</v>
      </c>
      <c r="E137" s="167">
        <f t="shared" si="70"/>
        <v>0.1634313586</v>
      </c>
      <c r="F137" s="167">
        <f t="shared" si="70"/>
        <v>0.1468494987</v>
      </c>
      <c r="G137" s="167">
        <f t="shared" si="70"/>
        <v>0.127675181</v>
      </c>
      <c r="H137" s="167">
        <f t="shared" si="70"/>
        <v>0.1130395865</v>
      </c>
      <c r="I137" s="167">
        <f t="shared" si="70"/>
        <v>0.1030800202</v>
      </c>
      <c r="J137" s="55"/>
      <c r="P137" s="166" t="s">
        <v>105</v>
      </c>
      <c r="Q137" s="55">
        <f t="shared" ref="Q137:W137" si="71">Q135-Q136</f>
        <v>9172.98824</v>
      </c>
      <c r="R137" s="55">
        <f t="shared" si="71"/>
        <v>50497.33019</v>
      </c>
      <c r="S137" s="55">
        <f t="shared" si="71"/>
        <v>121883.7011</v>
      </c>
      <c r="T137" s="55">
        <f t="shared" si="71"/>
        <v>163064.3304</v>
      </c>
      <c r="U137" s="55">
        <f t="shared" si="71"/>
        <v>240146.9217</v>
      </c>
      <c r="V137" s="55">
        <f t="shared" si="71"/>
        <v>357975.5802</v>
      </c>
      <c r="W137" s="55">
        <f t="shared" si="71"/>
        <v>531410.0182</v>
      </c>
      <c r="Z137" s="144" t="str">
        <f t="shared" ref="Z137:AG137" si="72">P134</f>
        <v>Cost of Support</v>
      </c>
      <c r="AA137" s="55">
        <f t="shared" si="72"/>
        <v>545.998285</v>
      </c>
      <c r="AB137" s="55">
        <f t="shared" si="72"/>
        <v>3467.08911</v>
      </c>
      <c r="AC137" s="55">
        <f t="shared" si="72"/>
        <v>9741.294492</v>
      </c>
      <c r="AD137" s="55">
        <f t="shared" si="72"/>
        <v>14339.3113</v>
      </c>
      <c r="AE137" s="55">
        <f t="shared" si="72"/>
        <v>24280.61218</v>
      </c>
      <c r="AF137" s="55">
        <f t="shared" si="72"/>
        <v>38264.5665</v>
      </c>
      <c r="AG137" s="55">
        <f t="shared" si="72"/>
        <v>59151.32095</v>
      </c>
    </row>
    <row r="138">
      <c r="A138" s="159" t="s">
        <v>106</v>
      </c>
      <c r="C138" s="55">
        <f t="shared" ref="C138:I138" si="73">C136*C137</f>
        <v>1687500</v>
      </c>
      <c r="D138" s="55">
        <f t="shared" si="73"/>
        <v>2153266.258</v>
      </c>
      <c r="E138" s="55">
        <f t="shared" si="73"/>
        <v>1859031.704</v>
      </c>
      <c r="F138" s="55">
        <f t="shared" si="73"/>
        <v>2753428.1</v>
      </c>
      <c r="G138" s="55">
        <f t="shared" si="73"/>
        <v>1452305.184</v>
      </c>
      <c r="H138" s="55">
        <f t="shared" si="73"/>
        <v>2953159.196</v>
      </c>
      <c r="I138" s="55">
        <f t="shared" si="73"/>
        <v>3105285.608</v>
      </c>
      <c r="J138" s="55"/>
      <c r="Z138" s="144" t="str">
        <f t="shared" ref="Z138:AG138" si="74">P138</f>
        <v/>
      </c>
      <c r="AA138" s="144" t="str">
        <f t="shared" si="74"/>
        <v/>
      </c>
      <c r="AB138" s="144" t="str">
        <f t="shared" si="74"/>
        <v/>
      </c>
      <c r="AC138" s="144" t="str">
        <f t="shared" si="74"/>
        <v/>
      </c>
      <c r="AD138" s="144" t="str">
        <f t="shared" si="74"/>
        <v/>
      </c>
      <c r="AE138" s="144" t="str">
        <f t="shared" si="74"/>
        <v/>
      </c>
      <c r="AF138" s="144" t="str">
        <f t="shared" si="74"/>
        <v/>
      </c>
      <c r="AG138" s="144" t="str">
        <f t="shared" si="74"/>
        <v/>
      </c>
    </row>
    <row r="139">
      <c r="A139" s="43"/>
      <c r="C139" s="55"/>
      <c r="D139" s="55"/>
      <c r="E139" s="55"/>
      <c r="F139" s="55"/>
      <c r="G139" s="55"/>
      <c r="H139" s="55"/>
      <c r="I139" s="55"/>
      <c r="J139" s="55"/>
      <c r="Q139" s="135"/>
      <c r="Z139" s="144" t="str">
        <f t="shared" ref="Z139:AG139" si="75">P139</f>
        <v/>
      </c>
      <c r="AA139" s="135" t="str">
        <f t="shared" si="75"/>
        <v/>
      </c>
      <c r="AB139" s="144" t="str">
        <f t="shared" si="75"/>
        <v/>
      </c>
      <c r="AC139" s="144" t="str">
        <f t="shared" si="75"/>
        <v/>
      </c>
      <c r="AD139" s="144" t="str">
        <f t="shared" si="75"/>
        <v/>
      </c>
      <c r="AE139" s="144" t="str">
        <f t="shared" si="75"/>
        <v/>
      </c>
      <c r="AF139" s="144" t="str">
        <f t="shared" si="75"/>
        <v/>
      </c>
      <c r="AG139" s="144" t="str">
        <f t="shared" si="75"/>
        <v/>
      </c>
    </row>
    <row r="140">
      <c r="A140" s="159" t="s">
        <v>107</v>
      </c>
      <c r="C140" s="55">
        <f t="shared" ref="C140:I140" si="76">C136+C138+C123-C121</f>
        <v>7107314.059</v>
      </c>
      <c r="D140" s="55">
        <f t="shared" si="76"/>
        <v>10586729.73</v>
      </c>
      <c r="E140" s="55">
        <f t="shared" si="76"/>
        <v>9211973.585</v>
      </c>
      <c r="F140" s="55">
        <f t="shared" si="76"/>
        <v>15274648.46</v>
      </c>
      <c r="G140" s="55">
        <f t="shared" si="76"/>
        <v>1684912.286</v>
      </c>
      <c r="H140" s="55">
        <f t="shared" si="76"/>
        <v>10046171.73</v>
      </c>
      <c r="I140" s="55">
        <f t="shared" si="76"/>
        <v>4390350.301</v>
      </c>
      <c r="J140" s="55"/>
      <c r="P140" s="55" t="str">
        <f t="shared" ref="P140:P141" si="80">A34</f>
        <v>Enthusiast Hardware Revenue</v>
      </c>
      <c r="Q140" s="135">
        <f t="array" ref="Q140:W140">{
  SUMPRODUCT($B$74:$B$80, {B34;C34;D34;E34;F34;G34;H34}) + SUMPRODUCT($B$83:$B$89, {L34;M34;N34;O34;P34;Q34;R34}),
  SUMPRODUCT($C$74:$C$80, {B34;C34;D34;E34;F34;G34;H34}) + SUMPRODUCT($C$83:$C$89, {L34;M34;N34;O34;P34;Q34;R34}),
  SUMPRODUCT($D$74:$D$80, {B34;C34;D34;E34;F34;G34;H34}) + SUMPRODUCT($D$83:$D$89, {L34;M34;N34;O34;P34;Q34;R34}),
  SUMPRODUCT($E$74:$E$80, {B34;C34;D34;E34;F34;G34;H34}) + SUMPRODUCT($E$83:$E$89, {L34;M34;N34;O34;P34;Q34;R34}),
  SUMPRODUCT($F$74:$F$80, {B34;C34;D34;E34;F34;G34;H34}) + SUMPRODUCT($F$83:$F$89, {L34;M34;N34;O34;P34;Q34;R34}),
  SUMPRODUCT($G$74:$G$80, {B34;C34;D34;E34;F34;G34;H34}) + SUMPRODUCT($G$83:$G$89, {L34;M34;N34;O34;P34;Q34;R34}),
  SUMPRODUCT($H$74:$H$80, {B34;C34;D34;E34;F34;G34;H34}) + SUMPRODUCT($H$83:$H$89, {L34;M34;N34;O34;P34;Q34;R34})
}</f>
        <v>374843.5</v>
      </c>
      <c r="R140" s="144">
        <v>1714909.0125</v>
      </c>
      <c r="S140" s="144">
        <v>3373687.2525000004</v>
      </c>
      <c r="T140" s="144">
        <v>5506708.8691875</v>
      </c>
      <c r="U140" s="144">
        <v>8496631.037462503</v>
      </c>
      <c r="V140" s="144">
        <v>1.27897119737675E7</v>
      </c>
      <c r="W140" s="144">
        <v>1.8486619988895997E7</v>
      </c>
      <c r="Z140" s="55" t="str">
        <f t="shared" ref="Z140:AG140" si="77">P140</f>
        <v>Enthusiast Hardware Revenue</v>
      </c>
      <c r="AA140" s="135">
        <f t="shared" si="77"/>
        <v>374843.5</v>
      </c>
      <c r="AB140" s="144">
        <f t="shared" si="77"/>
        <v>1714909.013</v>
      </c>
      <c r="AC140" s="144">
        <f t="shared" si="77"/>
        <v>3373687.253</v>
      </c>
      <c r="AD140" s="144">
        <f t="shared" si="77"/>
        <v>5506708.869</v>
      </c>
      <c r="AE140" s="144">
        <f t="shared" si="77"/>
        <v>8496631.037</v>
      </c>
      <c r="AF140" s="144">
        <f t="shared" si="77"/>
        <v>12789711.97</v>
      </c>
      <c r="AG140" s="144">
        <f t="shared" si="77"/>
        <v>18486619.99</v>
      </c>
    </row>
    <row r="141">
      <c r="A141" s="159" t="s">
        <v>108</v>
      </c>
      <c r="B141" s="168">
        <f>25%*B144</f>
        <v>4425000</v>
      </c>
      <c r="C141" s="168">
        <f t="shared" ref="C141:E141" si="78">30%*C144</f>
        <v>0</v>
      </c>
      <c r="D141" s="168">
        <f t="shared" si="78"/>
        <v>0</v>
      </c>
      <c r="E141" s="168">
        <f t="shared" si="78"/>
        <v>7350000</v>
      </c>
      <c r="F141" s="168">
        <f>35%*F144</f>
        <v>0</v>
      </c>
      <c r="G141" s="168">
        <f>40%*G144</f>
        <v>4680000</v>
      </c>
      <c r="H141" s="168">
        <f t="shared" ref="H141:I141" si="79">30%*H144</f>
        <v>0</v>
      </c>
      <c r="I141" s="168">
        <f t="shared" si="79"/>
        <v>0</v>
      </c>
      <c r="J141" s="55"/>
      <c r="P141" s="55" t="str">
        <f t="shared" si="80"/>
        <v>Enthusiast Hardware COGS</v>
      </c>
      <c r="Q141" s="135">
        <f t="array" ref="Q141:W141">{
  SUMPRODUCT($B$74:$B$80, {B35;C35;D35;E35;F35;G35;H35}) + SUMPRODUCT($B$83:$B$89, {L35;M35;N35;O35;P35;Q35;R35}),
  SUMPRODUCT($C$74:$C$80, {B35;C35;D35;E35;F35;G35;H35}) + SUMPRODUCT($C$83:$C$89, {L35;M35;N35;O35;P35;Q35;R35}),
  SUMPRODUCT($D$74:$D$80, {B35;C35;D35;E35;F35;G35;H35}) + SUMPRODUCT($D$83:$D$89, {L35;M35;N35;O35;P35;Q35;R35}),
  SUMPRODUCT($E$74:$E$80, {B35;C35;D35;E35;F35;G35;H35}) + SUMPRODUCT($E$83:$E$89, {L35;M35;N35;O35;P35;Q35;R35}),
  SUMPRODUCT($F$74:$F$80, {B35;C35;D35;E35;F35;G35;H35}) + SUMPRODUCT($F$83:$F$89, {L35;M35;N35;O35;P35;Q35;R35}),
  SUMPRODUCT($G$74:$G$80, {B35;C35;D35;E35;F35;G35;H35}) + SUMPRODUCT($G$83:$G$89, {L35;M35;N35;O35;P35;Q35;R35}),
  SUMPRODUCT($H$74:$H$80, {B35;C35;D35;E35;F35;G35;H35}) + SUMPRODUCT($H$83:$H$89, {L35;M35;N35;O35;P35;Q35;R35})
}</f>
        <v>297534.275</v>
      </c>
      <c r="R141" s="144">
        <v>1365909.1956249997</v>
      </c>
      <c r="S141" s="144">
        <v>2683452.1684375</v>
      </c>
      <c r="T141" s="144">
        <v>4377601.550964063</v>
      </c>
      <c r="U141" s="144">
        <v>6755043.289437031</v>
      </c>
      <c r="V141" s="144">
        <v>1.0169949151729593E7</v>
      </c>
      <c r="W141" s="144">
        <v>1.4700299670899417E7</v>
      </c>
      <c r="Z141" s="55" t="str">
        <f t="shared" ref="Z141:AG141" si="81">P141</f>
        <v>Enthusiast Hardware COGS</v>
      </c>
      <c r="AA141" s="135">
        <f t="shared" si="81"/>
        <v>297534.275</v>
      </c>
      <c r="AB141" s="144">
        <f t="shared" si="81"/>
        <v>1365909.196</v>
      </c>
      <c r="AC141" s="144">
        <f t="shared" si="81"/>
        <v>2683452.168</v>
      </c>
      <c r="AD141" s="144">
        <f t="shared" si="81"/>
        <v>4377601.551</v>
      </c>
      <c r="AE141" s="144">
        <f t="shared" si="81"/>
        <v>6755043.289</v>
      </c>
      <c r="AF141" s="144">
        <f t="shared" si="81"/>
        <v>10169949.15</v>
      </c>
      <c r="AG141" s="144">
        <f t="shared" si="81"/>
        <v>14700299.67</v>
      </c>
    </row>
    <row r="142">
      <c r="A142" s="159" t="s">
        <v>109</v>
      </c>
      <c r="B142" s="168">
        <f t="shared" ref="B142:I142" si="82">B144-B141</f>
        <v>13275000</v>
      </c>
      <c r="C142" s="168">
        <f t="shared" si="82"/>
        <v>0</v>
      </c>
      <c r="D142" s="168">
        <f t="shared" si="82"/>
        <v>0</v>
      </c>
      <c r="E142" s="168">
        <f t="shared" si="82"/>
        <v>17150000</v>
      </c>
      <c r="F142" s="168">
        <f t="shared" si="82"/>
        <v>0</v>
      </c>
      <c r="G142" s="168">
        <f t="shared" si="82"/>
        <v>7020000</v>
      </c>
      <c r="H142" s="168">
        <f t="shared" si="82"/>
        <v>0</v>
      </c>
      <c r="I142" s="168">
        <f t="shared" si="82"/>
        <v>0</v>
      </c>
      <c r="J142" s="55"/>
      <c r="Q142" s="135"/>
      <c r="Z142" s="144" t="str">
        <f t="shared" ref="Z142:AG142" si="83">P142</f>
        <v/>
      </c>
      <c r="AA142" s="135" t="str">
        <f t="shared" si="83"/>
        <v/>
      </c>
      <c r="AB142" s="144" t="str">
        <f t="shared" si="83"/>
        <v/>
      </c>
      <c r="AC142" s="144" t="str">
        <f t="shared" si="83"/>
        <v/>
      </c>
      <c r="AD142" s="144" t="str">
        <f t="shared" si="83"/>
        <v/>
      </c>
      <c r="AE142" s="144" t="str">
        <f t="shared" si="83"/>
        <v/>
      </c>
      <c r="AF142" s="144" t="str">
        <f t="shared" si="83"/>
        <v/>
      </c>
      <c r="AG142" s="144" t="str">
        <f t="shared" si="83"/>
        <v/>
      </c>
    </row>
    <row r="143">
      <c r="A143" s="159" t="s">
        <v>110</v>
      </c>
      <c r="B143" s="168">
        <f t="shared" ref="B143:I143" si="84">sum($B$141:B141)</f>
        <v>4425000</v>
      </c>
      <c r="C143" s="168">
        <f t="shared" si="84"/>
        <v>4425000</v>
      </c>
      <c r="D143" s="168">
        <f t="shared" si="84"/>
        <v>4425000</v>
      </c>
      <c r="E143" s="168">
        <f t="shared" si="84"/>
        <v>11775000</v>
      </c>
      <c r="F143" s="168">
        <f t="shared" si="84"/>
        <v>11775000</v>
      </c>
      <c r="G143" s="168">
        <f t="shared" si="84"/>
        <v>16455000</v>
      </c>
      <c r="H143" s="168">
        <f t="shared" si="84"/>
        <v>16455000</v>
      </c>
      <c r="I143" s="168">
        <f t="shared" si="84"/>
        <v>16455000</v>
      </c>
      <c r="J143" s="55"/>
      <c r="P143" s="55" t="str">
        <f t="shared" ref="P143:P150" si="86">A36</f>
        <v>Enthusiast Hardware Margin</v>
      </c>
      <c r="Q143" s="135">
        <f t="array" ref="Q143:W143">{
  SUMPRODUCT($B$74:$B$80, {B36;C36;D36;E36;F36;G36;H36}) + SUMPRODUCT($B$83:$B$89, {L36;M36;N36;O36;P36;Q36;R36}),
  SUMPRODUCT($C$74:$C$80, {B36;C36;D36;E36;F36;G36;H36}) + SUMPRODUCT($C$83:$C$89, {L36;M36;N36;O36;P36;Q36;R36}),
  SUMPRODUCT($D$74:$D$80, {B36;C36;D36;E36;F36;G36;H36}) + SUMPRODUCT($D$83:$D$89, {L36;M36;N36;O36;P36;Q36;R36}),
  SUMPRODUCT($E$74:$E$80, {B36;C36;D36;E36;F36;G36;H36}) + SUMPRODUCT($E$83:$E$89, {L36;M36;N36;O36;P36;Q36;R36}),
  SUMPRODUCT($F$74:$F$80, {B36;C36;D36;E36;F36;G36;H36}) + SUMPRODUCT($F$83:$F$89, {L36;M36;N36;O36;P36;Q36;R36}),
  SUMPRODUCT($G$74:$G$80, {B36;C36;D36;E36;F36;G36;H36}) + SUMPRODUCT($G$83:$G$89, {L36;M36;N36;O36;P36;Q36;R36}),
  SUMPRODUCT($H$74:$H$80, {B36;C36;D36;E36;F36;G36;H36}) + SUMPRODUCT($H$83:$H$89, {L36;M36;N36;O36;P36;Q36;R36})
}</f>
        <v>3713.138975</v>
      </c>
      <c r="R143" s="144">
        <v>19485.382358749994</v>
      </c>
      <c r="S143" s="144">
        <v>49772.810648750004</v>
      </c>
      <c r="T143" s="144">
        <v>65141.22713669375</v>
      </c>
      <c r="U143" s="144">
        <v>94724.18605943563</v>
      </c>
      <c r="V143" s="144">
        <v>139779.15901110088</v>
      </c>
      <c r="W143" s="144">
        <v>207454.99449216167</v>
      </c>
      <c r="Z143" s="55" t="str">
        <f t="shared" ref="Z143:AG143" si="85">P143</f>
        <v>Enthusiast Hardware Margin</v>
      </c>
      <c r="AA143" s="135">
        <f t="shared" si="85"/>
        <v>3713.138975</v>
      </c>
      <c r="AB143" s="144">
        <f t="shared" si="85"/>
        <v>19485.38236</v>
      </c>
      <c r="AC143" s="144">
        <f t="shared" si="85"/>
        <v>49772.81065</v>
      </c>
      <c r="AD143" s="144">
        <f t="shared" si="85"/>
        <v>65141.22714</v>
      </c>
      <c r="AE143" s="144">
        <f t="shared" si="85"/>
        <v>94724.18606</v>
      </c>
      <c r="AF143" s="144">
        <f t="shared" si="85"/>
        <v>139779.159</v>
      </c>
      <c r="AG143" s="144">
        <f t="shared" si="85"/>
        <v>207454.9945</v>
      </c>
    </row>
    <row r="144">
      <c r="A144" s="159" t="s">
        <v>111</v>
      </c>
      <c r="B144" s="168">
        <f>round(C140+D140,-5)</f>
        <v>17700000</v>
      </c>
      <c r="C144" s="168">
        <v>0.0</v>
      </c>
      <c r="D144" s="168">
        <v>0.0</v>
      </c>
      <c r="E144" s="168">
        <f>round(E140+F140,-5)</f>
        <v>24500000</v>
      </c>
      <c r="F144" s="168"/>
      <c r="G144" s="169">
        <f>round(G140+H140,-5)</f>
        <v>11700000</v>
      </c>
      <c r="H144" s="168"/>
      <c r="I144" s="169"/>
      <c r="J144" s="55">
        <f>sum(B144:I144)</f>
        <v>53900000</v>
      </c>
      <c r="P144" s="55" t="str">
        <f t="shared" si="86"/>
        <v/>
      </c>
      <c r="Q144" s="135">
        <f t="array" ref="Q144:W144">{
  SUMPRODUCT($B$74:$B$80, {B37;C37;D37;E37;F37;G37;H37}) + SUMPRODUCT($B$83:$B$89, {L37;M37;N37;O37;P37;Q37;R37}),
  SUMPRODUCT($C$74:$C$80, {B37;C37;D37;E37;F37;G37;H37}) + SUMPRODUCT($C$83:$C$89, {L37;M37;N37;O37;P37;Q37;R37}),
  SUMPRODUCT($D$74:$D$80, {B37;C37;D37;E37;F37;G37;H37}) + SUMPRODUCT($D$83:$D$89, {L37;M37;N37;O37;P37;Q37;R37}),
  SUMPRODUCT($E$74:$E$80, {B37;C37;D37;E37;F37;G37;H37}) + SUMPRODUCT($E$83:$E$89, {L37;M37;N37;O37;P37;Q37;R37}),
  SUMPRODUCT($F$74:$F$80, {B37;C37;D37;E37;F37;G37;H37}) + SUMPRODUCT($F$83:$F$89, {L37;M37;N37;O37;P37;Q37;R37}),
  SUMPRODUCT($G$74:$G$80, {B37;C37;D37;E37;F37;G37;H37}) + SUMPRODUCT($G$83:$G$89, {L37;M37;N37;O37;P37;Q37;R37}),
  SUMPRODUCT($H$74:$H$80, {B37;C37;D37;E37;F37;G37;H37}) + SUMPRODUCT($H$83:$H$89, {L37;M37;N37;O37;P37;Q37;R37})
}</f>
        <v>0</v>
      </c>
      <c r="R144" s="144">
        <v>0.0</v>
      </c>
      <c r="S144" s="144">
        <v>0.0</v>
      </c>
      <c r="T144" s="144">
        <v>0.0</v>
      </c>
      <c r="U144" s="144">
        <v>0.0</v>
      </c>
      <c r="V144" s="144">
        <v>0.0</v>
      </c>
      <c r="W144" s="144">
        <v>0.0</v>
      </c>
      <c r="Z144" s="55" t="str">
        <f t="shared" ref="Z144:AG144" si="87">P144</f>
        <v/>
      </c>
      <c r="AA144" s="135">
        <f t="shared" si="87"/>
        <v>0</v>
      </c>
      <c r="AB144" s="144">
        <f t="shared" si="87"/>
        <v>0</v>
      </c>
      <c r="AC144" s="144">
        <f t="shared" si="87"/>
        <v>0</v>
      </c>
      <c r="AD144" s="144">
        <f t="shared" si="87"/>
        <v>0</v>
      </c>
      <c r="AE144" s="144">
        <f t="shared" si="87"/>
        <v>0</v>
      </c>
      <c r="AF144" s="144">
        <f t="shared" si="87"/>
        <v>0</v>
      </c>
      <c r="AG144" s="144">
        <f t="shared" si="87"/>
        <v>0</v>
      </c>
    </row>
    <row r="145">
      <c r="A145" s="159" t="s">
        <v>112</v>
      </c>
      <c r="B145" s="55">
        <f t="shared" ref="B145:I145" si="88">B144-B140</f>
        <v>17700000</v>
      </c>
      <c r="C145" s="55">
        <f t="shared" si="88"/>
        <v>-7107314.059</v>
      </c>
      <c r="D145" s="55">
        <f t="shared" si="88"/>
        <v>-10586729.73</v>
      </c>
      <c r="E145" s="55">
        <f t="shared" si="88"/>
        <v>15288026.42</v>
      </c>
      <c r="F145" s="55">
        <f t="shared" si="88"/>
        <v>-15274648.46</v>
      </c>
      <c r="G145" s="55">
        <f t="shared" si="88"/>
        <v>10015087.71</v>
      </c>
      <c r="H145" s="55">
        <f t="shared" si="88"/>
        <v>-10046171.73</v>
      </c>
      <c r="I145" s="55">
        <f t="shared" si="88"/>
        <v>-4390350.301</v>
      </c>
      <c r="J145" s="55"/>
      <c r="P145" s="144" t="str">
        <f t="shared" si="86"/>
        <v>Enthusiast Labor Hours</v>
      </c>
      <c r="Q145" s="135">
        <f t="array" ref="Q145:W145">{
  SUMPRODUCT($B$74:$B$80, {B38;C38;D38;E38;F38;G38;H38}) + SUMPRODUCT($B$83:$B$89, {L38;M38;N38;O38;P38;Q38;R38}),
  SUMPRODUCT($C$74:$C$80, {B38;C38;D38;E38;F38;G38;H38}) + SUMPRODUCT($C$83:$C$89, {L38;M38;N38;O38;P38;Q38;R38}),
  SUMPRODUCT($D$74:$D$80, {B38;C38;D38;E38;F38;G38;H38}) + SUMPRODUCT($D$83:$D$89, {L38;M38;N38;O38;P38;Q38;R38}),
  SUMPRODUCT($E$74:$E$80, {B38;C38;D38;E38;F38;G38;H38}) + SUMPRODUCT($E$83:$E$89, {L38;M38;N38;O38;P38;Q38;R38}),
  SUMPRODUCT($F$74:$F$80, {B38;C38;D38;E38;F38;G38;H38}) + SUMPRODUCT($F$83:$F$89, {L38;M38;N38;O38;P38;Q38;R38}),
  SUMPRODUCT($G$74:$G$80, {B38;C38;D38;E38;F38;G38;H38}) + SUMPRODUCT($G$83:$G$89, {L38;M38;N38;O38;P38;Q38;R38}),
  SUMPRODUCT($H$74:$H$80, {B38;C38;D38;E38;F38;G38;H38}) + SUMPRODUCT($H$83:$H$89, {L38;M38;N38;O38;P38;Q38;R38})
}</f>
        <v>2382.4</v>
      </c>
      <c r="R145" s="144">
        <v>10899.480000000003</v>
      </c>
      <c r="S145" s="144">
        <v>21405.86400000001</v>
      </c>
      <c r="T145" s="144">
        <v>34923.45270000001</v>
      </c>
      <c r="U145" s="144">
        <v>53886.32929000002</v>
      </c>
      <c r="V145" s="144">
        <v>81123.67119800003</v>
      </c>
      <c r="W145" s="144">
        <v>117255.51648760003</v>
      </c>
      <c r="Z145" s="144" t="str">
        <f t="shared" ref="Z145:AG145" si="89">P145</f>
        <v>Enthusiast Labor Hours</v>
      </c>
      <c r="AA145" s="135">
        <f t="shared" si="89"/>
        <v>2382.4</v>
      </c>
      <c r="AB145" s="144">
        <f t="shared" si="89"/>
        <v>10899.48</v>
      </c>
      <c r="AC145" s="144">
        <f t="shared" si="89"/>
        <v>21405.864</v>
      </c>
      <c r="AD145" s="144">
        <f t="shared" si="89"/>
        <v>34923.4527</v>
      </c>
      <c r="AE145" s="144">
        <f t="shared" si="89"/>
        <v>53886.32929</v>
      </c>
      <c r="AF145" s="144">
        <f t="shared" si="89"/>
        <v>81123.6712</v>
      </c>
      <c r="AG145" s="144">
        <f t="shared" si="89"/>
        <v>117255.5165</v>
      </c>
    </row>
    <row r="146">
      <c r="A146" s="159" t="s">
        <v>113</v>
      </c>
      <c r="B146" s="55">
        <f t="shared" ref="B146:I146" si="90">sum($B$145:B145)</f>
        <v>17700000</v>
      </c>
      <c r="C146" s="55">
        <f t="shared" si="90"/>
        <v>10592685.94</v>
      </c>
      <c r="D146" s="55">
        <f t="shared" si="90"/>
        <v>5956.211391</v>
      </c>
      <c r="E146" s="55">
        <f t="shared" si="90"/>
        <v>15293982.63</v>
      </c>
      <c r="F146" s="55">
        <f t="shared" si="90"/>
        <v>19334.16726</v>
      </c>
      <c r="G146" s="55">
        <f t="shared" si="90"/>
        <v>10034421.88</v>
      </c>
      <c r="H146" s="55">
        <f t="shared" si="90"/>
        <v>-11749.84462</v>
      </c>
      <c r="I146" s="55">
        <f t="shared" si="90"/>
        <v>-4402100.145</v>
      </c>
      <c r="J146" s="55"/>
      <c r="P146" s="144" t="str">
        <f t="shared" si="86"/>
        <v>Enthusiast Labor Revenue</v>
      </c>
      <c r="Q146" s="135">
        <f t="array" ref="Q146:W146">{
  SUMPRODUCT($B$74:$B$80, {B39;C39;D39;E39;F39;G39;H39}) + SUMPRODUCT($B$83:$B$89, {L39;M39;N39;O39;P39;Q39;R39}),
  SUMPRODUCT($C$74:$C$80, {B39;C39;D39;E39;F39;G39;H39}) + SUMPRODUCT($C$83:$C$89, {L39;M39;N39;O39;P39;Q39;R39}),
  SUMPRODUCT($D$74:$D$80, {B39;C39;D39;E39;F39;G39;H39}) + SUMPRODUCT($D$83:$D$89, {L39;M39;N39;O39;P39;Q39;R39}),
  SUMPRODUCT($E$74:$E$80, {B39;C39;D39;E39;F39;G39;H39}) + SUMPRODUCT($E$83:$E$89, {L39;M39;N39;O39;P39;Q39;R39}),
  SUMPRODUCT($F$74:$F$80, {B39;C39;D39;E39;F39;G39;H39}) + SUMPRODUCT($F$83:$F$89, {L39;M39;N39;O39;P39;Q39;R39}),
  SUMPRODUCT($G$74:$G$80, {B39;C39;D39;E39;F39;G39;H39}) + SUMPRODUCT($G$83:$G$89, {L39;M39;N39;O39;P39;Q39;R39}),
  SUMPRODUCT($H$74:$H$80, {B39;C39;D39;E39;F39;G39;H39}) + SUMPRODUCT($H$83:$H$89, {L39;M39;N39;O39;P39;Q39;R39})
}</f>
        <v>297800</v>
      </c>
      <c r="R146" s="144">
        <v>1362435.0000000005</v>
      </c>
      <c r="S146" s="144">
        <v>2675733.000000001</v>
      </c>
      <c r="T146" s="144">
        <v>4365431.587500002</v>
      </c>
      <c r="U146" s="144">
        <v>6735791.161250003</v>
      </c>
      <c r="V146" s="144">
        <v>1.0140458899750004E7</v>
      </c>
      <c r="W146" s="144">
        <v>1.4656939560950005E7</v>
      </c>
      <c r="Z146" s="144" t="str">
        <f t="shared" ref="Z146:AG146" si="91">P146</f>
        <v>Enthusiast Labor Revenue</v>
      </c>
      <c r="AA146" s="135">
        <f t="shared" si="91"/>
        <v>297800</v>
      </c>
      <c r="AB146" s="144">
        <f t="shared" si="91"/>
        <v>1362435</v>
      </c>
      <c r="AC146" s="144">
        <f t="shared" si="91"/>
        <v>2675733</v>
      </c>
      <c r="AD146" s="144">
        <f t="shared" si="91"/>
        <v>4365431.588</v>
      </c>
      <c r="AE146" s="144">
        <f t="shared" si="91"/>
        <v>6735791.161</v>
      </c>
      <c r="AF146" s="144">
        <f t="shared" si="91"/>
        <v>10140458.9</v>
      </c>
      <c r="AG146" s="144">
        <f t="shared" si="91"/>
        <v>14656939.56</v>
      </c>
    </row>
    <row r="147">
      <c r="A147" s="162" t="s">
        <v>114</v>
      </c>
      <c r="B147" s="142"/>
      <c r="C147" s="142">
        <f>IFS(
  C121&lt;5000000, InputVariables!$E$19,
  C121&lt;10000000, InputVariables!$E$20,
  C121&lt;15000000, InputVariables!$E$21,
  C121&lt;20000000, InputVariables!$E$22,
  C121&lt;30000000, InputVariables!$E$23,
  C121&lt;50000000, InputVariables!$E$24,
  TRUE, "Revenue out of range"
)*C121-C143+C146</f>
        <v>13081429.71</v>
      </c>
      <c r="D147" s="142">
        <f>IFS(
  D121&lt;5000000, InputVariables!$E$19,
  D121&lt;10000000, InputVariables!$E$20,
  D121&lt;15000000, InputVariables!$E$21,
  D121&lt;20000000, InputVariables!$E$22,
  D121&lt;30000000, InputVariables!$E$23,
  D121&lt;50000000, InputVariables!$E$24,
  TRUE, "Revenue out of range"
)*D121-D143+D146</f>
        <v>8940102.325</v>
      </c>
      <c r="E147" s="142">
        <f>IFS(
  E121&lt;5000000, InputVariables!$E$19,
  E121&lt;10000000, InputVariables!$E$20,
  E121&lt;15000000, InputVariables!$E$21,
  E121&lt;20000000, InputVariables!$E$22,
  E121&lt;30000000, InputVariables!$E$23,
  E121&lt;50000000, InputVariables!$E$24,
  TRUE, "Revenue out of range"
)*E121-E143+E146</f>
        <v>34009831.35</v>
      </c>
      <c r="F147" s="142">
        <f>IFS(
  F121&lt;5000000, InputVariables!$E$19,
  F121&lt;10000000, InputVariables!$E$20,
  F121&lt;15000000, InputVariables!$E$21,
  F121&lt;20000000, InputVariables!$E$22,
  F121&lt;30000000, InputVariables!$E$23,
  F121&lt;50000000, InputVariables!$E$24,
  TRUE, "Revenue out of range"
)*F121-F143+F146</f>
        <v>31975512.01</v>
      </c>
      <c r="G147" s="142">
        <f>IFS(
  G121&lt;5000000, InputVariables!$E$19,
  G121&lt;10000000, InputVariables!$E$20,
  G121&lt;15000000, InputVariables!$E$21,
  G121&lt;20000000, InputVariables!$E$22,
  G121&lt;30000000, InputVariables!$E$23,
  G121&lt;50000000, InputVariables!$E$24,
  TRUE, "Revenue out of range"
)*G121-G143+G146</f>
        <v>81942822.17</v>
      </c>
      <c r="H147" s="142">
        <f>IFS(
  H121&lt;5000000, InputVariables!$E$19,
  H121&lt;10000000, InputVariables!$E$20,
  H121&lt;15000000, InputVariables!$E$21,
  H121&lt;20000000, InputVariables!$E$22,
  H121&lt;30000000, InputVariables!$E$23,
  H121&lt;50000000, InputVariables!$E$24,
  TRUE, "Revenue out of range"
)*H121-H143+H146</f>
        <v>168149687.4</v>
      </c>
      <c r="I147" s="142">
        <f>IFS(
  I121&lt;5000000, InputVariables!$E$19,
  I121&lt;10000000, InputVariables!$E$20,
  I121&lt;15000000, InputVariables!$E$21,
  I121&lt;20000000, InputVariables!$E$22,
  I121&lt;30000000, InputVariables!$E$23,
  I121&lt;50000000, InputVariables!$E$24,
  TRUE, "Revenue out of range"
)*I121-I143+I146</f>
        <v>297512195.6</v>
      </c>
      <c r="J147" s="55"/>
      <c r="P147" s="144" t="str">
        <f t="shared" si="86"/>
        <v>Enthusiast Labor Internal COGS</v>
      </c>
      <c r="Q147" s="135">
        <f t="array" ref="Q147:W147">{
  SUMPRODUCT($B$74:$B$80, {B40;C40;D40;E40;F40;G40;H40}) + SUMPRODUCT($B$83:$B$89, {L40;M40;N40;O40;P40;Q40;R40}),
  SUMPRODUCT($C$74:$C$80, {B40;C40;D40;E40;F40;G40;H40}) + SUMPRODUCT($C$83:$C$89, {L40;M40;N40;O40;P40;Q40;R40}),
  SUMPRODUCT($D$74:$D$80, {B40;C40;D40;E40;F40;G40;H40}) + SUMPRODUCT($D$83:$D$89, {L40;M40;N40;O40;P40;Q40;R40}),
  SUMPRODUCT($E$74:$E$80, {B40;C40;D40;E40;F40;G40;H40}) + SUMPRODUCT($E$83:$E$89, {L40;M40;N40;O40;P40;Q40;R40}),
  SUMPRODUCT($F$74:$F$80, {B40;C40;D40;E40;F40;G40;H40}) + SUMPRODUCT($F$83:$F$89, {L40;M40;N40;O40;P40;Q40;R40}),
  SUMPRODUCT($G$74:$G$80, {B40;C40;D40;E40;F40;G40;H40}) + SUMPRODUCT($G$83:$G$89, {L40;M40;N40;O40;P40;Q40;R40}),
  SUMPRODUCT($H$74:$H$80, {B40;C40;D40;E40;F40;G40;H40}) + SUMPRODUCT($H$83:$H$89, {L40;M40;N40;O40;P40;Q40;R40})
}</f>
        <v>214416</v>
      </c>
      <c r="R147" s="144">
        <v>980953.2000000002</v>
      </c>
      <c r="S147" s="144">
        <v>1926527.7600000007</v>
      </c>
      <c r="T147" s="144">
        <v>3143110.7430000016</v>
      </c>
      <c r="U147" s="144">
        <v>4849769.636100002</v>
      </c>
      <c r="V147" s="144">
        <v>7301130.407820003</v>
      </c>
      <c r="W147" s="144">
        <v>1.0552996483884005E7</v>
      </c>
      <c r="Z147" s="144" t="str">
        <f t="shared" ref="Z147:AG147" si="92">P147</f>
        <v>Enthusiast Labor Internal COGS</v>
      </c>
      <c r="AA147" s="135">
        <f t="shared" si="92"/>
        <v>214416</v>
      </c>
      <c r="AB147" s="144">
        <f t="shared" si="92"/>
        <v>980953.2</v>
      </c>
      <c r="AC147" s="144">
        <f t="shared" si="92"/>
        <v>1926527.76</v>
      </c>
      <c r="AD147" s="144">
        <f t="shared" si="92"/>
        <v>3143110.743</v>
      </c>
      <c r="AE147" s="144">
        <f t="shared" si="92"/>
        <v>4849769.636</v>
      </c>
      <c r="AF147" s="144">
        <f t="shared" si="92"/>
        <v>7301130.408</v>
      </c>
      <c r="AG147" s="144">
        <f t="shared" si="92"/>
        <v>10552996.48</v>
      </c>
    </row>
    <row r="148">
      <c r="A148" s="43"/>
      <c r="B148" s="55"/>
      <c r="C148" s="55"/>
      <c r="D148" s="55"/>
      <c r="E148" s="55"/>
      <c r="F148" s="55"/>
      <c r="G148" s="55"/>
      <c r="H148" s="55"/>
      <c r="I148" s="55"/>
      <c r="J148" s="55"/>
      <c r="P148" s="144" t="str">
        <f t="shared" si="86"/>
        <v>Enthusiast Labor Margin</v>
      </c>
      <c r="Q148" s="135">
        <f t="array" ref="Q148:W148">{
  SUMPRODUCT($B$74:$B$80, {B41;C41;D41;E41;F41;G41;H41}) + SUMPRODUCT($B$83:$B$89, {L41;M41;N41;O41;P41;Q41;R41}),
  SUMPRODUCT($C$74:$C$80, {B41;C41;D41;E41;F41;G41;H41}) + SUMPRODUCT($C$83:$C$89, {L41;M41;N41;O41;P41;Q41;R41}),
  SUMPRODUCT($D$74:$D$80, {B41;C41;D41;E41;F41;G41;H41}) + SUMPRODUCT($D$83:$D$89, {L41;M41;N41;O41;P41;Q41;R41}),
  SUMPRODUCT($E$74:$E$80, {B41;C41;D41;E41;F41;G41;H41}) + SUMPRODUCT($E$83:$E$89, {L41;M41;N41;O41;P41;Q41;R41}),
  SUMPRODUCT($F$74:$F$80, {B41;C41;D41;E41;F41;G41;H41}) + SUMPRODUCT($F$83:$F$89, {L41;M41;N41;O41;P41;Q41;R41}),
  SUMPRODUCT($G$74:$G$80, {B41;C41;D41;E41;F41;G41;H41}) + SUMPRODUCT($G$83:$G$89, {L41;M41;N41;O41;P41;Q41;R41}),
  SUMPRODUCT($H$74:$H$80, {B41;C41;D41;E41;F41;G41;H41}) + SUMPRODUCT($H$83:$H$89, {L41;M41;N41;O41;P41;Q41;R41})
}</f>
        <v>83384</v>
      </c>
      <c r="R148" s="144">
        <v>381481.8000000001</v>
      </c>
      <c r="S148" s="144">
        <v>749205.2400000002</v>
      </c>
      <c r="T148" s="144">
        <v>1222320.8445000006</v>
      </c>
      <c r="U148" s="144">
        <v>1886021.5251500008</v>
      </c>
      <c r="V148" s="144">
        <v>2839328.4919300005</v>
      </c>
      <c r="W148" s="144">
        <v>4103943.0770660015</v>
      </c>
      <c r="Z148" s="144" t="str">
        <f t="shared" ref="Z148:AG148" si="93">P148</f>
        <v>Enthusiast Labor Margin</v>
      </c>
      <c r="AA148" s="135">
        <f t="shared" si="93"/>
        <v>83384</v>
      </c>
      <c r="AB148" s="144">
        <f t="shared" si="93"/>
        <v>381481.8</v>
      </c>
      <c r="AC148" s="144">
        <f t="shared" si="93"/>
        <v>749205.24</v>
      </c>
      <c r="AD148" s="144">
        <f t="shared" si="93"/>
        <v>1222320.845</v>
      </c>
      <c r="AE148" s="144">
        <f t="shared" si="93"/>
        <v>1886021.525</v>
      </c>
      <c r="AF148" s="144">
        <f t="shared" si="93"/>
        <v>2839328.492</v>
      </c>
      <c r="AG148" s="144">
        <f t="shared" si="93"/>
        <v>4103943.077</v>
      </c>
    </row>
    <row r="149">
      <c r="A149" s="43"/>
      <c r="B149" s="55"/>
      <c r="C149" s="55"/>
      <c r="D149" s="55"/>
      <c r="E149" s="55"/>
      <c r="F149" s="55"/>
      <c r="G149" s="55"/>
      <c r="H149" s="55"/>
      <c r="I149" s="55"/>
      <c r="J149" s="55"/>
      <c r="P149" s="144" t="str">
        <f t="shared" si="86"/>
        <v/>
      </c>
      <c r="Q149" s="135">
        <f t="array" ref="Q149:W149">{
  SUMPRODUCT($B$74:$B$80, {B42;C42;D42;E42;F42;G42;H42}) + SUMPRODUCT($B$83:$B$89, {L42;M42;N42;O42;P42;Q42;R42}),
  SUMPRODUCT($C$74:$C$80, {B42;C42;D42;E42;F42;G42;H42}) + SUMPRODUCT($C$83:$C$89, {L42;M42;N42;O42;P42;Q42;R42}),
  SUMPRODUCT($D$74:$D$80, {B42;C42;D42;E42;F42;G42;H42}) + SUMPRODUCT($D$83:$D$89, {L42;M42;N42;O42;P42;Q42;R42}),
  SUMPRODUCT($E$74:$E$80, {B42;C42;D42;E42;F42;G42;H42}) + SUMPRODUCT($E$83:$E$89, {L42;M42;N42;O42;P42;Q42;R42}),
  SUMPRODUCT($F$74:$F$80, {B42;C42;D42;E42;F42;G42;H42}) + SUMPRODUCT($F$83:$F$89, {L42;M42;N42;O42;P42;Q42;R42}),
  SUMPRODUCT($G$74:$G$80, {B42;C42;D42;E42;F42;G42;H42}) + SUMPRODUCT($G$83:$G$89, {L42;M42;N42;O42;P42;Q42;R42}),
  SUMPRODUCT($H$74:$H$80, {B42;C42;D42;E42;F42;G42;H42}) + SUMPRODUCT($H$83:$H$89, {L42;M42;N42;O42;P42;Q42;R42})
}</f>
        <v>0</v>
      </c>
      <c r="R149" s="144">
        <v>0.0</v>
      </c>
      <c r="S149" s="144">
        <v>0.0</v>
      </c>
      <c r="T149" s="144">
        <v>0.0</v>
      </c>
      <c r="U149" s="144">
        <v>0.0</v>
      </c>
      <c r="V149" s="144">
        <v>0.0</v>
      </c>
      <c r="W149" s="144">
        <v>0.0</v>
      </c>
      <c r="Z149" s="144" t="str">
        <f t="shared" ref="Z149:AG149" si="94">P149</f>
        <v/>
      </c>
      <c r="AA149" s="135">
        <f t="shared" si="94"/>
        <v>0</v>
      </c>
      <c r="AB149" s="144">
        <f t="shared" si="94"/>
        <v>0</v>
      </c>
      <c r="AC149" s="144">
        <f t="shared" si="94"/>
        <v>0</v>
      </c>
      <c r="AD149" s="144">
        <f t="shared" si="94"/>
        <v>0</v>
      </c>
      <c r="AE149" s="144">
        <f t="shared" si="94"/>
        <v>0</v>
      </c>
      <c r="AF149" s="144">
        <f t="shared" si="94"/>
        <v>0</v>
      </c>
      <c r="AG149" s="144">
        <f t="shared" si="94"/>
        <v>0</v>
      </c>
    </row>
    <row r="150">
      <c r="A150" s="43"/>
      <c r="B150" s="55"/>
      <c r="C150" s="55"/>
      <c r="D150" s="55"/>
      <c r="E150" s="55"/>
      <c r="F150" s="55"/>
      <c r="G150" s="55"/>
      <c r="H150" s="55"/>
      <c r="I150" s="55"/>
      <c r="J150" s="55"/>
      <c r="L150" s="170" t="s">
        <v>66</v>
      </c>
      <c r="M150" s="171" t="s">
        <v>24</v>
      </c>
      <c r="P150" s="144" t="str">
        <f t="shared" si="86"/>
        <v>Enthusiast Customers</v>
      </c>
      <c r="Q150" s="135">
        <f t="array" ref="Q150:W150">{
  SUMPRODUCT($B$74:$B$80, {B43;C43;D43;E43;F43;G43;H43}) + SUMPRODUCT($B$83:$B$89, {L43;M43;N43;O43;P43;Q43;R43}),
  SUMPRODUCT($C$74:$C$80, {B43;C43;D43;E43;F43;G43;H43}) + SUMPRODUCT($C$83:$C$89, {L43;M43;N43;O43;P43;Q43;R43}),
  SUMPRODUCT($D$74:$D$80, {B43;C43;D43;E43;F43;G43;H43}) + SUMPRODUCT($D$83:$D$89, {L43;M43;N43;O43;P43;Q43;R43}),
  SUMPRODUCT($E$74:$E$80, {B43;C43;D43;E43;F43;G43;H43}) + SUMPRODUCT($E$83:$E$89, {L43;M43;N43;O43;P43;Q43;R43}),
  SUMPRODUCT($F$74:$F$80, {B43;C43;D43;E43;F43;G43;H43}) + SUMPRODUCT($F$83:$F$89, {L43;M43;N43;O43;P43;Q43;R43}),
  SUMPRODUCT($G$74:$G$80, {B43;C43;D43;E43;F43;G43;H43}) + SUMPRODUCT($G$83:$G$89, {L43;M43;N43;O43;P43;Q43;R43}),
  SUMPRODUCT($H$74:$H$80, {B43;C43;D43;E43;F43;G43;H43}) + SUMPRODUCT($H$83:$H$89, {L43;M43;N43;O43;P43;Q43;R43})
}</f>
        <v>20</v>
      </c>
      <c r="R150" s="144">
        <v>91.5</v>
      </c>
      <c r="S150" s="144">
        <v>179.70000000000002</v>
      </c>
      <c r="T150" s="144">
        <v>293.17875000000004</v>
      </c>
      <c r="U150" s="144">
        <v>452.37012500000003</v>
      </c>
      <c r="V150" s="144">
        <v>681.0247750000001</v>
      </c>
      <c r="W150" s="144">
        <v>984.3478550000001</v>
      </c>
      <c r="Z150" s="144" t="str">
        <f t="shared" ref="Z150:AG150" si="95">P150</f>
        <v>Enthusiast Customers</v>
      </c>
      <c r="AA150" s="135">
        <f t="shared" si="95"/>
        <v>20</v>
      </c>
      <c r="AB150" s="144">
        <f t="shared" si="95"/>
        <v>91.5</v>
      </c>
      <c r="AC150" s="144">
        <f t="shared" si="95"/>
        <v>179.7</v>
      </c>
      <c r="AD150" s="144">
        <f t="shared" si="95"/>
        <v>293.17875</v>
      </c>
      <c r="AE150" s="144">
        <f t="shared" si="95"/>
        <v>452.370125</v>
      </c>
      <c r="AF150" s="144">
        <f t="shared" si="95"/>
        <v>681.024775</v>
      </c>
      <c r="AG150" s="144">
        <f t="shared" si="95"/>
        <v>984.347855</v>
      </c>
    </row>
    <row r="151">
      <c r="A151" s="43"/>
      <c r="B151" s="55"/>
      <c r="C151" s="55"/>
      <c r="D151" s="55"/>
      <c r="E151" s="55"/>
      <c r="F151" s="55"/>
      <c r="G151" s="55"/>
      <c r="H151" s="55"/>
      <c r="I151" s="55"/>
      <c r="J151" s="55"/>
      <c r="L151" s="136" t="s">
        <v>9</v>
      </c>
      <c r="M151" s="55">
        <v>2.0063885076061404E8</v>
      </c>
      <c r="P151" s="127" t="s">
        <v>115</v>
      </c>
      <c r="Q151" s="94">
        <f>Q150*InputVariables!$N$15</f>
        <v>10</v>
      </c>
      <c r="R151" s="94">
        <f>R150*InputVariables!$N$15</f>
        <v>45.75</v>
      </c>
      <c r="S151" s="94">
        <f>S150*InputVariables!$N$15</f>
        <v>89.85</v>
      </c>
      <c r="T151" s="94">
        <f>T150*InputVariables!$N$15</f>
        <v>146.589375</v>
      </c>
      <c r="U151" s="94">
        <f>U150*InputVariables!$N$15</f>
        <v>226.1850625</v>
      </c>
      <c r="V151" s="94">
        <f>V150*InputVariables!$N$15</f>
        <v>340.5123875</v>
      </c>
      <c r="W151" s="94">
        <f>W150*InputVariables!$N$15</f>
        <v>492.1739275</v>
      </c>
      <c r="Z151" s="144" t="str">
        <f t="shared" ref="Z151:AG151" si="96">P151</f>
        <v>Support Customers (New)</v>
      </c>
      <c r="AA151" s="94">
        <f t="shared" si="96"/>
        <v>10</v>
      </c>
      <c r="AB151" s="94">
        <f t="shared" si="96"/>
        <v>45.75</v>
      </c>
      <c r="AC151" s="94">
        <f t="shared" si="96"/>
        <v>89.85</v>
      </c>
      <c r="AD151" s="94">
        <f t="shared" si="96"/>
        <v>146.589375</v>
      </c>
      <c r="AE151" s="94">
        <f t="shared" si="96"/>
        <v>226.1850625</v>
      </c>
      <c r="AF151" s="94">
        <f t="shared" si="96"/>
        <v>340.5123875</v>
      </c>
      <c r="AG151" s="94">
        <f t="shared" si="96"/>
        <v>492.1739275</v>
      </c>
    </row>
    <row r="152">
      <c r="A152" s="43"/>
      <c r="B152" s="55"/>
      <c r="C152" s="55"/>
      <c r="D152" s="55"/>
      <c r="E152" s="55"/>
      <c r="F152" s="55"/>
      <c r="G152" s="55"/>
      <c r="H152" s="55"/>
      <c r="I152" s="55"/>
      <c r="J152" s="55"/>
      <c r="L152" s="136" t="s">
        <v>10</v>
      </c>
      <c r="M152" s="55">
        <v>1.583019441364081E8</v>
      </c>
      <c r="P152" s="127" t="s">
        <v>116</v>
      </c>
      <c r="Q152" s="94">
        <f t="shared" ref="Q152:W152" si="97">sum($Q$151:Q151)</f>
        <v>10</v>
      </c>
      <c r="R152" s="94">
        <f t="shared" si="97"/>
        <v>55.75</v>
      </c>
      <c r="S152" s="94">
        <f t="shared" si="97"/>
        <v>145.6</v>
      </c>
      <c r="T152" s="94">
        <f t="shared" si="97"/>
        <v>292.189375</v>
      </c>
      <c r="U152" s="94">
        <f t="shared" si="97"/>
        <v>518.3744375</v>
      </c>
      <c r="V152" s="94">
        <f t="shared" si="97"/>
        <v>858.886825</v>
      </c>
      <c r="W152" s="94">
        <f t="shared" si="97"/>
        <v>1351.060753</v>
      </c>
      <c r="Z152" s="144" t="str">
        <f t="shared" ref="Z152:AG152" si="98">P152</f>
        <v>Support Subscribers (Cumulative)</v>
      </c>
      <c r="AA152" s="94">
        <f t="shared" si="98"/>
        <v>10</v>
      </c>
      <c r="AB152" s="94">
        <f t="shared" si="98"/>
        <v>55.75</v>
      </c>
      <c r="AC152" s="94">
        <f t="shared" si="98"/>
        <v>145.6</v>
      </c>
      <c r="AD152" s="94">
        <f t="shared" si="98"/>
        <v>292.189375</v>
      </c>
      <c r="AE152" s="94">
        <f t="shared" si="98"/>
        <v>518.3744375</v>
      </c>
      <c r="AF152" s="94">
        <f t="shared" si="98"/>
        <v>858.886825</v>
      </c>
      <c r="AG152" s="94">
        <f t="shared" si="98"/>
        <v>1351.060753</v>
      </c>
    </row>
    <row r="153">
      <c r="A153" s="43"/>
      <c r="B153" s="55"/>
      <c r="C153" s="55"/>
      <c r="D153" s="55"/>
      <c r="E153" s="55"/>
      <c r="F153" s="55"/>
      <c r="G153" s="55"/>
      <c r="H153" s="55"/>
      <c r="I153" s="55"/>
      <c r="J153" s="55"/>
      <c r="L153" s="140" t="s">
        <v>50</v>
      </c>
      <c r="M153" s="142">
        <v>4.233690662420595E7</v>
      </c>
      <c r="P153" s="127" t="s">
        <v>96</v>
      </c>
      <c r="Q153" s="94"/>
      <c r="R153" s="94">
        <f>Q152*InputVariables!$N$16</f>
        <v>3</v>
      </c>
      <c r="S153" s="94">
        <f>R152*InputVariables!$N$16</f>
        <v>16.725</v>
      </c>
      <c r="T153" s="94">
        <f>S152*InputVariables!$N$16+S154*InputVariables!$N$16</f>
        <v>82.3425</v>
      </c>
      <c r="U153" s="94">
        <f>T152*InputVariables!$N$16+T154*InputVariables!$N$16</f>
        <v>150.610875</v>
      </c>
      <c r="V153" s="94">
        <f>U152*InputVariables!$N$16+U154*InputVariables!$N$16</f>
        <v>265.8414</v>
      </c>
      <c r="W153" s="94">
        <f>V152*InputVariables!$N$16+V154*InputVariables!$N$16</f>
        <v>435.579675</v>
      </c>
      <c r="Z153" s="144" t="str">
        <f t="shared" ref="Z153:AG153" si="99">P153</f>
        <v>Churning Subscribers</v>
      </c>
      <c r="AA153" s="94" t="str">
        <f t="shared" si="99"/>
        <v/>
      </c>
      <c r="AB153" s="94">
        <f t="shared" si="99"/>
        <v>3</v>
      </c>
      <c r="AC153" s="94">
        <f t="shared" si="99"/>
        <v>16.725</v>
      </c>
      <c r="AD153" s="94">
        <f t="shared" si="99"/>
        <v>82.3425</v>
      </c>
      <c r="AE153" s="94">
        <f t="shared" si="99"/>
        <v>150.610875</v>
      </c>
      <c r="AF153" s="94">
        <f t="shared" si="99"/>
        <v>265.8414</v>
      </c>
      <c r="AG153" s="94">
        <f t="shared" si="99"/>
        <v>435.579675</v>
      </c>
    </row>
    <row r="154">
      <c r="A154" s="43"/>
      <c r="B154" s="55"/>
      <c r="C154" s="55"/>
      <c r="D154" s="55"/>
      <c r="E154" s="55"/>
      <c r="F154" s="55"/>
      <c r="G154" s="55"/>
      <c r="H154" s="55"/>
      <c r="I154" s="55"/>
      <c r="J154" s="55"/>
      <c r="L154" s="136"/>
      <c r="M154" s="55"/>
      <c r="P154" s="163" t="s">
        <v>97</v>
      </c>
      <c r="Q154" s="94">
        <f t="shared" ref="Q154:W154" si="100">Q152-Q153</f>
        <v>10</v>
      </c>
      <c r="R154" s="94">
        <f t="shared" si="100"/>
        <v>52.75</v>
      </c>
      <c r="S154" s="94">
        <f t="shared" si="100"/>
        <v>128.875</v>
      </c>
      <c r="T154" s="94">
        <f t="shared" si="100"/>
        <v>209.846875</v>
      </c>
      <c r="U154" s="94">
        <f t="shared" si="100"/>
        <v>367.7635625</v>
      </c>
      <c r="V154" s="94">
        <f t="shared" si="100"/>
        <v>593.045425</v>
      </c>
      <c r="W154" s="94">
        <f t="shared" si="100"/>
        <v>915.4810775</v>
      </c>
      <c r="Z154" s="144" t="str">
        <f t="shared" ref="Z154:AG154" si="101">P154</f>
        <v>Total Subscribers</v>
      </c>
      <c r="AA154" s="94">
        <f t="shared" si="101"/>
        <v>10</v>
      </c>
      <c r="AB154" s="94">
        <f t="shared" si="101"/>
        <v>52.75</v>
      </c>
      <c r="AC154" s="94">
        <f t="shared" si="101"/>
        <v>128.875</v>
      </c>
      <c r="AD154" s="94">
        <f t="shared" si="101"/>
        <v>209.846875</v>
      </c>
      <c r="AE154" s="94">
        <f t="shared" si="101"/>
        <v>367.7635625</v>
      </c>
      <c r="AF154" s="94">
        <f t="shared" si="101"/>
        <v>593.045425</v>
      </c>
      <c r="AG154" s="94">
        <f t="shared" si="101"/>
        <v>915.4810775</v>
      </c>
    </row>
    <row r="155">
      <c r="A155" s="43"/>
      <c r="B155" s="55"/>
      <c r="C155" s="55"/>
      <c r="D155" s="55"/>
      <c r="E155" s="55"/>
      <c r="F155" s="55"/>
      <c r="G155" s="55"/>
      <c r="H155" s="55"/>
      <c r="I155" s="55"/>
      <c r="J155" s="55"/>
      <c r="L155" s="143" t="s">
        <v>11</v>
      </c>
      <c r="M155" s="94">
        <v>271041.74397101003</v>
      </c>
      <c r="P155" s="163" t="s">
        <v>99</v>
      </c>
      <c r="Q155" s="55">
        <f>Q154*((Q140+Q146)/Q150*InputVariables!$N$17)</f>
        <v>23542.5225</v>
      </c>
      <c r="R155" s="55">
        <f>R154*((R140+R146)/R150*InputVariables!$N$17)</f>
        <v>124186.8062</v>
      </c>
      <c r="S155" s="55">
        <f>S154*((S140+S146)/S150*InputVariables!$N$17)</f>
        <v>303691.3325</v>
      </c>
      <c r="T155" s="55">
        <f>T154*((T140+T146)/T150*InputVariables!$N$17)</f>
        <v>494628.7809</v>
      </c>
      <c r="U155" s="55">
        <f>U154*((U140+U146)/U150*InputVariables!$N$17)</f>
        <v>866845.6825</v>
      </c>
      <c r="V155" s="55">
        <f>V154*((V140+V146)/V150*InputVariables!$N$17)</f>
        <v>1397752.828</v>
      </c>
      <c r="W155" s="55">
        <f>W154*((W140+W146)/W150*InputVariables!$N$17)</f>
        <v>2157734.282</v>
      </c>
      <c r="Z155" s="144" t="str">
        <f t="shared" ref="Z155:AG155" si="102">P155</f>
        <v>Revenue of Support</v>
      </c>
      <c r="AA155" s="55">
        <f t="shared" si="102"/>
        <v>23542.5225</v>
      </c>
      <c r="AB155" s="55">
        <f t="shared" si="102"/>
        <v>124186.8062</v>
      </c>
      <c r="AC155" s="55">
        <f t="shared" si="102"/>
        <v>303691.3325</v>
      </c>
      <c r="AD155" s="55">
        <f t="shared" si="102"/>
        <v>494628.7809</v>
      </c>
      <c r="AE155" s="55">
        <f t="shared" si="102"/>
        <v>866845.6825</v>
      </c>
      <c r="AF155" s="55">
        <f t="shared" si="102"/>
        <v>1397752.828</v>
      </c>
      <c r="AG155" s="55">
        <f t="shared" si="102"/>
        <v>2157734.282</v>
      </c>
    </row>
    <row r="156">
      <c r="A156" s="43"/>
      <c r="B156" s="55"/>
      <c r="C156" s="55"/>
      <c r="D156" s="55"/>
      <c r="E156" s="55"/>
      <c r="F156" s="55"/>
      <c r="G156" s="55"/>
      <c r="H156" s="55"/>
      <c r="I156" s="55"/>
      <c r="J156" s="55"/>
      <c r="L156" s="136" t="s">
        <v>12</v>
      </c>
      <c r="M156" s="55">
        <v>3.388021799637625E7</v>
      </c>
      <c r="P156" s="163" t="s">
        <v>100</v>
      </c>
      <c r="Q156" s="55">
        <f>Q155*(1-InputVariables!$M$19)</f>
        <v>16479.76575</v>
      </c>
      <c r="R156" s="55">
        <f>R155*(1-InputVariables!$M$19)</f>
        <v>86930.76433</v>
      </c>
      <c r="S156" s="55">
        <f>S155*(1-InputVariables!$M$19)</f>
        <v>212583.9328</v>
      </c>
      <c r="T156" s="55">
        <f>T155*(1-InputVariables!$M$19)</f>
        <v>346240.1467</v>
      </c>
      <c r="U156" s="55">
        <f>U155*(1-InputVariables!$M$19)</f>
        <v>606791.9777</v>
      </c>
      <c r="V156" s="55">
        <f>V155*(1-InputVariables!$M$19)</f>
        <v>978426.9796</v>
      </c>
      <c r="W156" s="55">
        <f>W155*(1-InputVariables!$M$19)</f>
        <v>1510413.998</v>
      </c>
      <c r="Z156" s="144" t="str">
        <f t="shared" ref="Z156:AG156" si="103">P156</f>
        <v>Cost of Support</v>
      </c>
      <c r="AA156" s="55">
        <f t="shared" si="103"/>
        <v>16479.76575</v>
      </c>
      <c r="AB156" s="55">
        <f t="shared" si="103"/>
        <v>86930.76433</v>
      </c>
      <c r="AC156" s="55">
        <f t="shared" si="103"/>
        <v>212583.9328</v>
      </c>
      <c r="AD156" s="55">
        <f t="shared" si="103"/>
        <v>346240.1467</v>
      </c>
      <c r="AE156" s="55">
        <f t="shared" si="103"/>
        <v>606791.9777</v>
      </c>
      <c r="AF156" s="55">
        <f t="shared" si="103"/>
        <v>978426.9796</v>
      </c>
      <c r="AG156" s="55">
        <f t="shared" si="103"/>
        <v>1510413.998</v>
      </c>
    </row>
    <row r="157">
      <c r="A157" s="43"/>
      <c r="B157" s="55"/>
      <c r="C157" s="55"/>
      <c r="D157" s="55"/>
      <c r="E157" s="55"/>
      <c r="F157" s="55"/>
      <c r="G157" s="55"/>
      <c r="H157" s="55"/>
      <c r="I157" s="55"/>
      <c r="J157" s="55"/>
      <c r="L157" s="145" t="s">
        <v>73</v>
      </c>
      <c r="M157" s="55">
        <v>2.4393756957390904E7</v>
      </c>
      <c r="P157" s="166" t="s">
        <v>117</v>
      </c>
      <c r="Q157" s="135">
        <f t="shared" ref="Q157:W157" si="104">Q140+Q146+Q155</f>
        <v>696186.0225</v>
      </c>
      <c r="R157" s="55">
        <f t="shared" si="104"/>
        <v>3201530.819</v>
      </c>
      <c r="S157" s="55">
        <f t="shared" si="104"/>
        <v>6353111.585</v>
      </c>
      <c r="T157" s="55">
        <f t="shared" si="104"/>
        <v>10366769.24</v>
      </c>
      <c r="U157" s="55">
        <f t="shared" si="104"/>
        <v>16099267.88</v>
      </c>
      <c r="V157" s="55">
        <f t="shared" si="104"/>
        <v>24327923.7</v>
      </c>
      <c r="W157" s="55">
        <f t="shared" si="104"/>
        <v>35301293.83</v>
      </c>
      <c r="Z157" s="144" t="str">
        <f t="shared" ref="Z157:AG157" si="105">P157</f>
        <v>Enthusiast Revenue</v>
      </c>
      <c r="AA157" s="135">
        <f t="shared" si="105"/>
        <v>696186.0225</v>
      </c>
      <c r="AB157" s="55">
        <f t="shared" si="105"/>
        <v>3201530.819</v>
      </c>
      <c r="AC157" s="55">
        <f t="shared" si="105"/>
        <v>6353111.585</v>
      </c>
      <c r="AD157" s="55">
        <f t="shared" si="105"/>
        <v>10366769.24</v>
      </c>
      <c r="AE157" s="55">
        <f t="shared" si="105"/>
        <v>16099267.88</v>
      </c>
      <c r="AF157" s="55">
        <f t="shared" si="105"/>
        <v>24327923.7</v>
      </c>
      <c r="AG157" s="55">
        <f t="shared" si="105"/>
        <v>35301293.83</v>
      </c>
    </row>
    <row r="158">
      <c r="A158" s="43"/>
      <c r="B158" s="55"/>
      <c r="C158" s="55"/>
      <c r="D158" s="55"/>
      <c r="E158" s="55"/>
      <c r="F158" s="55"/>
      <c r="G158" s="55"/>
      <c r="H158" s="55"/>
      <c r="I158" s="55"/>
      <c r="J158" s="55"/>
      <c r="L158" s="140" t="s">
        <v>51</v>
      </c>
      <c r="M158" s="142">
        <v>9486461.03898535</v>
      </c>
      <c r="P158" s="166" t="s">
        <v>118</v>
      </c>
      <c r="Q158" s="135">
        <f t="shared" ref="Q158:W158" si="106">Q141+Q147+Q156</f>
        <v>528430.0408</v>
      </c>
      <c r="R158" s="55">
        <f t="shared" si="106"/>
        <v>2433793.16</v>
      </c>
      <c r="S158" s="55">
        <f t="shared" si="106"/>
        <v>4822563.861</v>
      </c>
      <c r="T158" s="55">
        <f t="shared" si="106"/>
        <v>7866952.441</v>
      </c>
      <c r="U158" s="55">
        <f t="shared" si="106"/>
        <v>12211604.9</v>
      </c>
      <c r="V158" s="55">
        <f t="shared" si="106"/>
        <v>18449506.54</v>
      </c>
      <c r="W158" s="55">
        <f t="shared" si="106"/>
        <v>26763710.15</v>
      </c>
      <c r="Z158" s="144" t="str">
        <f t="shared" ref="Z158:AG158" si="107">P158</f>
        <v>Enthusiast Costs</v>
      </c>
      <c r="AA158" s="135">
        <f t="shared" si="107"/>
        <v>528430.0408</v>
      </c>
      <c r="AB158" s="55">
        <f t="shared" si="107"/>
        <v>2433793.16</v>
      </c>
      <c r="AC158" s="55">
        <f t="shared" si="107"/>
        <v>4822563.861</v>
      </c>
      <c r="AD158" s="55">
        <f t="shared" si="107"/>
        <v>7866952.441</v>
      </c>
      <c r="AE158" s="55">
        <f t="shared" si="107"/>
        <v>12211604.9</v>
      </c>
      <c r="AF158" s="55">
        <f t="shared" si="107"/>
        <v>18449506.54</v>
      </c>
      <c r="AG158" s="55">
        <f t="shared" si="107"/>
        <v>26763710.15</v>
      </c>
    </row>
    <row r="159">
      <c r="A159" s="43"/>
      <c r="B159" s="55"/>
      <c r="C159" s="55"/>
      <c r="D159" s="55"/>
      <c r="E159" s="55"/>
      <c r="F159" s="55"/>
      <c r="G159" s="55"/>
      <c r="H159" s="55"/>
      <c r="I159" s="55"/>
      <c r="J159" s="55"/>
      <c r="L159" s="136"/>
      <c r="M159" s="55"/>
      <c r="P159" s="166" t="s">
        <v>119</v>
      </c>
      <c r="Q159" s="135">
        <f t="shared" ref="Q159:W159" si="108">Q157-Q158</f>
        <v>167755.9818</v>
      </c>
      <c r="R159" s="55">
        <f t="shared" si="108"/>
        <v>767737.6587</v>
      </c>
      <c r="S159" s="55">
        <f t="shared" si="108"/>
        <v>1530547.724</v>
      </c>
      <c r="T159" s="55">
        <f t="shared" si="108"/>
        <v>2499816.797</v>
      </c>
      <c r="U159" s="55">
        <f t="shared" si="108"/>
        <v>3887662.978</v>
      </c>
      <c r="V159" s="55">
        <f t="shared" si="108"/>
        <v>5878417.162</v>
      </c>
      <c r="W159" s="55">
        <f t="shared" si="108"/>
        <v>8537583.68</v>
      </c>
      <c r="Z159" s="144" t="str">
        <f t="shared" ref="Z159:AG159" si="109">P162</f>
        <v/>
      </c>
      <c r="AA159" s="151" t="str">
        <f t="shared" si="109"/>
        <v>Year 1</v>
      </c>
      <c r="AB159" s="151" t="str">
        <f t="shared" si="109"/>
        <v>Year 2</v>
      </c>
      <c r="AC159" s="151" t="str">
        <f t="shared" si="109"/>
        <v>Year 3</v>
      </c>
      <c r="AD159" s="151" t="str">
        <f t="shared" si="109"/>
        <v>Year 4</v>
      </c>
      <c r="AE159" s="151" t="str">
        <f t="shared" si="109"/>
        <v>Year 5</v>
      </c>
      <c r="AF159" s="151" t="str">
        <f t="shared" si="109"/>
        <v>Year 6</v>
      </c>
      <c r="AG159" s="151" t="str">
        <f t="shared" si="109"/>
        <v>Year 7</v>
      </c>
    </row>
    <row r="160">
      <c r="A160" s="43"/>
      <c r="B160" s="55"/>
      <c r="C160" s="55"/>
      <c r="D160" s="55"/>
      <c r="E160" s="55"/>
      <c r="F160" s="55"/>
      <c r="G160" s="55"/>
      <c r="H160" s="55"/>
      <c r="I160" s="55"/>
      <c r="J160" s="55"/>
      <c r="L160" s="136" t="s">
        <v>75</v>
      </c>
      <c r="M160" s="55">
        <v>2.3451906875699028E8</v>
      </c>
      <c r="Z160" s="144" t="str">
        <f t="shared" ref="Z160:AG160" si="110">P163</f>
        <v>Luxury Hardware Revenue</v>
      </c>
      <c r="AA160" s="172">
        <f t="shared" si="110"/>
        <v>17417733.75</v>
      </c>
      <c r="AB160" s="172">
        <f t="shared" si="110"/>
        <v>31409979.86</v>
      </c>
      <c r="AC160" s="172">
        <f t="shared" si="110"/>
        <v>41657106.5</v>
      </c>
      <c r="AD160" s="172">
        <f t="shared" si="110"/>
        <v>54385173.81</v>
      </c>
      <c r="AE160" s="172">
        <f t="shared" si="110"/>
        <v>83642690.74</v>
      </c>
      <c r="AF160" s="172">
        <f t="shared" si="110"/>
        <v>126444543.5</v>
      </c>
      <c r="AG160" s="172">
        <f t="shared" si="110"/>
        <v>173196719.8</v>
      </c>
    </row>
    <row r="161">
      <c r="A161" s="43"/>
      <c r="B161" s="55"/>
      <c r="C161" s="55"/>
      <c r="D161" s="55"/>
      <c r="E161" s="55"/>
      <c r="F161" s="55"/>
      <c r="G161" s="55"/>
      <c r="H161" s="55"/>
      <c r="I161" s="55"/>
      <c r="J161" s="55"/>
      <c r="L161" s="148" t="s">
        <v>120</v>
      </c>
      <c r="M161" s="142">
        <v>5.1823367663191296E7</v>
      </c>
      <c r="Z161" s="144" t="str">
        <f t="shared" ref="Z161:AG161" si="111">P164</f>
        <v>Luxury Hardware Margin</v>
      </c>
      <c r="AA161" s="144" t="str">
        <f t="shared" si="111"/>
        <v/>
      </c>
      <c r="AB161" s="144" t="str">
        <f t="shared" si="111"/>
        <v/>
      </c>
      <c r="AC161" s="144" t="str">
        <f t="shared" si="111"/>
        <v/>
      </c>
      <c r="AD161" s="144" t="str">
        <f t="shared" si="111"/>
        <v/>
      </c>
      <c r="AE161" s="144" t="str">
        <f t="shared" si="111"/>
        <v/>
      </c>
      <c r="AF161" s="144" t="str">
        <f t="shared" si="111"/>
        <v/>
      </c>
      <c r="AG161" s="144" t="str">
        <f t="shared" si="111"/>
        <v/>
      </c>
    </row>
    <row r="162">
      <c r="A162" s="43"/>
      <c r="B162" s="55"/>
      <c r="C162" s="55"/>
      <c r="D162" s="55"/>
      <c r="E162" s="55"/>
      <c r="F162" s="55"/>
      <c r="G162" s="55"/>
      <c r="H162" s="55"/>
      <c r="I162" s="55"/>
      <c r="J162" s="55"/>
      <c r="L162" s="143"/>
      <c r="M162" s="94"/>
      <c r="P162" s="144" t="str">
        <f>CustomerGrowthandMix!L26</f>
        <v/>
      </c>
      <c r="Q162" s="151" t="str">
        <f>CustomerGrowthandMix!M26</f>
        <v>Year 1</v>
      </c>
      <c r="R162" s="151" t="str">
        <f>CustomerGrowthandMix!N26</f>
        <v>Year 2</v>
      </c>
      <c r="S162" s="151" t="str">
        <f>CustomerGrowthandMix!O26</f>
        <v>Year 3</v>
      </c>
      <c r="T162" s="151" t="str">
        <f>CustomerGrowthandMix!P26</f>
        <v>Year 4</v>
      </c>
      <c r="U162" s="151" t="str">
        <f>CustomerGrowthandMix!Q26</f>
        <v>Year 5</v>
      </c>
      <c r="V162" s="151" t="str">
        <f>CustomerGrowthandMix!R26</f>
        <v>Year 6</v>
      </c>
      <c r="W162" s="151" t="str">
        <f>CustomerGrowthandMix!S26</f>
        <v>Year 7</v>
      </c>
      <c r="Z162" s="144" t="str">
        <f t="shared" ref="Z162:AG162" si="112">P165</f>
        <v>Luxury Labor Revenue</v>
      </c>
      <c r="AA162" s="172">
        <f t="shared" si="112"/>
        <v>2028750</v>
      </c>
      <c r="AB162" s="172">
        <f t="shared" si="112"/>
        <v>3658512.5</v>
      </c>
      <c r="AC162" s="172">
        <f t="shared" si="112"/>
        <v>4823015</v>
      </c>
      <c r="AD162" s="172">
        <f t="shared" si="112"/>
        <v>6291424.25</v>
      </c>
      <c r="AE162" s="172">
        <f t="shared" si="112"/>
        <v>9679186.538</v>
      </c>
      <c r="AF162" s="172">
        <f t="shared" si="112"/>
        <v>14640532.53</v>
      </c>
      <c r="AG162" s="172">
        <f t="shared" si="112"/>
        <v>20042665.85</v>
      </c>
    </row>
    <row r="163">
      <c r="A163" s="43"/>
      <c r="B163" s="55"/>
      <c r="C163" s="55"/>
      <c r="D163" s="55"/>
      <c r="E163" s="55"/>
      <c r="F163" s="55"/>
      <c r="G163" s="55"/>
      <c r="H163" s="55"/>
      <c r="I163" s="55"/>
      <c r="J163" s="55"/>
      <c r="L163" s="143" t="s">
        <v>82</v>
      </c>
      <c r="M163" s="94">
        <v>3627635.736423391</v>
      </c>
      <c r="P163" s="144" t="str">
        <f>CustomerGrowthandMix!L27</f>
        <v>Luxury Hardware Revenue</v>
      </c>
      <c r="Q163" s="172">
        <f>CustomerGrowthandMix!M27</f>
        <v>17417733.75</v>
      </c>
      <c r="R163" s="172">
        <f>CustomerGrowthandMix!N27</f>
        <v>31409979.86</v>
      </c>
      <c r="S163" s="172">
        <f>CustomerGrowthandMix!O27</f>
        <v>41657106.5</v>
      </c>
      <c r="T163" s="172">
        <f>CustomerGrowthandMix!P27</f>
        <v>54385173.81</v>
      </c>
      <c r="U163" s="172">
        <f>CustomerGrowthandMix!Q27</f>
        <v>83642690.74</v>
      </c>
      <c r="V163" s="172">
        <f>CustomerGrowthandMix!R27</f>
        <v>126444543.5</v>
      </c>
      <c r="W163" s="172">
        <f>CustomerGrowthandMix!S27</f>
        <v>173196719.8</v>
      </c>
      <c r="Z163" s="144" t="str">
        <f t="shared" ref="Z163:AG163" si="113">P166</f>
        <v>Luxury Customers</v>
      </c>
      <c r="AA163" s="94">
        <f t="shared" si="113"/>
        <v>75</v>
      </c>
      <c r="AB163" s="94">
        <f t="shared" si="113"/>
        <v>135.25</v>
      </c>
      <c r="AC163" s="94">
        <f t="shared" si="113"/>
        <v>178.3</v>
      </c>
      <c r="AD163" s="94">
        <f t="shared" si="113"/>
        <v>232.585</v>
      </c>
      <c r="AE163" s="94">
        <f t="shared" si="113"/>
        <v>357.82575</v>
      </c>
      <c r="AF163" s="94">
        <f t="shared" si="113"/>
        <v>541.23965</v>
      </c>
      <c r="AG163" s="94">
        <f t="shared" si="113"/>
        <v>740.94883</v>
      </c>
    </row>
    <row r="164">
      <c r="A164" s="43"/>
      <c r="B164" s="55"/>
      <c r="C164" s="55"/>
      <c r="D164" s="55"/>
      <c r="E164" s="55"/>
      <c r="F164" s="55"/>
      <c r="G164" s="55"/>
      <c r="H164" s="55"/>
      <c r="I164" s="55"/>
      <c r="J164" s="55"/>
      <c r="L164" s="143" t="s">
        <v>83</v>
      </c>
      <c r="M164" s="94">
        <v>7255271.472846782</v>
      </c>
      <c r="P164" s="144" t="str">
        <f>CustomerGrowthandMix!L28</f>
        <v>Luxury Hardware Margin</v>
      </c>
      <c r="Q164" s="144" t="str">
        <f>CustomerGrowthandMix!M28</f>
        <v/>
      </c>
      <c r="R164" s="144" t="str">
        <f>CustomerGrowthandMix!N28</f>
        <v/>
      </c>
      <c r="S164" s="144" t="str">
        <f>CustomerGrowthandMix!O28</f>
        <v/>
      </c>
      <c r="T164" s="144" t="str">
        <f>CustomerGrowthandMix!P28</f>
        <v/>
      </c>
      <c r="U164" s="144" t="str">
        <f>CustomerGrowthandMix!Q28</f>
        <v/>
      </c>
      <c r="V164" s="144" t="str">
        <f>CustomerGrowthandMix!R28</f>
        <v/>
      </c>
      <c r="W164" s="144" t="str">
        <f>CustomerGrowthandMix!S28</f>
        <v/>
      </c>
      <c r="Z164" s="144" t="str">
        <f t="shared" ref="Z164:AG164" si="114">P167</f>
        <v/>
      </c>
      <c r="AA164" s="144" t="str">
        <f t="shared" si="114"/>
        <v/>
      </c>
      <c r="AB164" s="144" t="str">
        <f t="shared" si="114"/>
        <v/>
      </c>
      <c r="AC164" s="144" t="str">
        <f t="shared" si="114"/>
        <v/>
      </c>
      <c r="AD164" s="144" t="str">
        <f t="shared" si="114"/>
        <v/>
      </c>
      <c r="AE164" s="144" t="str">
        <f t="shared" si="114"/>
        <v/>
      </c>
      <c r="AF164" s="144" t="str">
        <f t="shared" si="114"/>
        <v/>
      </c>
      <c r="AG164" s="144" t="str">
        <f t="shared" si="114"/>
        <v/>
      </c>
    </row>
    <row r="165">
      <c r="A165" s="43"/>
      <c r="B165" s="55"/>
      <c r="C165" s="55"/>
      <c r="D165" s="55"/>
      <c r="E165" s="55"/>
      <c r="F165" s="55"/>
      <c r="G165" s="55"/>
      <c r="H165" s="55"/>
      <c r="I165" s="55"/>
      <c r="J165" s="55"/>
      <c r="L165" s="158" t="s">
        <v>121</v>
      </c>
      <c r="M165" s="94">
        <v>2591168.383159565</v>
      </c>
      <c r="P165" s="144" t="str">
        <f>CustomerGrowthandMix!L29</f>
        <v>Luxury Labor Revenue</v>
      </c>
      <c r="Q165" s="172">
        <f>CustomerGrowthandMix!M29</f>
        <v>2028750</v>
      </c>
      <c r="R165" s="172">
        <f>CustomerGrowthandMix!N29</f>
        <v>3658512.5</v>
      </c>
      <c r="S165" s="172">
        <f>CustomerGrowthandMix!O29</f>
        <v>4823015</v>
      </c>
      <c r="T165" s="172">
        <f>CustomerGrowthandMix!P29</f>
        <v>6291424.25</v>
      </c>
      <c r="U165" s="172">
        <f>CustomerGrowthandMix!Q29</f>
        <v>9679186.538</v>
      </c>
      <c r="V165" s="172">
        <f>CustomerGrowthandMix!R29</f>
        <v>14640532.53</v>
      </c>
      <c r="W165" s="172">
        <f>CustomerGrowthandMix!S29</f>
        <v>20042665.85</v>
      </c>
      <c r="Z165" s="144" t="str">
        <f t="shared" ref="Z165:AG165" si="115">P168</f>
        <v>Revenue Per Luxury Customer</v>
      </c>
      <c r="AA165" s="55">
        <f t="shared" si="115"/>
        <v>259286.45</v>
      </c>
      <c r="AB165" s="55">
        <f t="shared" si="115"/>
        <v>259286.45</v>
      </c>
      <c r="AC165" s="55">
        <f t="shared" si="115"/>
        <v>260684.9215</v>
      </c>
      <c r="AD165" s="55">
        <f t="shared" si="115"/>
        <v>260879.2401</v>
      </c>
      <c r="AE165" s="55">
        <f t="shared" si="115"/>
        <v>260802.5758</v>
      </c>
      <c r="AF165" s="55">
        <f t="shared" si="115"/>
        <v>260670.2521</v>
      </c>
      <c r="AG165" s="55">
        <f t="shared" si="115"/>
        <v>260799.9066</v>
      </c>
    </row>
    <row r="166">
      <c r="A166" s="43"/>
      <c r="B166" s="55"/>
      <c r="C166" s="55"/>
      <c r="D166" s="55"/>
      <c r="E166" s="55"/>
      <c r="F166" s="55"/>
      <c r="G166" s="55"/>
      <c r="H166" s="55"/>
      <c r="I166" s="55"/>
      <c r="J166" s="55"/>
      <c r="L166" s="143" t="s">
        <v>85</v>
      </c>
      <c r="M166" s="94">
        <v>951300.0</v>
      </c>
      <c r="P166" s="144" t="str">
        <f>CustomerGrowthandMix!L30</f>
        <v>Luxury Customers</v>
      </c>
      <c r="Q166" s="94">
        <f>CustomerGrowthandMix!M30</f>
        <v>75</v>
      </c>
      <c r="R166" s="94">
        <f>CustomerGrowthandMix!N30</f>
        <v>135.25</v>
      </c>
      <c r="S166" s="94">
        <f>CustomerGrowthandMix!O30</f>
        <v>178.3</v>
      </c>
      <c r="T166" s="94">
        <f>CustomerGrowthandMix!P30</f>
        <v>232.585</v>
      </c>
      <c r="U166" s="94">
        <f>CustomerGrowthandMix!Q30</f>
        <v>357.82575</v>
      </c>
      <c r="V166" s="94">
        <f>CustomerGrowthandMix!R30</f>
        <v>541.23965</v>
      </c>
      <c r="W166" s="94">
        <f>CustomerGrowthandMix!S30</f>
        <v>740.94883</v>
      </c>
      <c r="Z166" s="144" t="str">
        <f t="shared" ref="Z166:AG166" si="116">P169</f>
        <v># of New Luxury Sub Customers</v>
      </c>
      <c r="AA166" s="173">
        <f t="shared" si="116"/>
        <v>60</v>
      </c>
      <c r="AB166" s="173">
        <f t="shared" si="116"/>
        <v>108.2</v>
      </c>
      <c r="AC166" s="173">
        <f t="shared" si="116"/>
        <v>142.64</v>
      </c>
      <c r="AD166" s="173">
        <f t="shared" si="116"/>
        <v>186.068</v>
      </c>
      <c r="AE166" s="173">
        <f t="shared" si="116"/>
        <v>286.2606</v>
      </c>
      <c r="AF166" s="173">
        <f t="shared" si="116"/>
        <v>432.99172</v>
      </c>
      <c r="AG166" s="173">
        <f t="shared" si="116"/>
        <v>592.759064</v>
      </c>
    </row>
    <row r="167">
      <c r="A167" s="43"/>
      <c r="B167" s="55"/>
      <c r="C167" s="55"/>
      <c r="D167" s="55"/>
      <c r="E167" s="55"/>
      <c r="F167" s="55"/>
      <c r="G167" s="55"/>
      <c r="H167" s="55"/>
      <c r="I167" s="55"/>
      <c r="J167" s="55"/>
      <c r="L167" s="152" t="s">
        <v>86</v>
      </c>
      <c r="M167" s="153">
        <v>1.4425375592429737E7</v>
      </c>
      <c r="P167" s="144" t="str">
        <f>CustomerGrowthandMix!L31</f>
        <v/>
      </c>
      <c r="Q167" s="144" t="str">
        <f>CustomerGrowthandMix!M31</f>
        <v/>
      </c>
      <c r="R167" s="144" t="str">
        <f>CustomerGrowthandMix!N31</f>
        <v/>
      </c>
      <c r="S167" s="144" t="str">
        <f>CustomerGrowthandMix!O31</f>
        <v/>
      </c>
      <c r="T167" s="144" t="str">
        <f>CustomerGrowthandMix!P31</f>
        <v/>
      </c>
      <c r="U167" s="144" t="str">
        <f>CustomerGrowthandMix!Q31</f>
        <v/>
      </c>
      <c r="V167" s="144" t="str">
        <f>CustomerGrowthandMix!R31</f>
        <v/>
      </c>
      <c r="W167" s="144" t="str">
        <f>CustomerGrowthandMix!S31</f>
        <v/>
      </c>
      <c r="Z167" s="173" t="str">
        <f t="shared" ref="Z167:AG167" si="117">P170</f>
        <v>Cumulative Sub Customers</v>
      </c>
      <c r="AA167" s="173">
        <f t="shared" si="117"/>
        <v>60</v>
      </c>
      <c r="AB167" s="173">
        <f t="shared" si="117"/>
        <v>168.2</v>
      </c>
      <c r="AC167" s="173">
        <f t="shared" si="117"/>
        <v>310.84</v>
      </c>
      <c r="AD167" s="173">
        <f t="shared" si="117"/>
        <v>496.908</v>
      </c>
      <c r="AE167" s="173">
        <f t="shared" si="117"/>
        <v>783.1686</v>
      </c>
      <c r="AF167" s="173">
        <f t="shared" si="117"/>
        <v>1216.16032</v>
      </c>
      <c r="AG167" s="173">
        <f t="shared" si="117"/>
        <v>1808.919384</v>
      </c>
    </row>
    <row r="168">
      <c r="A168" s="43"/>
      <c r="B168" s="55"/>
      <c r="C168" s="55"/>
      <c r="D168" s="55"/>
      <c r="E168" s="55"/>
      <c r="F168" s="55"/>
      <c r="G168" s="55"/>
      <c r="H168" s="55"/>
      <c r="I168" s="55"/>
      <c r="J168" s="55"/>
      <c r="L168" s="143"/>
      <c r="M168" s="94"/>
      <c r="P168" s="144" t="str">
        <f>CustomerGrowthandMix!L32</f>
        <v>Revenue Per Luxury Customer</v>
      </c>
      <c r="Q168" s="55">
        <f>CustomerGrowthandMix!M32</f>
        <v>259286.45</v>
      </c>
      <c r="R168" s="55">
        <f>CustomerGrowthandMix!N32</f>
        <v>259286.45</v>
      </c>
      <c r="S168" s="55">
        <f>CustomerGrowthandMix!O32</f>
        <v>260684.9215</v>
      </c>
      <c r="T168" s="55">
        <f>CustomerGrowthandMix!P32</f>
        <v>260879.2401</v>
      </c>
      <c r="U168" s="55">
        <f>CustomerGrowthandMix!Q32</f>
        <v>260802.5758</v>
      </c>
      <c r="V168" s="55">
        <f>CustomerGrowthandMix!R32</f>
        <v>260670.2521</v>
      </c>
      <c r="W168" s="55">
        <f>CustomerGrowthandMix!S32</f>
        <v>260799.9066</v>
      </c>
      <c r="Z168" s="173" t="str">
        <f t="shared" ref="Z168:AG168" si="118">P171</f>
        <v>Churning Luxury Sub Customers</v>
      </c>
      <c r="AA168" s="173" t="str">
        <f t="shared" si="118"/>
        <v/>
      </c>
      <c r="AB168" s="173">
        <f t="shared" si="118"/>
        <v>12</v>
      </c>
      <c r="AC168" s="173">
        <f t="shared" si="118"/>
        <v>33.64</v>
      </c>
      <c r="AD168" s="173">
        <f t="shared" si="118"/>
        <v>117.608</v>
      </c>
      <c r="AE168" s="173">
        <f t="shared" si="118"/>
        <v>175.2416</v>
      </c>
      <c r="AF168" s="173">
        <f t="shared" si="118"/>
        <v>278.21912</v>
      </c>
      <c r="AG168" s="173">
        <f t="shared" si="118"/>
        <v>430.820304</v>
      </c>
    </row>
    <row r="169">
      <c r="A169" s="43"/>
      <c r="B169" s="55"/>
      <c r="C169" s="55"/>
      <c r="D169" s="55"/>
      <c r="E169" s="55"/>
      <c r="F169" s="55"/>
      <c r="G169" s="55"/>
      <c r="H169" s="55"/>
      <c r="I169" s="55"/>
      <c r="J169" s="55"/>
      <c r="L169" s="154" t="s">
        <v>87</v>
      </c>
      <c r="M169" s="155">
        <v>3.739799207076156E7</v>
      </c>
      <c r="P169" s="144" t="str">
        <f>CustomerGrowthandMix!L33</f>
        <v># of New Luxury Sub Customers</v>
      </c>
      <c r="Q169" s="173">
        <f>CustomerGrowthandMix!M33</f>
        <v>60</v>
      </c>
      <c r="R169" s="173">
        <f>CustomerGrowthandMix!N33</f>
        <v>108.2</v>
      </c>
      <c r="S169" s="173">
        <f>CustomerGrowthandMix!O33</f>
        <v>142.64</v>
      </c>
      <c r="T169" s="173">
        <f>CustomerGrowthandMix!P33</f>
        <v>186.068</v>
      </c>
      <c r="U169" s="173">
        <f>CustomerGrowthandMix!Q33</f>
        <v>286.2606</v>
      </c>
      <c r="V169" s="173">
        <f>CustomerGrowthandMix!R33</f>
        <v>432.99172</v>
      </c>
      <c r="W169" s="173">
        <f>CustomerGrowthandMix!S33</f>
        <v>592.759064</v>
      </c>
      <c r="Z169" s="173" t="str">
        <f t="shared" ref="Z169:AG169" si="119">P172</f>
        <v>Total Luxury Sub Customers</v>
      </c>
      <c r="AA169" s="173">
        <f t="shared" si="119"/>
        <v>60</v>
      </c>
      <c r="AB169" s="173">
        <f t="shared" si="119"/>
        <v>156.2</v>
      </c>
      <c r="AC169" s="173">
        <f t="shared" si="119"/>
        <v>277.2</v>
      </c>
      <c r="AD169" s="173">
        <f t="shared" si="119"/>
        <v>379.3</v>
      </c>
      <c r="AE169" s="173">
        <f t="shared" si="119"/>
        <v>607.927</v>
      </c>
      <c r="AF169" s="173">
        <f t="shared" si="119"/>
        <v>937.9412</v>
      </c>
      <c r="AG169" s="173">
        <f t="shared" si="119"/>
        <v>1378.09908</v>
      </c>
    </row>
    <row r="170">
      <c r="A170" s="43"/>
      <c r="B170" s="55"/>
      <c r="C170" s="55"/>
      <c r="D170" s="55"/>
      <c r="E170" s="55"/>
      <c r="F170" s="55"/>
      <c r="G170" s="55"/>
      <c r="H170" s="55"/>
      <c r="I170" s="55"/>
      <c r="J170" s="55"/>
      <c r="P170" s="173" t="str">
        <f>CustomerGrowthandMix!L34</f>
        <v>Cumulative Sub Customers</v>
      </c>
      <c r="Q170" s="173">
        <f>CustomerGrowthandMix!M34</f>
        <v>60</v>
      </c>
      <c r="R170" s="173">
        <f>CustomerGrowthandMix!N34</f>
        <v>168.2</v>
      </c>
      <c r="S170" s="173">
        <f>CustomerGrowthandMix!O34</f>
        <v>310.84</v>
      </c>
      <c r="T170" s="173">
        <f>CustomerGrowthandMix!P34</f>
        <v>496.908</v>
      </c>
      <c r="U170" s="173">
        <f>CustomerGrowthandMix!Q34</f>
        <v>783.1686</v>
      </c>
      <c r="V170" s="173">
        <f>CustomerGrowthandMix!R34</f>
        <v>1216.16032</v>
      </c>
      <c r="W170" s="173">
        <f>CustomerGrowthandMix!S34</f>
        <v>1808.919384</v>
      </c>
      <c r="Z170" s="144" t="str">
        <f t="shared" ref="Z170:AG170" si="120">P173</f>
        <v/>
      </c>
      <c r="AA170" s="144" t="str">
        <f t="shared" si="120"/>
        <v/>
      </c>
      <c r="AB170" s="144" t="str">
        <f t="shared" si="120"/>
        <v/>
      </c>
      <c r="AC170" s="144" t="str">
        <f t="shared" si="120"/>
        <v/>
      </c>
      <c r="AD170" s="144" t="str">
        <f t="shared" si="120"/>
        <v/>
      </c>
      <c r="AE170" s="144" t="str">
        <f t="shared" si="120"/>
        <v/>
      </c>
      <c r="AF170" s="144" t="str">
        <f t="shared" si="120"/>
        <v/>
      </c>
      <c r="AG170" s="144" t="str">
        <f t="shared" si="120"/>
        <v/>
      </c>
    </row>
    <row r="171">
      <c r="A171" s="43"/>
      <c r="B171" s="55"/>
      <c r="C171" s="55"/>
      <c r="D171" s="55"/>
      <c r="E171" s="55"/>
      <c r="F171" s="55"/>
      <c r="G171" s="55"/>
      <c r="H171" s="55"/>
      <c r="I171" s="55"/>
      <c r="J171" s="55"/>
      <c r="P171" s="173" t="str">
        <f>CustomerGrowthandMix!L35</f>
        <v>Churning Luxury Sub Customers</v>
      </c>
      <c r="Q171" s="173" t="str">
        <f>CustomerGrowthandMix!M35</f>
        <v/>
      </c>
      <c r="R171" s="173">
        <f>CustomerGrowthandMix!N35</f>
        <v>12</v>
      </c>
      <c r="S171" s="173">
        <f>CustomerGrowthandMix!O35</f>
        <v>33.64</v>
      </c>
      <c r="T171" s="173">
        <f>CustomerGrowthandMix!P35</f>
        <v>117.608</v>
      </c>
      <c r="U171" s="173">
        <f>CustomerGrowthandMix!Q35</f>
        <v>175.2416</v>
      </c>
      <c r="V171" s="173">
        <f>CustomerGrowthandMix!R35</f>
        <v>278.21912</v>
      </c>
      <c r="W171" s="173">
        <f>CustomerGrowthandMix!S35</f>
        <v>430.820304</v>
      </c>
      <c r="Z171" s="144" t="str">
        <f t="shared" ref="Z171:AG171" si="121">P174</f>
        <v>Support Revenue Per Customer</v>
      </c>
      <c r="AA171" s="55">
        <f t="shared" si="121"/>
        <v>18150.0515</v>
      </c>
      <c r="AB171" s="55">
        <f t="shared" si="121"/>
        <v>18150.0515</v>
      </c>
      <c r="AC171" s="55">
        <f t="shared" si="121"/>
        <v>18247.9445</v>
      </c>
      <c r="AD171" s="55">
        <f t="shared" si="121"/>
        <v>18261.54681</v>
      </c>
      <c r="AE171" s="55">
        <f t="shared" si="121"/>
        <v>18256.1803</v>
      </c>
      <c r="AF171" s="55">
        <f t="shared" si="121"/>
        <v>18246.91764</v>
      </c>
      <c r="AG171" s="55">
        <f t="shared" si="121"/>
        <v>18255.99346</v>
      </c>
    </row>
    <row r="172">
      <c r="A172" s="43"/>
      <c r="B172" s="55"/>
      <c r="C172" s="55"/>
      <c r="D172" s="55"/>
      <c r="E172" s="55"/>
      <c r="F172" s="55"/>
      <c r="G172" s="55"/>
      <c r="H172" s="55"/>
      <c r="I172" s="55"/>
      <c r="J172" s="55"/>
      <c r="P172" s="173" t="str">
        <f>CustomerGrowthandMix!L36</f>
        <v>Total Luxury Sub Customers</v>
      </c>
      <c r="Q172" s="173">
        <f>CustomerGrowthandMix!M36</f>
        <v>60</v>
      </c>
      <c r="R172" s="173">
        <f>CustomerGrowthandMix!N36</f>
        <v>156.2</v>
      </c>
      <c r="S172" s="173">
        <f>CustomerGrowthandMix!O36</f>
        <v>277.2</v>
      </c>
      <c r="T172" s="173">
        <f>CustomerGrowthandMix!P36</f>
        <v>379.3</v>
      </c>
      <c r="U172" s="173">
        <f>CustomerGrowthandMix!Q36</f>
        <v>607.927</v>
      </c>
      <c r="V172" s="173">
        <f>CustomerGrowthandMix!R36</f>
        <v>937.9412</v>
      </c>
      <c r="W172" s="173">
        <f>CustomerGrowthandMix!S36</f>
        <v>1378.09908</v>
      </c>
      <c r="Z172" s="144" t="str">
        <f t="shared" ref="Z172:AG172" si="122">P175</f>
        <v>Luxury Support Subscription Revenue</v>
      </c>
      <c r="AA172" s="55">
        <f t="shared" si="122"/>
        <v>1089003.09</v>
      </c>
      <c r="AB172" s="55">
        <f t="shared" si="122"/>
        <v>2835038.044</v>
      </c>
      <c r="AC172" s="55">
        <f t="shared" si="122"/>
        <v>5058330.216</v>
      </c>
      <c r="AD172" s="55">
        <f t="shared" si="122"/>
        <v>6926604.704</v>
      </c>
      <c r="AE172" s="55">
        <f t="shared" si="122"/>
        <v>11098424.92</v>
      </c>
      <c r="AF172" s="55">
        <f t="shared" si="122"/>
        <v>17114535.83</v>
      </c>
      <c r="AG172" s="55">
        <f t="shared" si="122"/>
        <v>25158567.8</v>
      </c>
    </row>
    <row r="173">
      <c r="A173" s="43"/>
      <c r="B173" s="55"/>
      <c r="C173" s="55"/>
      <c r="D173" s="55"/>
      <c r="E173" s="55"/>
      <c r="F173" s="55"/>
      <c r="G173" s="55"/>
      <c r="H173" s="55"/>
      <c r="I173" s="55"/>
      <c r="J173" s="55"/>
      <c r="P173" s="144" t="str">
        <f>CustomerGrowthandMix!L37</f>
        <v/>
      </c>
      <c r="Q173" s="144" t="str">
        <f>CustomerGrowthandMix!M37</f>
        <v/>
      </c>
      <c r="R173" s="144" t="str">
        <f>CustomerGrowthandMix!N37</f>
        <v/>
      </c>
      <c r="S173" s="144" t="str">
        <f>CustomerGrowthandMix!O37</f>
        <v/>
      </c>
      <c r="T173" s="144" t="str">
        <f>CustomerGrowthandMix!P37</f>
        <v/>
      </c>
      <c r="U173" s="144" t="str">
        <f>CustomerGrowthandMix!Q37</f>
        <v/>
      </c>
      <c r="V173" s="144" t="str">
        <f>CustomerGrowthandMix!R37</f>
        <v/>
      </c>
      <c r="W173" s="144" t="str">
        <f>CustomerGrowthandMix!S37</f>
        <v/>
      </c>
      <c r="Z173" s="144" t="str">
        <f t="shared" ref="Z173:AG173" si="123">P176</f>
        <v/>
      </c>
      <c r="AA173" s="144" t="str">
        <f t="shared" si="123"/>
        <v/>
      </c>
      <c r="AB173" s="144" t="str">
        <f t="shared" si="123"/>
        <v/>
      </c>
      <c r="AC173" s="144" t="str">
        <f t="shared" si="123"/>
        <v/>
      </c>
      <c r="AD173" s="144" t="str">
        <f t="shared" si="123"/>
        <v/>
      </c>
      <c r="AE173" s="144" t="str">
        <f t="shared" si="123"/>
        <v/>
      </c>
      <c r="AF173" s="144" t="str">
        <f t="shared" si="123"/>
        <v/>
      </c>
      <c r="AG173" s="144" t="str">
        <f t="shared" si="123"/>
        <v/>
      </c>
    </row>
    <row r="174">
      <c r="A174" s="43"/>
      <c r="B174" s="55"/>
      <c r="C174" s="55"/>
      <c r="D174" s="55"/>
      <c r="E174" s="55"/>
      <c r="F174" s="55"/>
      <c r="G174" s="55"/>
      <c r="H174" s="55"/>
      <c r="I174" s="55"/>
      <c r="J174" s="55"/>
      <c r="P174" s="144" t="str">
        <f>CustomerGrowthandMix!L38</f>
        <v>Support Revenue Per Customer</v>
      </c>
      <c r="Q174" s="55">
        <f>CustomerGrowthandMix!M38</f>
        <v>18150.0515</v>
      </c>
      <c r="R174" s="55">
        <f>CustomerGrowthandMix!N38</f>
        <v>18150.0515</v>
      </c>
      <c r="S174" s="55">
        <f>CustomerGrowthandMix!O38</f>
        <v>18247.9445</v>
      </c>
      <c r="T174" s="55">
        <f>CustomerGrowthandMix!P38</f>
        <v>18261.54681</v>
      </c>
      <c r="U174" s="55">
        <f>CustomerGrowthandMix!Q38</f>
        <v>18256.1803</v>
      </c>
      <c r="V174" s="55">
        <f>CustomerGrowthandMix!R38</f>
        <v>18246.91764</v>
      </c>
      <c r="W174" s="55">
        <f>CustomerGrowthandMix!S38</f>
        <v>18255.99346</v>
      </c>
      <c r="Z174" s="144" t="str">
        <f t="shared" ref="Z174:AG174" si="124">P177</f>
        <v>Support Cost Per customer</v>
      </c>
      <c r="AA174" s="55">
        <f t="shared" si="124"/>
        <v>12705.03605</v>
      </c>
      <c r="AB174" s="55">
        <f t="shared" si="124"/>
        <v>12705.03605</v>
      </c>
      <c r="AC174" s="55">
        <f t="shared" si="124"/>
        <v>12773.56115</v>
      </c>
      <c r="AD174" s="55">
        <f t="shared" si="124"/>
        <v>12783.08277</v>
      </c>
      <c r="AE174" s="55">
        <f t="shared" si="124"/>
        <v>12779.32621</v>
      </c>
      <c r="AF174" s="55">
        <f t="shared" si="124"/>
        <v>12772.84235</v>
      </c>
      <c r="AG174" s="55">
        <f t="shared" si="124"/>
        <v>12779.19542</v>
      </c>
    </row>
    <row r="175">
      <c r="A175" s="43"/>
      <c r="B175" s="55"/>
      <c r="C175" s="55"/>
      <c r="D175" s="55"/>
      <c r="E175" s="55"/>
      <c r="F175" s="55"/>
      <c r="G175" s="55"/>
      <c r="H175" s="55"/>
      <c r="I175" s="55"/>
      <c r="J175" s="55"/>
      <c r="P175" s="144" t="str">
        <f>CustomerGrowthandMix!L39</f>
        <v>Luxury Support Subscription Revenue</v>
      </c>
      <c r="Q175" s="55">
        <f>CustomerGrowthandMix!M39</f>
        <v>1089003.09</v>
      </c>
      <c r="R175" s="55">
        <f>CustomerGrowthandMix!N39</f>
        <v>2835038.044</v>
      </c>
      <c r="S175" s="55">
        <f>CustomerGrowthandMix!O39</f>
        <v>5058330.216</v>
      </c>
      <c r="T175" s="55">
        <f>CustomerGrowthandMix!P39</f>
        <v>6926604.704</v>
      </c>
      <c r="U175" s="55">
        <f>CustomerGrowthandMix!Q39</f>
        <v>11098424.92</v>
      </c>
      <c r="V175" s="55">
        <f>CustomerGrowthandMix!R39</f>
        <v>17114535.83</v>
      </c>
      <c r="W175" s="55">
        <f>CustomerGrowthandMix!S39</f>
        <v>25158567.8</v>
      </c>
      <c r="Z175" s="144" t="str">
        <f t="shared" ref="Z175:AG175" si="125">P178</f>
        <v>Luxury Support Costs</v>
      </c>
      <c r="AA175" s="55">
        <f t="shared" si="125"/>
        <v>762302.163</v>
      </c>
      <c r="AB175" s="55">
        <f t="shared" si="125"/>
        <v>1984526.631</v>
      </c>
      <c r="AC175" s="55">
        <f t="shared" si="125"/>
        <v>3540831.151</v>
      </c>
      <c r="AD175" s="55">
        <f t="shared" si="125"/>
        <v>4848623.293</v>
      </c>
      <c r="AE175" s="55">
        <f t="shared" si="125"/>
        <v>7768897.446</v>
      </c>
      <c r="AF175" s="55">
        <f t="shared" si="125"/>
        <v>11980175.08</v>
      </c>
      <c r="AG175" s="55">
        <f t="shared" si="125"/>
        <v>17610997.46</v>
      </c>
    </row>
    <row r="176">
      <c r="A176" s="43"/>
      <c r="B176" s="55"/>
      <c r="C176" s="55"/>
      <c r="D176" s="55"/>
      <c r="E176" s="55"/>
      <c r="F176" s="55"/>
      <c r="G176" s="55"/>
      <c r="H176" s="55"/>
      <c r="I176" s="55"/>
      <c r="J176" s="55"/>
      <c r="P176" s="144" t="str">
        <f>CustomerGrowthandMix!L40</f>
        <v/>
      </c>
      <c r="Q176" s="144" t="str">
        <f>CustomerGrowthandMix!M40</f>
        <v/>
      </c>
      <c r="R176" s="144" t="str">
        <f>CustomerGrowthandMix!N40</f>
        <v/>
      </c>
      <c r="S176" s="144" t="str">
        <f>CustomerGrowthandMix!O40</f>
        <v/>
      </c>
      <c r="T176" s="144" t="str">
        <f>CustomerGrowthandMix!P40</f>
        <v/>
      </c>
      <c r="U176" s="144" t="str">
        <f>CustomerGrowthandMix!Q40</f>
        <v/>
      </c>
      <c r="V176" s="144" t="str">
        <f>CustomerGrowthandMix!R40</f>
        <v/>
      </c>
      <c r="W176" s="144" t="str">
        <f>CustomerGrowthandMix!S40</f>
        <v/>
      </c>
      <c r="Z176" s="144" t="str">
        <f t="shared" ref="Z176:AG176" si="126">P179</f>
        <v>Luxury Revenue</v>
      </c>
      <c r="AA176" s="172">
        <f t="shared" si="126"/>
        <v>20535486.84</v>
      </c>
      <c r="AB176" s="55" t="str">
        <f t="shared" si="126"/>
        <v/>
      </c>
      <c r="AC176" s="55" t="str">
        <f t="shared" si="126"/>
        <v/>
      </c>
      <c r="AD176" s="55" t="str">
        <f t="shared" si="126"/>
        <v/>
      </c>
      <c r="AE176" s="55" t="str">
        <f t="shared" si="126"/>
        <v/>
      </c>
      <c r="AF176" s="55" t="str">
        <f t="shared" si="126"/>
        <v/>
      </c>
      <c r="AG176" s="55" t="str">
        <f t="shared" si="126"/>
        <v/>
      </c>
    </row>
    <row r="177">
      <c r="A177" s="43"/>
      <c r="B177" s="55"/>
      <c r="C177" s="55"/>
      <c r="D177" s="55"/>
      <c r="E177" s="55"/>
      <c r="F177" s="55"/>
      <c r="G177" s="55"/>
      <c r="H177" s="55"/>
      <c r="I177" s="55"/>
      <c r="J177" s="55"/>
      <c r="P177" s="144" t="str">
        <f>CustomerGrowthandMix!L41</f>
        <v>Support Cost Per customer</v>
      </c>
      <c r="Q177" s="55">
        <f>CustomerGrowthandMix!M41</f>
        <v>12705.03605</v>
      </c>
      <c r="R177" s="55">
        <f>CustomerGrowthandMix!N41</f>
        <v>12705.03605</v>
      </c>
      <c r="S177" s="55">
        <f>CustomerGrowthandMix!O41</f>
        <v>12773.56115</v>
      </c>
      <c r="T177" s="55">
        <f>CustomerGrowthandMix!P41</f>
        <v>12783.08277</v>
      </c>
      <c r="U177" s="55">
        <f>CustomerGrowthandMix!Q41</f>
        <v>12779.32621</v>
      </c>
      <c r="V177" s="55">
        <f>CustomerGrowthandMix!R41</f>
        <v>12772.84235</v>
      </c>
      <c r="W177" s="55">
        <f>CustomerGrowthandMix!S41</f>
        <v>12779.19542</v>
      </c>
      <c r="Z177" s="144" t="str">
        <f t="shared" ref="Z177:AG177" si="127">P180</f>
        <v>Luxury Costs</v>
      </c>
      <c r="AA177" s="55" t="str">
        <f t="shared" si="127"/>
        <v/>
      </c>
      <c r="AB177" s="55" t="str">
        <f t="shared" si="127"/>
        <v/>
      </c>
      <c r="AC177" s="55" t="str">
        <f t="shared" si="127"/>
        <v/>
      </c>
      <c r="AD177" s="55" t="str">
        <f t="shared" si="127"/>
        <v/>
      </c>
      <c r="AE177" s="55" t="str">
        <f t="shared" si="127"/>
        <v/>
      </c>
      <c r="AF177" s="55" t="str">
        <f t="shared" si="127"/>
        <v/>
      </c>
      <c r="AG177" s="55" t="str">
        <f t="shared" si="127"/>
        <v/>
      </c>
    </row>
    <row r="178">
      <c r="A178" s="43"/>
      <c r="B178" s="55"/>
      <c r="C178" s="55"/>
      <c r="D178" s="55"/>
      <c r="E178" s="55"/>
      <c r="F178" s="55"/>
      <c r="G178" s="55"/>
      <c r="H178" s="55"/>
      <c r="I178" s="55"/>
      <c r="J178" s="55"/>
      <c r="P178" s="144" t="str">
        <f>CustomerGrowthandMix!L42</f>
        <v>Luxury Support Costs</v>
      </c>
      <c r="Q178" s="55">
        <f>CustomerGrowthandMix!M42</f>
        <v>762302.163</v>
      </c>
      <c r="R178" s="55">
        <f>CustomerGrowthandMix!N42</f>
        <v>1984526.631</v>
      </c>
      <c r="S178" s="55">
        <f>CustomerGrowthandMix!O42</f>
        <v>3540831.151</v>
      </c>
      <c r="T178" s="55">
        <f>CustomerGrowthandMix!P42</f>
        <v>4848623.293</v>
      </c>
      <c r="U178" s="55">
        <f>CustomerGrowthandMix!Q42</f>
        <v>7768897.446</v>
      </c>
      <c r="V178" s="55">
        <f>CustomerGrowthandMix!R42</f>
        <v>11980175.08</v>
      </c>
      <c r="W178" s="55">
        <f>CustomerGrowthandMix!S42</f>
        <v>17610997.46</v>
      </c>
      <c r="Z178" s="144" t="str">
        <f t="shared" ref="Z178:AG178" si="128">P185</f>
        <v>Total Support Customers</v>
      </c>
      <c r="AA178" s="173">
        <f t="shared" si="128"/>
        <v>72</v>
      </c>
      <c r="AB178" s="173">
        <f t="shared" si="128"/>
        <v>221.65</v>
      </c>
      <c r="AC178" s="173">
        <f t="shared" si="128"/>
        <v>441.385</v>
      </c>
      <c r="AD178" s="173">
        <f t="shared" si="128"/>
        <v>641.188375</v>
      </c>
      <c r="AE178" s="173">
        <f t="shared" si="128"/>
        <v>1063.847913</v>
      </c>
      <c r="AF178" s="173">
        <f t="shared" si="128"/>
        <v>1670.037855</v>
      </c>
      <c r="AG178" s="173">
        <f t="shared" si="128"/>
        <v>2508.473861</v>
      </c>
    </row>
    <row r="179">
      <c r="A179" s="43"/>
      <c r="B179" s="55"/>
      <c r="C179" s="55"/>
      <c r="D179" s="55"/>
      <c r="E179" s="55"/>
      <c r="F179" s="55"/>
      <c r="G179" s="55"/>
      <c r="H179" s="55"/>
      <c r="I179" s="55"/>
      <c r="J179" s="55"/>
      <c r="P179" s="166" t="s">
        <v>122</v>
      </c>
      <c r="Q179" s="172">
        <f>Q163+Q165+Q175</f>
        <v>20535486.84</v>
      </c>
      <c r="Z179" s="144" t="str">
        <f t="shared" ref="Z179:AG179" si="129">P186</f>
        <v>Total Support Revenue</v>
      </c>
      <c r="AA179" s="55">
        <f t="shared" si="129"/>
        <v>1113325.61</v>
      </c>
      <c r="AB179" s="55">
        <f t="shared" si="129"/>
        <v>2964177.835</v>
      </c>
      <c r="AC179" s="55">
        <f t="shared" si="129"/>
        <v>5375937.684</v>
      </c>
      <c r="AD179" s="55">
        <f t="shared" si="129"/>
        <v>7441718.216</v>
      </c>
      <c r="AE179" s="55">
        <f t="shared" si="129"/>
        <v>11999957.19</v>
      </c>
      <c r="AF179" s="55">
        <f t="shared" si="129"/>
        <v>18566952.33</v>
      </c>
      <c r="AG179" s="55">
        <f t="shared" si="129"/>
        <v>27400803.97</v>
      </c>
    </row>
    <row r="180">
      <c r="A180" s="43"/>
      <c r="B180" s="55"/>
      <c r="C180" s="55"/>
      <c r="D180" s="55"/>
      <c r="E180" s="55"/>
      <c r="F180" s="55"/>
      <c r="G180" s="55"/>
      <c r="H180" s="55"/>
      <c r="I180" s="55"/>
      <c r="J180" s="55"/>
      <c r="P180" s="166" t="s">
        <v>123</v>
      </c>
      <c r="Z180" s="144" t="str">
        <f t="shared" ref="Z180:AG180" si="130">P187</f>
        <v>Total Support Costs</v>
      </c>
      <c r="AA180" s="55">
        <f t="shared" si="130"/>
        <v>779327.927</v>
      </c>
      <c r="AB180" s="55">
        <f t="shared" si="130"/>
        <v>2074924.484</v>
      </c>
      <c r="AC180" s="55">
        <f t="shared" si="130"/>
        <v>3763156.379</v>
      </c>
      <c r="AD180" s="55">
        <f t="shared" si="130"/>
        <v>5209202.751</v>
      </c>
      <c r="AE180" s="55">
        <f t="shared" si="130"/>
        <v>8399970.036</v>
      </c>
      <c r="AF180" s="55">
        <f t="shared" si="130"/>
        <v>12996866.63</v>
      </c>
      <c r="AG180" s="55">
        <f t="shared" si="130"/>
        <v>19180562.78</v>
      </c>
    </row>
    <row r="181">
      <c r="A181" s="43"/>
      <c r="B181" s="55"/>
      <c r="C181" s="55"/>
      <c r="D181" s="55"/>
      <c r="E181" s="55"/>
      <c r="F181" s="55"/>
      <c r="G181" s="55"/>
      <c r="H181" s="55"/>
      <c r="I181" s="55"/>
      <c r="J181" s="55"/>
      <c r="P181" s="166" t="s">
        <v>124</v>
      </c>
      <c r="Z181" s="144" t="str">
        <f t="shared" ref="Z181:AG181" si="131">#REF!</f>
        <v>#REF!</v>
      </c>
      <c r="AA181" s="144" t="str">
        <f t="shared" si="131"/>
        <v>#REF!</v>
      </c>
      <c r="AB181" s="144" t="str">
        <f t="shared" si="131"/>
        <v>#REF!</v>
      </c>
      <c r="AC181" s="144" t="str">
        <f t="shared" si="131"/>
        <v>#REF!</v>
      </c>
      <c r="AD181" s="144" t="str">
        <f t="shared" si="131"/>
        <v>#REF!</v>
      </c>
      <c r="AE181" s="144" t="str">
        <f t="shared" si="131"/>
        <v>#REF!</v>
      </c>
      <c r="AF181" s="144" t="str">
        <f t="shared" si="131"/>
        <v>#REF!</v>
      </c>
      <c r="AG181" s="144" t="str">
        <f t="shared" si="131"/>
        <v>#REF!</v>
      </c>
    </row>
    <row r="182">
      <c r="A182" s="43"/>
      <c r="B182" s="55"/>
      <c r="C182" s="55"/>
      <c r="D182" s="55"/>
      <c r="E182" s="55"/>
      <c r="F182" s="55"/>
      <c r="G182" s="55"/>
      <c r="H182" s="55"/>
      <c r="I182" s="55"/>
      <c r="J182" s="55"/>
      <c r="Z182" s="144" t="str">
        <f t="shared" ref="Z182:AG182" si="132">#REF!</f>
        <v>#REF!</v>
      </c>
      <c r="AA182" s="144" t="str">
        <f t="shared" si="132"/>
        <v>#REF!</v>
      </c>
      <c r="AB182" s="144" t="str">
        <f t="shared" si="132"/>
        <v>#REF!</v>
      </c>
      <c r="AC182" s="144" t="str">
        <f t="shared" si="132"/>
        <v>#REF!</v>
      </c>
      <c r="AD182" s="144" t="str">
        <f t="shared" si="132"/>
        <v>#REF!</v>
      </c>
      <c r="AE182" s="144" t="str">
        <f t="shared" si="132"/>
        <v>#REF!</v>
      </c>
      <c r="AF182" s="144" t="str">
        <f t="shared" si="132"/>
        <v>#REF!</v>
      </c>
      <c r="AG182" s="144" t="str">
        <f t="shared" si="132"/>
        <v>#REF!</v>
      </c>
    </row>
    <row r="183">
      <c r="A183" s="43"/>
      <c r="B183" s="55"/>
      <c r="C183" s="55"/>
      <c r="D183" s="55"/>
      <c r="E183" s="55"/>
      <c r="F183" s="55"/>
      <c r="G183" s="55"/>
      <c r="H183" s="55"/>
      <c r="I183" s="55"/>
      <c r="J183" s="55"/>
    </row>
    <row r="184">
      <c r="A184" s="43"/>
      <c r="B184" s="55"/>
      <c r="C184" s="55"/>
      <c r="D184" s="55"/>
      <c r="E184" s="55"/>
      <c r="F184" s="55"/>
      <c r="G184" s="55"/>
      <c r="H184" s="55"/>
      <c r="I184" s="55"/>
      <c r="J184" s="55"/>
    </row>
    <row r="185">
      <c r="A185" s="43"/>
      <c r="B185" s="55"/>
      <c r="C185" s="55"/>
      <c r="D185" s="55"/>
      <c r="E185" s="55"/>
      <c r="F185" s="55"/>
      <c r="G185" s="55"/>
      <c r="H185" s="55"/>
      <c r="I185" s="55"/>
      <c r="J185" s="55"/>
      <c r="P185" s="174" t="s">
        <v>98</v>
      </c>
      <c r="Q185" s="175">
        <f t="shared" ref="Q185:W185" si="133">Q172+Q154+Q132</f>
        <v>72</v>
      </c>
      <c r="R185" s="175">
        <f t="shared" si="133"/>
        <v>221.65</v>
      </c>
      <c r="S185" s="175">
        <f t="shared" si="133"/>
        <v>441.385</v>
      </c>
      <c r="T185" s="175">
        <f t="shared" si="133"/>
        <v>641.188375</v>
      </c>
      <c r="U185" s="175">
        <f t="shared" si="133"/>
        <v>1063.847913</v>
      </c>
      <c r="V185" s="175">
        <f t="shared" si="133"/>
        <v>1670.037855</v>
      </c>
      <c r="W185" s="176">
        <f t="shared" si="133"/>
        <v>2508.473861</v>
      </c>
    </row>
    <row r="186">
      <c r="A186" s="43"/>
      <c r="B186" s="55"/>
      <c r="C186" s="55"/>
      <c r="D186" s="55"/>
      <c r="E186" s="55"/>
      <c r="F186" s="55"/>
      <c r="G186" s="55"/>
      <c r="H186" s="55"/>
      <c r="I186" s="55"/>
      <c r="J186" s="55"/>
      <c r="P186" s="177" t="s">
        <v>125</v>
      </c>
      <c r="Q186" s="147">
        <f t="shared" ref="Q186:W186" si="134">Q175+Q155+Q133</f>
        <v>1113325.61</v>
      </c>
      <c r="R186" s="147">
        <f t="shared" si="134"/>
        <v>2964177.835</v>
      </c>
      <c r="S186" s="147">
        <f t="shared" si="134"/>
        <v>5375937.684</v>
      </c>
      <c r="T186" s="147">
        <f t="shared" si="134"/>
        <v>7441718.216</v>
      </c>
      <c r="U186" s="147">
        <f t="shared" si="134"/>
        <v>11999957.19</v>
      </c>
      <c r="V186" s="147">
        <f t="shared" si="134"/>
        <v>18566952.33</v>
      </c>
      <c r="W186" s="178">
        <f t="shared" si="134"/>
        <v>27400803.97</v>
      </c>
    </row>
    <row r="187">
      <c r="A187" s="43"/>
      <c r="B187" s="55"/>
      <c r="C187" s="55"/>
      <c r="D187" s="55"/>
      <c r="E187" s="55"/>
      <c r="F187" s="55"/>
      <c r="G187" s="55"/>
      <c r="H187" s="55"/>
      <c r="I187" s="55"/>
      <c r="J187" s="55"/>
      <c r="P187" s="179" t="s">
        <v>126</v>
      </c>
      <c r="Q187" s="180">
        <f t="shared" ref="Q187:W187" si="135">Q178+Q156+Q134</f>
        <v>779327.927</v>
      </c>
      <c r="R187" s="180">
        <f t="shared" si="135"/>
        <v>2074924.484</v>
      </c>
      <c r="S187" s="180">
        <f t="shared" si="135"/>
        <v>3763156.379</v>
      </c>
      <c r="T187" s="180">
        <f t="shared" si="135"/>
        <v>5209202.751</v>
      </c>
      <c r="U187" s="180">
        <f t="shared" si="135"/>
        <v>8399970.036</v>
      </c>
      <c r="V187" s="180">
        <f t="shared" si="135"/>
        <v>12996866.63</v>
      </c>
      <c r="W187" s="181">
        <f t="shared" si="135"/>
        <v>19180562.78</v>
      </c>
    </row>
    <row r="188">
      <c r="A188" s="43"/>
      <c r="B188" s="55"/>
      <c r="C188" s="55"/>
      <c r="D188" s="55"/>
      <c r="E188" s="55"/>
      <c r="F188" s="55"/>
      <c r="G188" s="55"/>
      <c r="H188" s="55"/>
      <c r="I188" s="55"/>
      <c r="J188" s="55"/>
    </row>
    <row r="189">
      <c r="A189" s="43"/>
      <c r="B189" s="55"/>
      <c r="C189" s="55"/>
      <c r="D189" s="55"/>
      <c r="E189" s="55"/>
      <c r="F189" s="55"/>
      <c r="G189" s="55"/>
      <c r="H189" s="55"/>
      <c r="I189" s="55"/>
      <c r="J189" s="55"/>
    </row>
    <row r="190">
      <c r="A190" s="43"/>
      <c r="B190" s="55"/>
      <c r="C190" s="55"/>
      <c r="D190" s="55"/>
      <c r="E190" s="55"/>
      <c r="F190" s="55"/>
      <c r="G190" s="55"/>
      <c r="H190" s="55"/>
      <c r="I190" s="55"/>
      <c r="J190" s="55"/>
    </row>
    <row r="191">
      <c r="A191" s="43"/>
      <c r="B191" s="55"/>
      <c r="C191" s="55"/>
      <c r="D191" s="55"/>
      <c r="E191" s="55"/>
      <c r="F191" s="55"/>
      <c r="G191" s="55"/>
      <c r="H191" s="55"/>
      <c r="I191" s="55"/>
      <c r="J191" s="55"/>
    </row>
    <row r="192">
      <c r="A192" s="43"/>
      <c r="B192" s="55"/>
      <c r="C192" s="55"/>
      <c r="D192" s="55"/>
      <c r="E192" s="55"/>
      <c r="F192" s="55"/>
      <c r="G192" s="55"/>
      <c r="H192" s="55"/>
      <c r="I192" s="55"/>
      <c r="J192" s="55"/>
    </row>
    <row r="193">
      <c r="A193" s="43"/>
      <c r="B193" s="55"/>
      <c r="C193" s="55"/>
      <c r="D193" s="55"/>
      <c r="E193" s="55"/>
      <c r="F193" s="55"/>
      <c r="G193" s="55"/>
      <c r="H193" s="55"/>
      <c r="I193" s="55"/>
      <c r="J193" s="55"/>
    </row>
    <row r="194">
      <c r="A194" s="43"/>
      <c r="B194" s="55"/>
      <c r="C194" s="55"/>
      <c r="D194" s="55"/>
      <c r="E194" s="55"/>
      <c r="F194" s="55"/>
      <c r="G194" s="55"/>
      <c r="H194" s="55"/>
      <c r="I194" s="55"/>
      <c r="J194" s="55"/>
    </row>
    <row r="195">
      <c r="A195" s="43"/>
      <c r="B195" s="55"/>
      <c r="C195" s="55"/>
      <c r="D195" s="55"/>
      <c r="E195" s="55"/>
      <c r="F195" s="55"/>
      <c r="G195" s="55"/>
      <c r="H195" s="55"/>
      <c r="I195" s="55"/>
      <c r="J195" s="55"/>
      <c r="Q195" s="135"/>
    </row>
    <row r="196">
      <c r="A196" s="43"/>
      <c r="B196" s="55"/>
      <c r="C196" s="55"/>
      <c r="D196" s="55"/>
      <c r="E196" s="55"/>
      <c r="F196" s="55"/>
      <c r="G196" s="55"/>
      <c r="H196" s="55"/>
      <c r="I196" s="55"/>
      <c r="J196" s="55"/>
      <c r="Q196" s="135"/>
    </row>
    <row r="197">
      <c r="A197" s="43"/>
      <c r="B197" s="55"/>
      <c r="C197" s="55"/>
      <c r="D197" s="55"/>
      <c r="E197" s="55"/>
      <c r="F197" s="55"/>
      <c r="G197" s="55"/>
      <c r="H197" s="55"/>
      <c r="I197" s="55"/>
      <c r="J197" s="55"/>
      <c r="Q197" s="135"/>
    </row>
    <row r="198">
      <c r="A198" s="43"/>
      <c r="B198" s="55"/>
      <c r="C198" s="55"/>
      <c r="D198" s="55"/>
      <c r="E198" s="55"/>
      <c r="F198" s="55"/>
      <c r="G198" s="55"/>
      <c r="H198" s="55"/>
      <c r="I198" s="55"/>
      <c r="J198" s="55"/>
      <c r="Q198" s="135"/>
    </row>
    <row r="199">
      <c r="A199" s="43"/>
      <c r="B199" s="55"/>
      <c r="C199" s="55"/>
      <c r="D199" s="55"/>
      <c r="E199" s="55"/>
      <c r="F199" s="55"/>
      <c r="G199" s="55"/>
      <c r="H199" s="55"/>
      <c r="I199" s="55"/>
      <c r="J199" s="55"/>
      <c r="Q199" s="135"/>
    </row>
    <row r="200">
      <c r="A200" s="43"/>
      <c r="B200" s="55"/>
      <c r="C200" s="55"/>
      <c r="D200" s="55"/>
      <c r="E200" s="55"/>
      <c r="F200" s="55"/>
      <c r="G200" s="55"/>
      <c r="H200" s="55"/>
      <c r="I200" s="55"/>
      <c r="J200" s="55"/>
      <c r="Q200" s="135"/>
    </row>
    <row r="201">
      <c r="A201" s="43"/>
      <c r="B201" s="55"/>
      <c r="C201" s="55"/>
      <c r="D201" s="55"/>
      <c r="E201" s="55"/>
      <c r="F201" s="55"/>
      <c r="G201" s="55"/>
      <c r="H201" s="55"/>
      <c r="I201" s="55"/>
      <c r="J201" s="55"/>
      <c r="Q201" s="135"/>
    </row>
    <row r="202">
      <c r="A202" s="43"/>
      <c r="B202" s="55"/>
      <c r="C202" s="55"/>
      <c r="D202" s="55"/>
      <c r="E202" s="55"/>
      <c r="F202" s="55"/>
      <c r="G202" s="55"/>
      <c r="H202" s="55"/>
      <c r="I202" s="55"/>
      <c r="J202" s="55"/>
    </row>
    <row r="203">
      <c r="A203" s="43"/>
      <c r="B203" s="55"/>
      <c r="C203" s="55"/>
      <c r="D203" s="55"/>
      <c r="E203" s="55"/>
      <c r="F203" s="55"/>
      <c r="G203" s="55"/>
      <c r="H203" s="55"/>
      <c r="I203" s="55"/>
      <c r="J203" s="55"/>
    </row>
    <row r="204">
      <c r="A204" s="43"/>
      <c r="B204" s="55"/>
      <c r="C204" s="55"/>
      <c r="D204" s="55"/>
      <c r="E204" s="55"/>
      <c r="F204" s="55"/>
      <c r="G204" s="55"/>
      <c r="H204" s="55"/>
      <c r="I204" s="55"/>
      <c r="J204" s="55"/>
    </row>
    <row r="205">
      <c r="A205" s="43"/>
      <c r="B205" s="55"/>
      <c r="C205" s="55"/>
      <c r="D205" s="55"/>
      <c r="E205" s="55"/>
      <c r="F205" s="55"/>
      <c r="G205" s="55"/>
      <c r="H205" s="55"/>
      <c r="I205" s="55"/>
      <c r="J205" s="55"/>
    </row>
    <row r="206">
      <c r="A206" s="43"/>
      <c r="B206" s="55"/>
      <c r="C206" s="55"/>
      <c r="D206" s="55"/>
      <c r="E206" s="55"/>
      <c r="F206" s="55"/>
      <c r="G206" s="55"/>
      <c r="H206" s="55"/>
      <c r="I206" s="55"/>
      <c r="J206" s="55"/>
    </row>
    <row r="207">
      <c r="A207" s="43"/>
      <c r="B207" s="55"/>
      <c r="C207" s="55"/>
      <c r="D207" s="55"/>
      <c r="E207" s="55"/>
      <c r="F207" s="55"/>
      <c r="G207" s="55"/>
      <c r="H207" s="55"/>
      <c r="I207" s="55"/>
      <c r="J207" s="55"/>
    </row>
    <row r="208">
      <c r="A208" s="43"/>
      <c r="B208" s="55"/>
      <c r="C208" s="55"/>
      <c r="D208" s="55"/>
      <c r="E208" s="55"/>
      <c r="F208" s="55"/>
      <c r="G208" s="55"/>
      <c r="H208" s="55"/>
      <c r="I208" s="55"/>
      <c r="J208" s="55"/>
    </row>
    <row r="209">
      <c r="A209" s="43"/>
      <c r="B209" s="55"/>
      <c r="C209" s="55"/>
      <c r="D209" s="55"/>
      <c r="E209" s="55"/>
      <c r="F209" s="55"/>
      <c r="G209" s="55"/>
      <c r="H209" s="55"/>
      <c r="I209" s="55"/>
      <c r="J209" s="55"/>
    </row>
    <row r="210">
      <c r="A210" s="43"/>
      <c r="B210" s="55"/>
      <c r="C210" s="55"/>
      <c r="D210" s="55"/>
      <c r="E210" s="55"/>
      <c r="F210" s="55"/>
      <c r="G210" s="55"/>
      <c r="H210" s="55"/>
      <c r="I210" s="55"/>
      <c r="J210" s="55"/>
    </row>
    <row r="211">
      <c r="A211" s="43"/>
      <c r="B211" s="55"/>
      <c r="C211" s="55"/>
      <c r="D211" s="55"/>
      <c r="E211" s="55"/>
      <c r="F211" s="55"/>
      <c r="G211" s="55"/>
      <c r="H211" s="55"/>
      <c r="I211" s="55"/>
      <c r="J211" s="55"/>
    </row>
    <row r="212">
      <c r="A212" s="43"/>
      <c r="B212" s="55"/>
      <c r="C212" s="55"/>
      <c r="D212" s="55"/>
      <c r="E212" s="55"/>
      <c r="F212" s="55"/>
      <c r="G212" s="55"/>
      <c r="H212" s="55"/>
      <c r="I212" s="55"/>
      <c r="J212" s="55"/>
    </row>
    <row r="213">
      <c r="A213" s="43"/>
      <c r="B213" s="55"/>
      <c r="C213" s="55"/>
      <c r="D213" s="55"/>
      <c r="E213" s="55"/>
      <c r="F213" s="55"/>
      <c r="G213" s="55"/>
      <c r="H213" s="55"/>
      <c r="I213" s="55"/>
      <c r="J213" s="55"/>
    </row>
    <row r="214">
      <c r="A214" s="43"/>
      <c r="B214" s="55"/>
      <c r="C214" s="55"/>
      <c r="D214" s="55"/>
      <c r="E214" s="55"/>
      <c r="F214" s="55"/>
      <c r="G214" s="55"/>
      <c r="H214" s="55"/>
      <c r="I214" s="55"/>
      <c r="J214" s="55"/>
    </row>
    <row r="215">
      <c r="A215" s="43"/>
      <c r="B215" s="55"/>
      <c r="C215" s="55"/>
      <c r="D215" s="55"/>
      <c r="E215" s="55"/>
      <c r="F215" s="55"/>
      <c r="G215" s="55"/>
      <c r="H215" s="55"/>
      <c r="I215" s="55"/>
      <c r="J215" s="55"/>
    </row>
    <row r="216">
      <c r="A216" s="43"/>
      <c r="B216" s="55"/>
      <c r="C216" s="55"/>
      <c r="D216" s="55"/>
      <c r="E216" s="55"/>
      <c r="F216" s="55"/>
      <c r="G216" s="55"/>
      <c r="H216" s="55"/>
      <c r="I216" s="55"/>
      <c r="J216" s="55"/>
    </row>
    <row r="217">
      <c r="A217" s="43"/>
      <c r="B217" s="55"/>
      <c r="C217" s="55"/>
      <c r="D217" s="55"/>
      <c r="E217" s="55"/>
      <c r="F217" s="55"/>
      <c r="G217" s="55"/>
      <c r="H217" s="55"/>
      <c r="I217" s="55"/>
      <c r="J217" s="55"/>
    </row>
    <row r="218">
      <c r="A218" s="43"/>
      <c r="B218" s="55"/>
      <c r="C218" s="55"/>
      <c r="D218" s="55"/>
      <c r="E218" s="55"/>
      <c r="F218" s="55"/>
      <c r="G218" s="55"/>
      <c r="H218" s="55"/>
      <c r="I218" s="55"/>
      <c r="J218" s="55"/>
    </row>
    <row r="219">
      <c r="A219" s="43"/>
      <c r="B219" s="55"/>
      <c r="C219" s="55"/>
      <c r="D219" s="55"/>
      <c r="E219" s="55"/>
      <c r="F219" s="55"/>
      <c r="G219" s="55"/>
      <c r="H219" s="55"/>
      <c r="I219" s="55"/>
      <c r="J219" s="55"/>
    </row>
    <row r="220">
      <c r="A220" s="43"/>
      <c r="B220" s="55"/>
      <c r="C220" s="55"/>
      <c r="D220" s="55"/>
      <c r="E220" s="55"/>
      <c r="F220" s="55"/>
      <c r="G220" s="55"/>
      <c r="H220" s="55"/>
      <c r="I220" s="55"/>
      <c r="J220" s="55"/>
    </row>
    <row r="221">
      <c r="A221" s="43"/>
      <c r="B221" s="55"/>
      <c r="C221" s="55"/>
      <c r="D221" s="55"/>
      <c r="E221" s="55"/>
      <c r="F221" s="55"/>
      <c r="G221" s="55"/>
      <c r="H221" s="55"/>
      <c r="I221" s="55"/>
      <c r="J221" s="55"/>
    </row>
    <row r="222">
      <c r="A222" s="43"/>
      <c r="B222" s="55"/>
      <c r="C222" s="55"/>
      <c r="D222" s="55"/>
      <c r="E222" s="55"/>
      <c r="F222" s="55"/>
      <c r="G222" s="55"/>
      <c r="H222" s="55"/>
      <c r="I222" s="55"/>
      <c r="J222" s="55"/>
    </row>
    <row r="223">
      <c r="A223" s="43"/>
      <c r="B223" s="55"/>
      <c r="C223" s="55"/>
      <c r="D223" s="55"/>
      <c r="E223" s="55"/>
      <c r="F223" s="55"/>
      <c r="G223" s="55"/>
      <c r="H223" s="55"/>
      <c r="I223" s="55"/>
      <c r="J223" s="55"/>
    </row>
    <row r="224">
      <c r="A224" s="43"/>
      <c r="B224" s="55"/>
      <c r="C224" s="55"/>
      <c r="D224" s="55"/>
      <c r="E224" s="55"/>
      <c r="F224" s="55"/>
      <c r="G224" s="55"/>
      <c r="H224" s="55"/>
      <c r="I224" s="55"/>
      <c r="J224" s="55"/>
    </row>
    <row r="225">
      <c r="A225" s="43"/>
      <c r="B225" s="55"/>
      <c r="C225" s="55"/>
      <c r="D225" s="55"/>
      <c r="E225" s="55"/>
      <c r="F225" s="55"/>
      <c r="G225" s="55"/>
      <c r="H225" s="55"/>
      <c r="I225" s="55"/>
      <c r="J225" s="55"/>
    </row>
    <row r="226">
      <c r="A226" s="43"/>
      <c r="B226" s="55"/>
      <c r="C226" s="55"/>
      <c r="D226" s="55"/>
      <c r="E226" s="55"/>
      <c r="F226" s="55"/>
      <c r="G226" s="55"/>
      <c r="H226" s="55"/>
      <c r="I226" s="55"/>
      <c r="J226" s="55"/>
    </row>
    <row r="227">
      <c r="A227" s="43"/>
      <c r="B227" s="55"/>
      <c r="C227" s="55"/>
      <c r="D227" s="55"/>
      <c r="E227" s="55"/>
      <c r="F227" s="55"/>
      <c r="G227" s="55"/>
      <c r="H227" s="55"/>
      <c r="I227" s="55"/>
      <c r="J227" s="55"/>
    </row>
    <row r="228">
      <c r="A228" s="43"/>
      <c r="B228" s="55"/>
      <c r="C228" s="55"/>
      <c r="D228" s="55"/>
      <c r="E228" s="55"/>
      <c r="F228" s="55"/>
      <c r="G228" s="55"/>
      <c r="H228" s="55"/>
      <c r="I228" s="55"/>
      <c r="J228" s="55"/>
    </row>
    <row r="229">
      <c r="A229" s="43"/>
      <c r="B229" s="55"/>
      <c r="C229" s="55"/>
      <c r="D229" s="55"/>
      <c r="E229" s="55"/>
      <c r="F229" s="55"/>
      <c r="G229" s="55"/>
      <c r="H229" s="55"/>
      <c r="I229" s="55"/>
      <c r="J229" s="55"/>
    </row>
    <row r="230">
      <c r="A230" s="43"/>
      <c r="B230" s="55"/>
      <c r="C230" s="55"/>
      <c r="D230" s="55"/>
      <c r="E230" s="55"/>
      <c r="F230" s="55"/>
      <c r="G230" s="55"/>
      <c r="H230" s="55"/>
      <c r="I230" s="55"/>
      <c r="J230" s="55"/>
    </row>
    <row r="231">
      <c r="A231" s="43"/>
      <c r="B231" s="55"/>
      <c r="C231" s="55"/>
      <c r="D231" s="55"/>
      <c r="E231" s="55"/>
      <c r="F231" s="55"/>
      <c r="G231" s="55"/>
      <c r="H231" s="55"/>
      <c r="I231" s="55"/>
      <c r="J231" s="55"/>
    </row>
    <row r="232">
      <c r="A232" s="43"/>
      <c r="B232" s="55"/>
      <c r="C232" s="55"/>
      <c r="D232" s="55"/>
      <c r="E232" s="55"/>
      <c r="F232" s="55"/>
      <c r="G232" s="55"/>
      <c r="H232" s="55"/>
      <c r="I232" s="55"/>
      <c r="J232" s="55"/>
    </row>
    <row r="233">
      <c r="A233" s="43"/>
      <c r="B233" s="55"/>
      <c r="C233" s="55"/>
      <c r="D233" s="55"/>
      <c r="E233" s="55"/>
      <c r="F233" s="55"/>
      <c r="G233" s="55"/>
      <c r="H233" s="55"/>
      <c r="I233" s="55"/>
      <c r="J233" s="55"/>
    </row>
    <row r="234">
      <c r="A234" s="43"/>
      <c r="B234" s="55"/>
      <c r="C234" s="55"/>
      <c r="D234" s="55"/>
      <c r="E234" s="55"/>
      <c r="F234" s="55"/>
      <c r="G234" s="55"/>
      <c r="H234" s="55"/>
      <c r="I234" s="55"/>
      <c r="J234" s="55"/>
    </row>
    <row r="235">
      <c r="A235" s="43"/>
      <c r="B235" s="55"/>
      <c r="C235" s="55"/>
      <c r="D235" s="55"/>
      <c r="E235" s="55"/>
      <c r="F235" s="55"/>
      <c r="G235" s="55"/>
      <c r="H235" s="55"/>
      <c r="I235" s="55"/>
      <c r="J235" s="55"/>
    </row>
    <row r="236">
      <c r="A236" s="43"/>
      <c r="B236" s="55"/>
      <c r="C236" s="55"/>
      <c r="D236" s="55"/>
      <c r="E236" s="55"/>
      <c r="F236" s="55"/>
      <c r="G236" s="55"/>
      <c r="H236" s="55"/>
      <c r="I236" s="55"/>
      <c r="J236" s="55"/>
    </row>
    <row r="237">
      <c r="A237" s="43"/>
      <c r="B237" s="55"/>
      <c r="C237" s="55"/>
      <c r="D237" s="55"/>
      <c r="E237" s="55"/>
      <c r="F237" s="55"/>
      <c r="G237" s="55"/>
      <c r="H237" s="55"/>
      <c r="I237" s="55"/>
      <c r="J237" s="55"/>
    </row>
    <row r="238">
      <c r="A238" s="43"/>
      <c r="B238" s="55"/>
      <c r="C238" s="55"/>
      <c r="D238" s="55"/>
      <c r="E238" s="55"/>
      <c r="F238" s="55"/>
      <c r="G238" s="55"/>
      <c r="H238" s="55"/>
      <c r="I238" s="55"/>
      <c r="J238" s="55"/>
    </row>
    <row r="239">
      <c r="A239" s="43"/>
      <c r="B239" s="55"/>
      <c r="C239" s="55"/>
      <c r="D239" s="55"/>
      <c r="E239" s="55"/>
      <c r="F239" s="55"/>
      <c r="G239" s="55"/>
      <c r="H239" s="55"/>
      <c r="I239" s="55"/>
      <c r="J239" s="55"/>
    </row>
    <row r="240">
      <c r="A240" s="43"/>
      <c r="B240" s="55"/>
      <c r="C240" s="55"/>
      <c r="D240" s="55"/>
      <c r="E240" s="55"/>
      <c r="F240" s="55"/>
      <c r="G240" s="55"/>
      <c r="H240" s="55"/>
      <c r="I240" s="55"/>
      <c r="J240" s="55"/>
    </row>
    <row r="241">
      <c r="A241" s="43"/>
      <c r="B241" s="55"/>
      <c r="C241" s="55"/>
      <c r="D241" s="55"/>
      <c r="E241" s="55"/>
      <c r="F241" s="55"/>
      <c r="G241" s="55"/>
      <c r="H241" s="55"/>
      <c r="I241" s="55"/>
      <c r="J241" s="55"/>
    </row>
    <row r="242">
      <c r="A242" s="43"/>
      <c r="B242" s="55"/>
      <c r="C242" s="55"/>
      <c r="D242" s="55"/>
      <c r="E242" s="55"/>
      <c r="F242" s="55"/>
      <c r="G242" s="55"/>
      <c r="H242" s="55"/>
      <c r="I242" s="55"/>
      <c r="J242" s="55"/>
    </row>
    <row r="243">
      <c r="A243" s="43"/>
      <c r="B243" s="55"/>
      <c r="C243" s="55"/>
      <c r="D243" s="55"/>
      <c r="E243" s="55"/>
      <c r="F243" s="55"/>
      <c r="G243" s="55"/>
      <c r="H243" s="55"/>
      <c r="I243" s="55"/>
      <c r="J243" s="55"/>
    </row>
    <row r="244">
      <c r="A244" s="43"/>
      <c r="B244" s="55"/>
      <c r="C244" s="55"/>
      <c r="D244" s="55"/>
      <c r="E244" s="55"/>
      <c r="F244" s="55"/>
      <c r="G244" s="55"/>
      <c r="H244" s="55"/>
      <c r="I244" s="55"/>
      <c r="J244" s="55"/>
    </row>
    <row r="245">
      <c r="A245" s="43"/>
      <c r="B245" s="55"/>
      <c r="C245" s="55"/>
      <c r="D245" s="55"/>
      <c r="E245" s="55"/>
      <c r="F245" s="55"/>
      <c r="G245" s="55"/>
      <c r="H245" s="55"/>
      <c r="I245" s="55"/>
      <c r="J245" s="55"/>
    </row>
    <row r="246">
      <c r="A246" s="43"/>
      <c r="B246" s="55"/>
      <c r="C246" s="55"/>
      <c r="D246" s="55"/>
      <c r="E246" s="55"/>
      <c r="F246" s="55"/>
      <c r="G246" s="55"/>
      <c r="H246" s="55"/>
      <c r="I246" s="55"/>
      <c r="J246" s="55"/>
    </row>
    <row r="247">
      <c r="A247" s="43"/>
      <c r="B247" s="55"/>
      <c r="C247" s="55"/>
      <c r="D247" s="55"/>
      <c r="E247" s="55"/>
      <c r="F247" s="55"/>
      <c r="G247" s="55"/>
      <c r="H247" s="55"/>
      <c r="I247" s="55"/>
      <c r="J247" s="55"/>
    </row>
    <row r="248">
      <c r="A248" s="43"/>
      <c r="B248" s="55"/>
      <c r="C248" s="55"/>
      <c r="D248" s="55"/>
      <c r="E248" s="55"/>
      <c r="F248" s="55"/>
      <c r="G248" s="55"/>
      <c r="H248" s="55"/>
      <c r="I248" s="55"/>
      <c r="J248" s="55"/>
    </row>
    <row r="249">
      <c r="A249" s="43"/>
      <c r="B249" s="55"/>
      <c r="C249" s="55"/>
      <c r="D249" s="55"/>
      <c r="E249" s="55"/>
      <c r="F249" s="55"/>
      <c r="G249" s="55"/>
      <c r="H249" s="55"/>
      <c r="I249" s="55"/>
      <c r="J249" s="55"/>
    </row>
    <row r="250">
      <c r="A250" s="43"/>
      <c r="B250" s="55"/>
      <c r="C250" s="55"/>
      <c r="D250" s="55"/>
      <c r="E250" s="55"/>
      <c r="F250" s="55"/>
      <c r="G250" s="55"/>
      <c r="H250" s="55"/>
      <c r="I250" s="55"/>
      <c r="J250" s="55"/>
    </row>
    <row r="251">
      <c r="A251" s="43"/>
      <c r="B251" s="55"/>
      <c r="C251" s="55"/>
      <c r="D251" s="55"/>
      <c r="E251" s="55"/>
      <c r="F251" s="55"/>
      <c r="G251" s="55"/>
      <c r="H251" s="55"/>
      <c r="I251" s="55"/>
      <c r="J251" s="55"/>
    </row>
    <row r="252">
      <c r="A252" s="43"/>
      <c r="B252" s="55"/>
      <c r="C252" s="55"/>
      <c r="D252" s="55"/>
      <c r="E252" s="55"/>
      <c r="F252" s="55"/>
      <c r="G252" s="55"/>
      <c r="H252" s="55"/>
      <c r="I252" s="55"/>
      <c r="J252" s="55"/>
    </row>
    <row r="253">
      <c r="A253" s="43"/>
      <c r="B253" s="55"/>
      <c r="C253" s="55"/>
      <c r="D253" s="55"/>
      <c r="E253" s="55"/>
      <c r="F253" s="55"/>
      <c r="G253" s="55"/>
      <c r="H253" s="55"/>
      <c r="I253" s="55"/>
      <c r="J253" s="55"/>
    </row>
    <row r="254">
      <c r="A254" s="43"/>
      <c r="B254" s="55"/>
      <c r="C254" s="55"/>
      <c r="D254" s="55"/>
      <c r="E254" s="55"/>
      <c r="F254" s="55"/>
      <c r="G254" s="55"/>
      <c r="H254" s="55"/>
      <c r="I254" s="55"/>
      <c r="J254" s="55"/>
    </row>
    <row r="255">
      <c r="A255" s="43"/>
      <c r="B255" s="55"/>
      <c r="C255" s="55"/>
      <c r="D255" s="55"/>
      <c r="E255" s="55"/>
      <c r="F255" s="55"/>
      <c r="G255" s="55"/>
      <c r="H255" s="55"/>
      <c r="I255" s="55"/>
      <c r="J255" s="55"/>
    </row>
    <row r="256">
      <c r="A256" s="43"/>
      <c r="B256" s="55"/>
      <c r="C256" s="55"/>
      <c r="D256" s="55"/>
      <c r="E256" s="55"/>
      <c r="F256" s="55"/>
      <c r="G256" s="55"/>
      <c r="H256" s="55"/>
      <c r="I256" s="55"/>
      <c r="J256" s="55"/>
    </row>
    <row r="257">
      <c r="A257" s="43"/>
      <c r="B257" s="55"/>
      <c r="C257" s="55"/>
      <c r="D257" s="55"/>
      <c r="E257" s="55"/>
      <c r="F257" s="55"/>
      <c r="G257" s="55"/>
      <c r="H257" s="55"/>
      <c r="I257" s="55"/>
      <c r="J257" s="55"/>
    </row>
    <row r="258">
      <c r="A258" s="43"/>
      <c r="B258" s="55"/>
      <c r="C258" s="55"/>
      <c r="D258" s="55"/>
      <c r="E258" s="55"/>
      <c r="F258" s="55"/>
      <c r="G258" s="55"/>
      <c r="H258" s="55"/>
      <c r="I258" s="55"/>
      <c r="J258" s="55"/>
    </row>
    <row r="259">
      <c r="A259" s="43"/>
      <c r="B259" s="55"/>
      <c r="C259" s="55"/>
      <c r="D259" s="55"/>
      <c r="E259" s="55"/>
      <c r="F259" s="55"/>
      <c r="G259" s="55"/>
      <c r="H259" s="55"/>
      <c r="I259" s="55"/>
      <c r="J259" s="55"/>
    </row>
    <row r="260">
      <c r="A260" s="43"/>
      <c r="B260" s="55"/>
      <c r="C260" s="55"/>
      <c r="D260" s="55"/>
      <c r="E260" s="55"/>
      <c r="F260" s="55"/>
      <c r="G260" s="55"/>
      <c r="H260" s="55"/>
      <c r="I260" s="55"/>
      <c r="J260" s="55"/>
    </row>
    <row r="261">
      <c r="A261" s="43"/>
      <c r="B261" s="55"/>
      <c r="C261" s="55"/>
      <c r="D261" s="55"/>
      <c r="E261" s="55"/>
      <c r="F261" s="55"/>
      <c r="G261" s="55"/>
      <c r="H261" s="55"/>
      <c r="I261" s="55"/>
      <c r="J261" s="55"/>
    </row>
    <row r="262">
      <c r="A262" s="43"/>
      <c r="B262" s="55"/>
      <c r="C262" s="55"/>
      <c r="D262" s="55"/>
      <c r="E262" s="55"/>
      <c r="F262" s="55"/>
      <c r="G262" s="55"/>
      <c r="H262" s="55"/>
      <c r="I262" s="55"/>
      <c r="J262" s="55"/>
    </row>
    <row r="263">
      <c r="A263" s="43"/>
      <c r="B263" s="55"/>
      <c r="C263" s="55"/>
      <c r="D263" s="55"/>
      <c r="E263" s="55"/>
      <c r="F263" s="55"/>
      <c r="G263" s="55"/>
      <c r="H263" s="55"/>
      <c r="I263" s="55"/>
      <c r="J263" s="55"/>
    </row>
    <row r="264">
      <c r="A264" s="43"/>
      <c r="B264" s="55"/>
      <c r="C264" s="55"/>
      <c r="D264" s="55"/>
      <c r="E264" s="55"/>
      <c r="F264" s="55"/>
      <c r="G264" s="55"/>
      <c r="H264" s="55"/>
      <c r="I264" s="55"/>
      <c r="J264" s="55"/>
    </row>
    <row r="265">
      <c r="A265" s="43"/>
      <c r="B265" s="55"/>
      <c r="C265" s="55"/>
      <c r="D265" s="55"/>
      <c r="E265" s="55"/>
      <c r="F265" s="55"/>
      <c r="G265" s="55"/>
      <c r="H265" s="55"/>
      <c r="I265" s="55"/>
      <c r="J265" s="55"/>
    </row>
    <row r="266">
      <c r="A266" s="43"/>
      <c r="B266" s="55"/>
      <c r="C266" s="55"/>
      <c r="D266" s="55"/>
      <c r="E266" s="55"/>
      <c r="F266" s="55"/>
      <c r="G266" s="55"/>
      <c r="H266" s="55"/>
      <c r="I266" s="55"/>
      <c r="J266" s="55"/>
    </row>
    <row r="267">
      <c r="A267" s="43"/>
      <c r="B267" s="55"/>
      <c r="C267" s="55"/>
      <c r="D267" s="55"/>
      <c r="E267" s="55"/>
      <c r="F267" s="55"/>
      <c r="G267" s="55"/>
      <c r="H267" s="55"/>
      <c r="I267" s="55"/>
      <c r="J267" s="55"/>
    </row>
    <row r="268">
      <c r="A268" s="43"/>
      <c r="B268" s="55"/>
      <c r="C268" s="55"/>
      <c r="D268" s="55"/>
      <c r="E268" s="55"/>
      <c r="F268" s="55"/>
      <c r="G268" s="55"/>
      <c r="H268" s="55"/>
      <c r="I268" s="55"/>
      <c r="J268" s="55"/>
    </row>
    <row r="269">
      <c r="A269" s="43"/>
      <c r="B269" s="55"/>
      <c r="C269" s="55"/>
      <c r="D269" s="55"/>
      <c r="E269" s="55"/>
      <c r="F269" s="55"/>
      <c r="G269" s="55"/>
      <c r="H269" s="55"/>
      <c r="I269" s="55"/>
      <c r="J269" s="55"/>
    </row>
    <row r="270">
      <c r="A270" s="43"/>
      <c r="B270" s="55"/>
      <c r="C270" s="55"/>
      <c r="D270" s="55"/>
      <c r="E270" s="55"/>
      <c r="F270" s="55"/>
      <c r="G270" s="55"/>
      <c r="H270" s="55"/>
      <c r="I270" s="55"/>
      <c r="J270" s="55"/>
    </row>
    <row r="271">
      <c r="A271" s="43"/>
      <c r="B271" s="55"/>
      <c r="C271" s="55"/>
      <c r="D271" s="55"/>
      <c r="E271" s="55"/>
      <c r="F271" s="55"/>
      <c r="G271" s="55"/>
      <c r="H271" s="55"/>
      <c r="I271" s="55"/>
      <c r="J271" s="55"/>
    </row>
    <row r="272">
      <c r="A272" s="43"/>
      <c r="B272" s="55"/>
      <c r="C272" s="55"/>
      <c r="D272" s="55"/>
      <c r="E272" s="55"/>
      <c r="F272" s="55"/>
      <c r="G272" s="55"/>
      <c r="H272" s="55"/>
      <c r="I272" s="55"/>
      <c r="J272" s="55"/>
    </row>
    <row r="273">
      <c r="A273" s="43"/>
      <c r="B273" s="55"/>
      <c r="C273" s="55"/>
      <c r="D273" s="55"/>
      <c r="E273" s="55"/>
      <c r="F273" s="55"/>
      <c r="G273" s="55"/>
      <c r="H273" s="55"/>
      <c r="I273" s="55"/>
      <c r="J273" s="55"/>
    </row>
    <row r="274">
      <c r="A274" s="43"/>
      <c r="B274" s="55"/>
      <c r="C274" s="55"/>
      <c r="D274" s="55"/>
      <c r="E274" s="55"/>
      <c r="F274" s="55"/>
      <c r="G274" s="55"/>
      <c r="H274" s="55"/>
      <c r="I274" s="55"/>
      <c r="J274" s="55"/>
    </row>
    <row r="275">
      <c r="A275" s="43"/>
      <c r="B275" s="55"/>
      <c r="C275" s="55"/>
      <c r="D275" s="55"/>
      <c r="E275" s="55"/>
      <c r="F275" s="55"/>
      <c r="G275" s="55"/>
      <c r="H275" s="55"/>
      <c r="I275" s="55"/>
      <c r="J275" s="55"/>
    </row>
    <row r="276">
      <c r="A276" s="43"/>
      <c r="B276" s="55"/>
      <c r="C276" s="55"/>
      <c r="D276" s="55"/>
      <c r="E276" s="55"/>
      <c r="F276" s="55"/>
      <c r="G276" s="55"/>
      <c r="H276" s="55"/>
      <c r="I276" s="55"/>
      <c r="J276" s="55"/>
    </row>
    <row r="277">
      <c r="A277" s="43"/>
      <c r="B277" s="55"/>
      <c r="C277" s="55"/>
      <c r="D277" s="55"/>
      <c r="E277" s="55"/>
      <c r="F277" s="55"/>
      <c r="G277" s="55"/>
      <c r="H277" s="55"/>
      <c r="I277" s="55"/>
      <c r="J277" s="55"/>
    </row>
    <row r="278">
      <c r="A278" s="43"/>
      <c r="B278" s="55"/>
      <c r="C278" s="55"/>
      <c r="D278" s="55"/>
      <c r="E278" s="55"/>
      <c r="F278" s="55"/>
      <c r="G278" s="55"/>
      <c r="H278" s="55"/>
      <c r="I278" s="55"/>
      <c r="J278" s="55"/>
    </row>
    <row r="279">
      <c r="A279" s="43"/>
      <c r="B279" s="55"/>
      <c r="C279" s="55"/>
      <c r="D279" s="55"/>
      <c r="E279" s="55"/>
      <c r="F279" s="55"/>
      <c r="G279" s="55"/>
      <c r="H279" s="55"/>
      <c r="I279" s="55"/>
      <c r="J279" s="55"/>
    </row>
    <row r="280">
      <c r="A280" s="43"/>
      <c r="B280" s="55"/>
      <c r="C280" s="55"/>
      <c r="D280" s="55"/>
      <c r="E280" s="55"/>
      <c r="F280" s="55"/>
      <c r="G280" s="55"/>
      <c r="H280" s="55"/>
      <c r="I280" s="55"/>
      <c r="J280" s="55"/>
    </row>
    <row r="281">
      <c r="A281" s="43"/>
      <c r="B281" s="55"/>
      <c r="C281" s="55"/>
      <c r="D281" s="55"/>
      <c r="E281" s="55"/>
      <c r="F281" s="55"/>
      <c r="G281" s="55"/>
      <c r="H281" s="55"/>
      <c r="I281" s="55"/>
      <c r="J281" s="55"/>
    </row>
    <row r="282">
      <c r="A282" s="43"/>
      <c r="B282" s="55"/>
      <c r="C282" s="55"/>
      <c r="D282" s="55"/>
      <c r="E282" s="55"/>
      <c r="F282" s="55"/>
      <c r="G282" s="55"/>
      <c r="H282" s="55"/>
      <c r="I282" s="55"/>
      <c r="J282" s="55"/>
    </row>
    <row r="283">
      <c r="A283" s="43"/>
      <c r="B283" s="55"/>
      <c r="C283" s="55"/>
      <c r="D283" s="55"/>
      <c r="E283" s="55"/>
      <c r="F283" s="55"/>
      <c r="G283" s="55"/>
      <c r="H283" s="55"/>
      <c r="I283" s="55"/>
      <c r="J283" s="55"/>
    </row>
    <row r="284">
      <c r="A284" s="43"/>
      <c r="B284" s="55"/>
      <c r="C284" s="55"/>
      <c r="D284" s="55"/>
      <c r="E284" s="55"/>
      <c r="F284" s="55"/>
      <c r="G284" s="55"/>
      <c r="H284" s="55"/>
      <c r="I284" s="55"/>
      <c r="J284" s="55"/>
    </row>
    <row r="285">
      <c r="A285" s="43"/>
      <c r="B285" s="55"/>
      <c r="C285" s="55"/>
      <c r="D285" s="55"/>
      <c r="E285" s="55"/>
      <c r="F285" s="55"/>
      <c r="G285" s="55"/>
      <c r="H285" s="55"/>
      <c r="I285" s="55"/>
      <c r="J285" s="55"/>
    </row>
    <row r="286">
      <c r="A286" s="43"/>
      <c r="B286" s="55"/>
      <c r="C286" s="55"/>
      <c r="D286" s="55"/>
      <c r="E286" s="55"/>
      <c r="F286" s="55"/>
      <c r="G286" s="55"/>
      <c r="H286" s="55"/>
      <c r="I286" s="55"/>
      <c r="J286" s="55"/>
    </row>
    <row r="287">
      <c r="A287" s="43"/>
      <c r="B287" s="55"/>
      <c r="C287" s="55"/>
      <c r="D287" s="55"/>
      <c r="E287" s="55"/>
      <c r="F287" s="55"/>
      <c r="G287" s="55"/>
      <c r="H287" s="55"/>
      <c r="I287" s="55"/>
      <c r="J287" s="55"/>
    </row>
    <row r="288">
      <c r="A288" s="43"/>
      <c r="B288" s="55"/>
      <c r="C288" s="55"/>
      <c r="D288" s="55"/>
      <c r="E288" s="55"/>
      <c r="F288" s="55"/>
      <c r="G288" s="55"/>
      <c r="H288" s="55"/>
      <c r="I288" s="55"/>
      <c r="J288" s="55"/>
    </row>
    <row r="289">
      <c r="A289" s="43"/>
      <c r="B289" s="55"/>
      <c r="C289" s="55"/>
      <c r="D289" s="55"/>
      <c r="E289" s="55"/>
      <c r="F289" s="55"/>
      <c r="G289" s="55"/>
      <c r="H289" s="55"/>
      <c r="I289" s="55"/>
      <c r="J289" s="55"/>
    </row>
    <row r="290">
      <c r="A290" s="43"/>
      <c r="B290" s="55"/>
      <c r="C290" s="55"/>
      <c r="D290" s="55"/>
      <c r="E290" s="55"/>
      <c r="F290" s="55"/>
      <c r="G290" s="55"/>
      <c r="H290" s="55"/>
      <c r="I290" s="55"/>
      <c r="J290" s="55"/>
    </row>
    <row r="291">
      <c r="A291" s="43"/>
      <c r="B291" s="55"/>
      <c r="C291" s="55"/>
      <c r="D291" s="55"/>
      <c r="E291" s="55"/>
      <c r="F291" s="55"/>
      <c r="G291" s="55"/>
      <c r="H291" s="55"/>
      <c r="I291" s="55"/>
      <c r="J291" s="55"/>
    </row>
    <row r="292">
      <c r="A292" s="43"/>
      <c r="B292" s="55"/>
      <c r="C292" s="55"/>
      <c r="D292" s="55"/>
      <c r="E292" s="55"/>
      <c r="F292" s="55"/>
      <c r="G292" s="55"/>
      <c r="H292" s="55"/>
      <c r="I292" s="55"/>
      <c r="J292" s="55"/>
    </row>
    <row r="293">
      <c r="A293" s="43"/>
      <c r="B293" s="55"/>
      <c r="C293" s="55"/>
      <c r="D293" s="55"/>
      <c r="E293" s="55"/>
      <c r="F293" s="55"/>
      <c r="G293" s="55"/>
      <c r="H293" s="55"/>
      <c r="I293" s="55"/>
      <c r="J293" s="55"/>
    </row>
    <row r="294">
      <c r="A294" s="43"/>
      <c r="B294" s="55"/>
      <c r="C294" s="55"/>
      <c r="D294" s="55"/>
      <c r="E294" s="55"/>
      <c r="F294" s="55"/>
      <c r="G294" s="55"/>
      <c r="H294" s="55"/>
      <c r="I294" s="55"/>
      <c r="J294" s="55"/>
    </row>
    <row r="295">
      <c r="A295" s="43"/>
      <c r="B295" s="55"/>
      <c r="C295" s="55"/>
      <c r="D295" s="55"/>
      <c r="E295" s="55"/>
      <c r="F295" s="55"/>
      <c r="G295" s="55"/>
      <c r="H295" s="55"/>
      <c r="I295" s="55"/>
      <c r="J295" s="55"/>
    </row>
    <row r="296">
      <c r="A296" s="43"/>
      <c r="B296" s="55"/>
      <c r="C296" s="55"/>
      <c r="D296" s="55"/>
      <c r="E296" s="55"/>
      <c r="F296" s="55"/>
      <c r="G296" s="55"/>
      <c r="H296" s="55"/>
      <c r="I296" s="55"/>
      <c r="J296" s="55"/>
    </row>
    <row r="297">
      <c r="A297" s="43"/>
      <c r="B297" s="55"/>
      <c r="C297" s="55"/>
      <c r="D297" s="55"/>
      <c r="E297" s="55"/>
      <c r="F297" s="55"/>
      <c r="G297" s="55"/>
      <c r="H297" s="55"/>
      <c r="I297" s="55"/>
      <c r="J297" s="55"/>
    </row>
    <row r="298">
      <c r="A298" s="43"/>
      <c r="B298" s="55"/>
      <c r="C298" s="55"/>
      <c r="D298" s="55"/>
      <c r="E298" s="55"/>
      <c r="F298" s="55"/>
      <c r="G298" s="55"/>
      <c r="H298" s="55"/>
      <c r="I298" s="55"/>
      <c r="J298" s="55"/>
    </row>
    <row r="299">
      <c r="A299" s="43"/>
      <c r="B299" s="55"/>
      <c r="C299" s="55"/>
      <c r="D299" s="55"/>
      <c r="E299" s="55"/>
      <c r="F299" s="55"/>
      <c r="G299" s="55"/>
      <c r="H299" s="55"/>
      <c r="I299" s="55"/>
      <c r="J299" s="55"/>
    </row>
    <row r="300">
      <c r="A300" s="43"/>
      <c r="B300" s="55"/>
      <c r="C300" s="55"/>
      <c r="D300" s="55"/>
      <c r="E300" s="55"/>
      <c r="F300" s="55"/>
      <c r="G300" s="55"/>
      <c r="H300" s="55"/>
      <c r="I300" s="55"/>
      <c r="J300" s="55"/>
    </row>
    <row r="301">
      <c r="A301" s="43"/>
      <c r="B301" s="55"/>
      <c r="C301" s="55"/>
      <c r="D301" s="55"/>
      <c r="E301" s="55"/>
      <c r="F301" s="55"/>
      <c r="G301" s="55"/>
      <c r="H301" s="55"/>
      <c r="I301" s="55"/>
      <c r="J301" s="55"/>
    </row>
    <row r="302">
      <c r="A302" s="43"/>
      <c r="B302" s="55"/>
      <c r="C302" s="55"/>
      <c r="D302" s="55"/>
      <c r="E302" s="55"/>
      <c r="F302" s="55"/>
      <c r="G302" s="55"/>
      <c r="H302" s="55"/>
      <c r="I302" s="55"/>
      <c r="J302" s="55"/>
    </row>
    <row r="303">
      <c r="A303" s="43"/>
      <c r="B303" s="55"/>
      <c r="C303" s="55"/>
      <c r="D303" s="55"/>
      <c r="E303" s="55"/>
      <c r="F303" s="55"/>
      <c r="G303" s="55"/>
      <c r="H303" s="55"/>
      <c r="I303" s="55"/>
      <c r="J303" s="55"/>
    </row>
    <row r="304">
      <c r="A304" s="43"/>
      <c r="B304" s="55"/>
      <c r="C304" s="55"/>
      <c r="D304" s="55"/>
      <c r="E304" s="55"/>
      <c r="F304" s="55"/>
      <c r="G304" s="55"/>
      <c r="H304" s="55"/>
      <c r="I304" s="55"/>
      <c r="J304" s="55"/>
    </row>
    <row r="305">
      <c r="A305" s="43"/>
      <c r="B305" s="55"/>
      <c r="C305" s="55"/>
      <c r="D305" s="55"/>
      <c r="E305" s="55"/>
      <c r="F305" s="55"/>
      <c r="G305" s="55"/>
      <c r="H305" s="55"/>
      <c r="I305" s="55"/>
      <c r="J305" s="55"/>
    </row>
    <row r="306">
      <c r="A306" s="43"/>
      <c r="B306" s="55"/>
      <c r="C306" s="55"/>
      <c r="D306" s="55"/>
      <c r="E306" s="55"/>
      <c r="F306" s="55"/>
      <c r="G306" s="55"/>
      <c r="H306" s="55"/>
      <c r="I306" s="55"/>
      <c r="J306" s="55"/>
    </row>
    <row r="307">
      <c r="A307" s="43"/>
      <c r="B307" s="55"/>
      <c r="C307" s="55"/>
      <c r="D307" s="55"/>
      <c r="E307" s="55"/>
      <c r="F307" s="55"/>
      <c r="G307" s="55"/>
      <c r="H307" s="55"/>
      <c r="I307" s="55"/>
      <c r="J307" s="55"/>
    </row>
    <row r="308">
      <c r="A308" s="43"/>
      <c r="B308" s="55"/>
      <c r="C308" s="55"/>
      <c r="D308" s="55"/>
      <c r="E308" s="55"/>
      <c r="F308" s="55"/>
      <c r="G308" s="55"/>
      <c r="H308" s="55"/>
      <c r="I308" s="55"/>
      <c r="J308" s="55"/>
    </row>
    <row r="309">
      <c r="A309" s="43"/>
      <c r="B309" s="55"/>
      <c r="C309" s="55"/>
      <c r="D309" s="55"/>
      <c r="E309" s="55"/>
      <c r="F309" s="55"/>
      <c r="G309" s="55"/>
      <c r="H309" s="55"/>
      <c r="I309" s="55"/>
      <c r="J309" s="55"/>
    </row>
    <row r="310">
      <c r="A310" s="43"/>
      <c r="B310" s="55"/>
      <c r="C310" s="55"/>
      <c r="D310" s="55"/>
      <c r="E310" s="55"/>
      <c r="F310" s="55"/>
      <c r="G310" s="55"/>
      <c r="H310" s="55"/>
      <c r="I310" s="55"/>
      <c r="J310" s="55"/>
    </row>
    <row r="311">
      <c r="A311" s="43"/>
      <c r="B311" s="55"/>
      <c r="C311" s="55"/>
      <c r="D311" s="55"/>
      <c r="E311" s="55"/>
      <c r="F311" s="55"/>
      <c r="G311" s="55"/>
      <c r="H311" s="55"/>
      <c r="I311" s="55"/>
      <c r="J311" s="55"/>
    </row>
    <row r="312">
      <c r="A312" s="43"/>
      <c r="B312" s="55"/>
      <c r="C312" s="55"/>
      <c r="D312" s="55"/>
      <c r="E312" s="55"/>
      <c r="F312" s="55"/>
      <c r="G312" s="55"/>
      <c r="H312" s="55"/>
      <c r="I312" s="55"/>
      <c r="J312" s="55"/>
    </row>
    <row r="313">
      <c r="A313" s="43"/>
      <c r="B313" s="55"/>
      <c r="C313" s="55"/>
      <c r="D313" s="55"/>
      <c r="E313" s="55"/>
      <c r="F313" s="55"/>
      <c r="G313" s="55"/>
      <c r="H313" s="55"/>
      <c r="I313" s="55"/>
      <c r="J313" s="55"/>
    </row>
    <row r="314">
      <c r="A314" s="43"/>
      <c r="B314" s="55"/>
      <c r="C314" s="55"/>
      <c r="D314" s="55"/>
      <c r="E314" s="55"/>
      <c r="F314" s="55"/>
      <c r="G314" s="55"/>
      <c r="H314" s="55"/>
      <c r="I314" s="55"/>
      <c r="J314" s="55"/>
    </row>
    <row r="315">
      <c r="A315" s="43"/>
      <c r="B315" s="55"/>
      <c r="C315" s="55"/>
      <c r="D315" s="55"/>
      <c r="E315" s="55"/>
      <c r="F315" s="55"/>
      <c r="G315" s="55"/>
      <c r="H315" s="55"/>
      <c r="I315" s="55"/>
      <c r="J315" s="55"/>
    </row>
    <row r="316">
      <c r="A316" s="43"/>
      <c r="B316" s="55"/>
      <c r="C316" s="55"/>
      <c r="D316" s="55"/>
      <c r="E316" s="55"/>
      <c r="F316" s="55"/>
      <c r="G316" s="55"/>
      <c r="H316" s="55"/>
      <c r="I316" s="55"/>
      <c r="J316" s="55"/>
    </row>
    <row r="317">
      <c r="A317" s="43"/>
      <c r="B317" s="55"/>
      <c r="C317" s="55"/>
      <c r="D317" s="55"/>
      <c r="E317" s="55"/>
      <c r="F317" s="55"/>
      <c r="G317" s="55"/>
      <c r="H317" s="55"/>
      <c r="I317" s="55"/>
      <c r="J317" s="55"/>
    </row>
    <row r="318">
      <c r="A318" s="43"/>
      <c r="B318" s="55"/>
      <c r="C318" s="55"/>
      <c r="D318" s="55"/>
      <c r="E318" s="55"/>
      <c r="F318" s="55"/>
      <c r="G318" s="55"/>
      <c r="H318" s="55"/>
      <c r="I318" s="55"/>
      <c r="J318" s="55"/>
    </row>
    <row r="319">
      <c r="A319" s="43"/>
      <c r="B319" s="55"/>
      <c r="C319" s="55"/>
      <c r="D319" s="55"/>
      <c r="E319" s="55"/>
      <c r="F319" s="55"/>
      <c r="G319" s="55"/>
      <c r="H319" s="55"/>
      <c r="I319" s="55"/>
      <c r="J319" s="55"/>
    </row>
    <row r="320">
      <c r="A320" s="43"/>
      <c r="B320" s="55"/>
      <c r="C320" s="55"/>
      <c r="D320" s="55"/>
      <c r="E320" s="55"/>
      <c r="F320" s="55"/>
      <c r="G320" s="55"/>
      <c r="H320" s="55"/>
      <c r="I320" s="55"/>
      <c r="J320" s="55"/>
    </row>
    <row r="321">
      <c r="A321" s="43"/>
      <c r="B321" s="55"/>
      <c r="C321" s="55"/>
      <c r="D321" s="55"/>
      <c r="E321" s="55"/>
      <c r="F321" s="55"/>
      <c r="G321" s="55"/>
      <c r="H321" s="55"/>
      <c r="I321" s="55"/>
      <c r="J321" s="55"/>
    </row>
    <row r="322">
      <c r="A322" s="43"/>
      <c r="B322" s="55"/>
      <c r="C322" s="55"/>
      <c r="D322" s="55"/>
      <c r="E322" s="55"/>
      <c r="F322" s="55"/>
      <c r="G322" s="55"/>
      <c r="H322" s="55"/>
      <c r="I322" s="55"/>
      <c r="J322" s="55"/>
    </row>
    <row r="323">
      <c r="A323" s="43"/>
      <c r="B323" s="55"/>
      <c r="C323" s="55"/>
      <c r="D323" s="55"/>
      <c r="E323" s="55"/>
      <c r="F323" s="55"/>
      <c r="G323" s="55"/>
      <c r="H323" s="55"/>
      <c r="I323" s="55"/>
      <c r="J323" s="55"/>
    </row>
    <row r="324">
      <c r="A324" s="43"/>
      <c r="B324" s="55"/>
      <c r="C324" s="55"/>
      <c r="D324" s="55"/>
      <c r="E324" s="55"/>
      <c r="F324" s="55"/>
      <c r="G324" s="55"/>
      <c r="H324" s="55"/>
      <c r="I324" s="55"/>
      <c r="J324" s="55"/>
    </row>
    <row r="325">
      <c r="A325" s="43"/>
      <c r="B325" s="55"/>
      <c r="C325" s="55"/>
      <c r="D325" s="55"/>
      <c r="E325" s="55"/>
      <c r="F325" s="55"/>
      <c r="G325" s="55"/>
      <c r="H325" s="55"/>
      <c r="I325" s="55"/>
      <c r="J325" s="55"/>
    </row>
    <row r="326">
      <c r="A326" s="43"/>
      <c r="B326" s="55"/>
      <c r="C326" s="55"/>
      <c r="D326" s="55"/>
      <c r="E326" s="55"/>
      <c r="F326" s="55"/>
      <c r="G326" s="55"/>
      <c r="H326" s="55"/>
      <c r="I326" s="55"/>
      <c r="J326" s="55"/>
    </row>
    <row r="327">
      <c r="A327" s="43"/>
      <c r="B327" s="55"/>
      <c r="C327" s="55"/>
      <c r="D327" s="55"/>
      <c r="E327" s="55"/>
      <c r="F327" s="55"/>
      <c r="G327" s="55"/>
      <c r="H327" s="55"/>
      <c r="I327" s="55"/>
      <c r="J327" s="55"/>
    </row>
    <row r="328">
      <c r="A328" s="43"/>
      <c r="B328" s="55"/>
      <c r="C328" s="55"/>
      <c r="D328" s="55"/>
      <c r="E328" s="55"/>
      <c r="F328" s="55"/>
      <c r="G328" s="55"/>
      <c r="H328" s="55"/>
      <c r="I328" s="55"/>
      <c r="J328" s="55"/>
    </row>
    <row r="329">
      <c r="A329" s="43"/>
      <c r="B329" s="55"/>
      <c r="C329" s="55"/>
      <c r="D329" s="55"/>
      <c r="E329" s="55"/>
      <c r="F329" s="55"/>
      <c r="G329" s="55"/>
      <c r="H329" s="55"/>
      <c r="I329" s="55"/>
      <c r="J329" s="55"/>
    </row>
    <row r="330">
      <c r="A330" s="43"/>
      <c r="B330" s="55"/>
      <c r="C330" s="55"/>
      <c r="D330" s="55"/>
      <c r="E330" s="55"/>
      <c r="F330" s="55"/>
      <c r="G330" s="55"/>
      <c r="H330" s="55"/>
      <c r="I330" s="55"/>
      <c r="J330" s="55"/>
    </row>
    <row r="331">
      <c r="A331" s="43"/>
      <c r="B331" s="55"/>
      <c r="C331" s="55"/>
      <c r="D331" s="55"/>
      <c r="E331" s="55"/>
      <c r="F331" s="55"/>
      <c r="G331" s="55"/>
      <c r="H331" s="55"/>
      <c r="I331" s="55"/>
      <c r="J331" s="55"/>
    </row>
    <row r="332">
      <c r="A332" s="43"/>
      <c r="B332" s="55"/>
      <c r="C332" s="55"/>
      <c r="D332" s="55"/>
      <c r="E332" s="55"/>
      <c r="F332" s="55"/>
      <c r="G332" s="55"/>
      <c r="H332" s="55"/>
      <c r="I332" s="55"/>
      <c r="J332" s="55"/>
    </row>
    <row r="333">
      <c r="A333" s="43"/>
      <c r="B333" s="55"/>
      <c r="C333" s="55"/>
      <c r="D333" s="55"/>
      <c r="E333" s="55"/>
      <c r="F333" s="55"/>
      <c r="G333" s="55"/>
      <c r="H333" s="55"/>
      <c r="I333" s="55"/>
      <c r="J333" s="55"/>
    </row>
    <row r="334">
      <c r="A334" s="43"/>
      <c r="B334" s="55"/>
      <c r="C334" s="55"/>
      <c r="D334" s="55"/>
      <c r="E334" s="55"/>
      <c r="F334" s="55"/>
      <c r="G334" s="55"/>
      <c r="H334" s="55"/>
      <c r="I334" s="55"/>
      <c r="J334" s="55"/>
    </row>
    <row r="335">
      <c r="A335" s="43"/>
      <c r="B335" s="55"/>
      <c r="C335" s="55"/>
      <c r="D335" s="55"/>
      <c r="E335" s="55"/>
      <c r="F335" s="55"/>
      <c r="G335" s="55"/>
      <c r="H335" s="55"/>
      <c r="I335" s="55"/>
      <c r="J335" s="55"/>
    </row>
    <row r="336">
      <c r="A336" s="43"/>
      <c r="B336" s="55"/>
      <c r="C336" s="55"/>
      <c r="D336" s="55"/>
      <c r="E336" s="55"/>
      <c r="F336" s="55"/>
      <c r="G336" s="55"/>
      <c r="H336" s="55"/>
      <c r="I336" s="55"/>
      <c r="J336" s="55"/>
    </row>
    <row r="337">
      <c r="A337" s="43"/>
      <c r="B337" s="55"/>
      <c r="C337" s="55"/>
      <c r="D337" s="55"/>
      <c r="E337" s="55"/>
      <c r="F337" s="55"/>
      <c r="G337" s="55"/>
      <c r="H337" s="55"/>
      <c r="I337" s="55"/>
      <c r="J337" s="55"/>
    </row>
    <row r="338">
      <c r="A338" s="43"/>
      <c r="B338" s="55"/>
      <c r="C338" s="55"/>
      <c r="D338" s="55"/>
      <c r="E338" s="55"/>
      <c r="F338" s="55"/>
      <c r="G338" s="55"/>
      <c r="H338" s="55"/>
      <c r="I338" s="55"/>
      <c r="J338" s="55"/>
    </row>
    <row r="339">
      <c r="A339" s="43"/>
      <c r="B339" s="55"/>
      <c r="C339" s="55"/>
      <c r="D339" s="55"/>
      <c r="E339" s="55"/>
      <c r="F339" s="55"/>
      <c r="G339" s="55"/>
      <c r="H339" s="55"/>
      <c r="I339" s="55"/>
      <c r="J339" s="55"/>
    </row>
    <row r="340">
      <c r="A340" s="43"/>
      <c r="B340" s="55"/>
      <c r="C340" s="55"/>
      <c r="D340" s="55"/>
      <c r="E340" s="55"/>
      <c r="F340" s="55"/>
      <c r="G340" s="55"/>
      <c r="H340" s="55"/>
      <c r="I340" s="55"/>
      <c r="J340" s="55"/>
    </row>
    <row r="341">
      <c r="A341" s="43"/>
      <c r="B341" s="55"/>
      <c r="C341" s="55"/>
      <c r="D341" s="55"/>
      <c r="E341" s="55"/>
      <c r="F341" s="55"/>
      <c r="G341" s="55"/>
      <c r="H341" s="55"/>
      <c r="I341" s="55"/>
      <c r="J341" s="55"/>
    </row>
    <row r="342">
      <c r="A342" s="43"/>
      <c r="B342" s="55"/>
      <c r="C342" s="55"/>
      <c r="D342" s="55"/>
      <c r="E342" s="55"/>
      <c r="F342" s="55"/>
      <c r="G342" s="55"/>
      <c r="H342" s="55"/>
      <c r="I342" s="55"/>
      <c r="J342" s="55"/>
    </row>
    <row r="343">
      <c r="A343" s="43"/>
      <c r="B343" s="55"/>
      <c r="C343" s="55"/>
      <c r="D343" s="55"/>
      <c r="E343" s="55"/>
      <c r="F343" s="55"/>
      <c r="G343" s="55"/>
      <c r="H343" s="55"/>
      <c r="I343" s="55"/>
      <c r="J343" s="55"/>
    </row>
    <row r="344">
      <c r="A344" s="43"/>
      <c r="B344" s="55"/>
      <c r="C344" s="55"/>
      <c r="D344" s="55"/>
      <c r="E344" s="55"/>
      <c r="F344" s="55"/>
      <c r="G344" s="55"/>
      <c r="H344" s="55"/>
      <c r="I344" s="55"/>
      <c r="J344" s="55"/>
    </row>
    <row r="345">
      <c r="A345" s="43"/>
      <c r="B345" s="55"/>
      <c r="C345" s="55"/>
      <c r="D345" s="55"/>
      <c r="E345" s="55"/>
      <c r="F345" s="55"/>
      <c r="G345" s="55"/>
      <c r="H345" s="55"/>
      <c r="I345" s="55"/>
      <c r="J345" s="55"/>
    </row>
    <row r="346">
      <c r="A346" s="43"/>
      <c r="B346" s="55"/>
      <c r="C346" s="55"/>
      <c r="D346" s="55"/>
      <c r="E346" s="55"/>
      <c r="F346" s="55"/>
      <c r="G346" s="55"/>
      <c r="H346" s="55"/>
      <c r="I346" s="55"/>
      <c r="J346" s="55"/>
    </row>
    <row r="347">
      <c r="A347" s="43"/>
      <c r="B347" s="55"/>
      <c r="C347" s="55"/>
      <c r="D347" s="55"/>
      <c r="E347" s="55"/>
      <c r="F347" s="55"/>
      <c r="G347" s="55"/>
      <c r="H347" s="55"/>
      <c r="I347" s="55"/>
      <c r="J347" s="55"/>
    </row>
    <row r="348">
      <c r="A348" s="43"/>
      <c r="B348" s="55"/>
      <c r="C348" s="55"/>
      <c r="D348" s="55"/>
      <c r="E348" s="55"/>
      <c r="F348" s="55"/>
      <c r="G348" s="55"/>
      <c r="H348" s="55"/>
      <c r="I348" s="55"/>
      <c r="J348" s="55"/>
    </row>
    <row r="349">
      <c r="A349" s="43"/>
      <c r="B349" s="55"/>
      <c r="C349" s="55"/>
      <c r="D349" s="55"/>
      <c r="E349" s="55"/>
      <c r="F349" s="55"/>
      <c r="G349" s="55"/>
      <c r="H349" s="55"/>
      <c r="I349" s="55"/>
      <c r="J349" s="55"/>
    </row>
    <row r="350">
      <c r="A350" s="43"/>
      <c r="B350" s="55"/>
      <c r="C350" s="55"/>
      <c r="D350" s="55"/>
      <c r="E350" s="55"/>
      <c r="F350" s="55"/>
      <c r="G350" s="55"/>
      <c r="H350" s="55"/>
      <c r="I350" s="55"/>
      <c r="J350" s="55"/>
    </row>
    <row r="351">
      <c r="A351" s="43"/>
      <c r="B351" s="55"/>
      <c r="C351" s="55"/>
      <c r="D351" s="55"/>
      <c r="E351" s="55"/>
      <c r="F351" s="55"/>
      <c r="G351" s="55"/>
      <c r="H351" s="55"/>
      <c r="I351" s="55"/>
      <c r="J351" s="55"/>
    </row>
    <row r="352">
      <c r="A352" s="43"/>
      <c r="B352" s="55"/>
      <c r="C352" s="55"/>
      <c r="D352" s="55"/>
      <c r="E352" s="55"/>
      <c r="F352" s="55"/>
      <c r="G352" s="55"/>
      <c r="H352" s="55"/>
      <c r="I352" s="55"/>
      <c r="J352" s="55"/>
    </row>
    <row r="353">
      <c r="A353" s="43"/>
      <c r="B353" s="55"/>
      <c r="C353" s="55"/>
      <c r="D353" s="55"/>
      <c r="E353" s="55"/>
      <c r="F353" s="55"/>
      <c r="G353" s="55"/>
      <c r="H353" s="55"/>
      <c r="I353" s="55"/>
      <c r="J353" s="55"/>
    </row>
    <row r="354">
      <c r="A354" s="43"/>
      <c r="B354" s="55"/>
      <c r="C354" s="55"/>
      <c r="D354" s="55"/>
      <c r="E354" s="55"/>
      <c r="F354" s="55"/>
      <c r="G354" s="55"/>
      <c r="H354" s="55"/>
      <c r="I354" s="55"/>
      <c r="J354" s="55"/>
    </row>
    <row r="355">
      <c r="A355" s="43"/>
      <c r="B355" s="55"/>
      <c r="C355" s="55"/>
      <c r="D355" s="55"/>
      <c r="E355" s="55"/>
      <c r="F355" s="55"/>
      <c r="G355" s="55"/>
      <c r="H355" s="55"/>
      <c r="I355" s="55"/>
      <c r="J355" s="55"/>
    </row>
    <row r="356">
      <c r="A356" s="43"/>
      <c r="B356" s="55"/>
      <c r="C356" s="55"/>
      <c r="D356" s="55"/>
      <c r="E356" s="55"/>
      <c r="F356" s="55"/>
      <c r="G356" s="55"/>
      <c r="H356" s="55"/>
      <c r="I356" s="55"/>
      <c r="J356" s="55"/>
    </row>
    <row r="357">
      <c r="A357" s="43"/>
      <c r="B357" s="55"/>
      <c r="C357" s="55"/>
      <c r="D357" s="55"/>
      <c r="E357" s="55"/>
      <c r="F357" s="55"/>
      <c r="G357" s="55"/>
      <c r="H357" s="55"/>
      <c r="I357" s="55"/>
      <c r="J357" s="55"/>
    </row>
    <row r="358">
      <c r="A358" s="43"/>
      <c r="B358" s="55"/>
      <c r="C358" s="55"/>
      <c r="D358" s="55"/>
      <c r="E358" s="55"/>
      <c r="F358" s="55"/>
      <c r="G358" s="55"/>
      <c r="H358" s="55"/>
      <c r="I358" s="55"/>
      <c r="J358" s="55"/>
    </row>
    <row r="359">
      <c r="A359" s="43"/>
      <c r="B359" s="55"/>
      <c r="C359" s="55"/>
      <c r="D359" s="55"/>
      <c r="E359" s="55"/>
      <c r="F359" s="55"/>
      <c r="G359" s="55"/>
      <c r="H359" s="55"/>
      <c r="I359" s="55"/>
      <c r="J359" s="55"/>
    </row>
    <row r="360">
      <c r="A360" s="43"/>
      <c r="B360" s="55"/>
      <c r="C360" s="55"/>
      <c r="D360" s="55"/>
      <c r="E360" s="55"/>
      <c r="F360" s="55"/>
      <c r="G360" s="55"/>
      <c r="H360" s="55"/>
      <c r="I360" s="55"/>
      <c r="J360" s="55"/>
    </row>
    <row r="361">
      <c r="A361" s="43"/>
      <c r="B361" s="55"/>
      <c r="C361" s="55"/>
      <c r="D361" s="55"/>
      <c r="E361" s="55"/>
      <c r="F361" s="55"/>
      <c r="G361" s="55"/>
      <c r="H361" s="55"/>
      <c r="I361" s="55"/>
      <c r="J361" s="55"/>
    </row>
    <row r="362">
      <c r="A362" s="43"/>
      <c r="B362" s="55"/>
      <c r="C362" s="55"/>
      <c r="D362" s="55"/>
      <c r="E362" s="55"/>
      <c r="F362" s="55"/>
      <c r="G362" s="55"/>
      <c r="H362" s="55"/>
      <c r="I362" s="55"/>
      <c r="J362" s="55"/>
    </row>
    <row r="363">
      <c r="A363" s="43"/>
      <c r="B363" s="55"/>
      <c r="C363" s="55"/>
      <c r="D363" s="55"/>
      <c r="E363" s="55"/>
      <c r="F363" s="55"/>
      <c r="G363" s="55"/>
      <c r="H363" s="55"/>
      <c r="I363" s="55"/>
      <c r="J363" s="55"/>
    </row>
    <row r="364">
      <c r="A364" s="43"/>
      <c r="B364" s="55"/>
      <c r="C364" s="55"/>
      <c r="D364" s="55"/>
      <c r="E364" s="55"/>
      <c r="F364" s="55"/>
      <c r="G364" s="55"/>
      <c r="H364" s="55"/>
      <c r="I364" s="55"/>
      <c r="J364" s="55"/>
    </row>
    <row r="365">
      <c r="A365" s="43"/>
      <c r="B365" s="55"/>
      <c r="C365" s="55"/>
      <c r="D365" s="55"/>
      <c r="E365" s="55"/>
      <c r="F365" s="55"/>
      <c r="G365" s="55"/>
      <c r="H365" s="55"/>
      <c r="I365" s="55"/>
      <c r="J365" s="55"/>
    </row>
    <row r="366">
      <c r="A366" s="43"/>
      <c r="B366" s="55"/>
      <c r="C366" s="55"/>
      <c r="D366" s="55"/>
      <c r="E366" s="55"/>
      <c r="F366" s="55"/>
      <c r="G366" s="55"/>
      <c r="H366" s="55"/>
      <c r="I366" s="55"/>
      <c r="J366" s="55"/>
    </row>
    <row r="367">
      <c r="A367" s="43"/>
      <c r="B367" s="55"/>
      <c r="C367" s="55"/>
      <c r="D367" s="55"/>
      <c r="E367" s="55"/>
      <c r="F367" s="55"/>
      <c r="G367" s="55"/>
      <c r="H367" s="55"/>
      <c r="I367" s="55"/>
      <c r="J367" s="55"/>
    </row>
    <row r="368">
      <c r="A368" s="43"/>
      <c r="B368" s="55"/>
      <c r="C368" s="55"/>
      <c r="D368" s="55"/>
      <c r="E368" s="55"/>
      <c r="F368" s="55"/>
      <c r="G368" s="55"/>
      <c r="H368" s="55"/>
      <c r="I368" s="55"/>
      <c r="J368" s="55"/>
    </row>
    <row r="369">
      <c r="A369" s="43"/>
      <c r="B369" s="55"/>
      <c r="C369" s="55"/>
      <c r="D369" s="55"/>
      <c r="E369" s="55"/>
      <c r="F369" s="55"/>
      <c r="G369" s="55"/>
      <c r="H369" s="55"/>
      <c r="I369" s="55"/>
      <c r="J369" s="55"/>
    </row>
    <row r="370">
      <c r="A370" s="43"/>
      <c r="B370" s="55"/>
      <c r="C370" s="55"/>
      <c r="D370" s="55"/>
      <c r="E370" s="55"/>
      <c r="F370" s="55"/>
      <c r="G370" s="55"/>
      <c r="H370" s="55"/>
      <c r="I370" s="55"/>
      <c r="J370" s="55"/>
    </row>
    <row r="371">
      <c r="A371" s="43"/>
      <c r="B371" s="55"/>
      <c r="C371" s="55"/>
      <c r="D371" s="55"/>
      <c r="E371" s="55"/>
      <c r="F371" s="55"/>
      <c r="G371" s="55"/>
      <c r="H371" s="55"/>
      <c r="I371" s="55"/>
      <c r="J371" s="55"/>
    </row>
    <row r="372">
      <c r="A372" s="43"/>
      <c r="B372" s="55"/>
      <c r="C372" s="55"/>
      <c r="D372" s="55"/>
      <c r="E372" s="55"/>
      <c r="F372" s="55"/>
      <c r="G372" s="55"/>
      <c r="H372" s="55"/>
      <c r="I372" s="55"/>
      <c r="J372" s="55"/>
    </row>
    <row r="373">
      <c r="A373" s="43"/>
      <c r="B373" s="55"/>
      <c r="C373" s="55"/>
      <c r="D373" s="55"/>
      <c r="E373" s="55"/>
      <c r="F373" s="55"/>
      <c r="G373" s="55"/>
      <c r="H373" s="55"/>
      <c r="I373" s="55"/>
      <c r="J373" s="55"/>
    </row>
    <row r="374">
      <c r="A374" s="43"/>
      <c r="B374" s="55"/>
      <c r="C374" s="55"/>
      <c r="D374" s="55"/>
      <c r="E374" s="55"/>
      <c r="F374" s="55"/>
      <c r="G374" s="55"/>
      <c r="H374" s="55"/>
      <c r="I374" s="55"/>
      <c r="J374" s="55"/>
    </row>
    <row r="375">
      <c r="A375" s="43"/>
      <c r="B375" s="55"/>
      <c r="C375" s="55"/>
      <c r="D375" s="55"/>
      <c r="E375" s="55"/>
      <c r="F375" s="55"/>
      <c r="G375" s="55"/>
      <c r="H375" s="55"/>
      <c r="I375" s="55"/>
      <c r="J375" s="55"/>
    </row>
    <row r="376">
      <c r="A376" s="43"/>
      <c r="B376" s="55"/>
      <c r="C376" s="55"/>
      <c r="D376" s="55"/>
      <c r="E376" s="55"/>
      <c r="F376" s="55"/>
      <c r="G376" s="55"/>
      <c r="H376" s="55"/>
      <c r="I376" s="55"/>
      <c r="J376" s="55"/>
    </row>
    <row r="377">
      <c r="A377" s="43"/>
      <c r="B377" s="55"/>
      <c r="C377" s="55"/>
      <c r="D377" s="55"/>
      <c r="E377" s="55"/>
      <c r="F377" s="55"/>
      <c r="G377" s="55"/>
      <c r="H377" s="55"/>
      <c r="I377" s="55"/>
      <c r="J377" s="55"/>
    </row>
    <row r="378">
      <c r="A378" s="43"/>
      <c r="B378" s="55"/>
      <c r="C378" s="55"/>
      <c r="D378" s="55"/>
      <c r="E378" s="55"/>
      <c r="F378" s="55"/>
      <c r="G378" s="55"/>
      <c r="H378" s="55"/>
      <c r="I378" s="55"/>
      <c r="J378" s="55"/>
    </row>
    <row r="379">
      <c r="A379" s="43"/>
      <c r="B379" s="55"/>
      <c r="C379" s="55"/>
      <c r="D379" s="55"/>
      <c r="E379" s="55"/>
      <c r="F379" s="55"/>
      <c r="G379" s="55"/>
      <c r="H379" s="55"/>
      <c r="I379" s="55"/>
      <c r="J379" s="55"/>
    </row>
    <row r="380">
      <c r="A380" s="43"/>
      <c r="B380" s="55"/>
      <c r="C380" s="55"/>
      <c r="D380" s="55"/>
      <c r="E380" s="55"/>
      <c r="F380" s="55"/>
      <c r="G380" s="55"/>
      <c r="H380" s="55"/>
      <c r="I380" s="55"/>
      <c r="J380" s="55"/>
    </row>
    <row r="381">
      <c r="A381" s="43"/>
      <c r="B381" s="55"/>
      <c r="C381" s="55"/>
      <c r="D381" s="55"/>
      <c r="E381" s="55"/>
      <c r="F381" s="55"/>
      <c r="G381" s="55"/>
      <c r="H381" s="55"/>
      <c r="I381" s="55"/>
      <c r="J381" s="55"/>
    </row>
    <row r="382">
      <c r="A382" s="43"/>
      <c r="B382" s="55"/>
      <c r="C382" s="55"/>
      <c r="D382" s="55"/>
      <c r="E382" s="55"/>
      <c r="F382" s="55"/>
      <c r="G382" s="55"/>
      <c r="H382" s="55"/>
      <c r="I382" s="55"/>
      <c r="J382" s="55"/>
    </row>
    <row r="383">
      <c r="A383" s="43"/>
      <c r="B383" s="55"/>
      <c r="C383" s="55"/>
      <c r="D383" s="55"/>
      <c r="E383" s="55"/>
      <c r="F383" s="55"/>
      <c r="G383" s="55"/>
      <c r="H383" s="55"/>
      <c r="I383" s="55"/>
      <c r="J383" s="55"/>
    </row>
    <row r="384">
      <c r="A384" s="43"/>
      <c r="B384" s="55"/>
      <c r="C384" s="55"/>
      <c r="D384" s="55"/>
      <c r="E384" s="55"/>
      <c r="F384" s="55"/>
      <c r="G384" s="55"/>
      <c r="H384" s="55"/>
      <c r="I384" s="55"/>
      <c r="J384" s="55"/>
    </row>
    <row r="385">
      <c r="A385" s="43"/>
      <c r="B385" s="55"/>
      <c r="C385" s="55"/>
      <c r="D385" s="55"/>
      <c r="E385" s="55"/>
      <c r="F385" s="55"/>
      <c r="G385" s="55"/>
      <c r="H385" s="55"/>
      <c r="I385" s="55"/>
      <c r="J385" s="55"/>
    </row>
    <row r="386">
      <c r="A386" s="43"/>
      <c r="B386" s="55"/>
      <c r="C386" s="55"/>
      <c r="D386" s="55"/>
      <c r="E386" s="55"/>
      <c r="F386" s="55"/>
      <c r="G386" s="55"/>
      <c r="H386" s="55"/>
      <c r="I386" s="55"/>
      <c r="J386" s="55"/>
    </row>
    <row r="387">
      <c r="A387" s="43"/>
      <c r="B387" s="55"/>
      <c r="C387" s="55"/>
      <c r="D387" s="55"/>
      <c r="E387" s="55"/>
      <c r="F387" s="55"/>
      <c r="G387" s="55"/>
      <c r="H387" s="55"/>
      <c r="I387" s="55"/>
      <c r="J387" s="55"/>
    </row>
    <row r="388">
      <c r="A388" s="43"/>
      <c r="B388" s="55"/>
      <c r="C388" s="55"/>
      <c r="D388" s="55"/>
      <c r="E388" s="55"/>
      <c r="F388" s="55"/>
      <c r="G388" s="55"/>
      <c r="H388" s="55"/>
      <c r="I388" s="55"/>
      <c r="J388" s="55"/>
    </row>
    <row r="389">
      <c r="A389" s="43"/>
      <c r="B389" s="55"/>
      <c r="C389" s="55"/>
      <c r="D389" s="55"/>
      <c r="E389" s="55"/>
      <c r="F389" s="55"/>
      <c r="G389" s="55"/>
      <c r="H389" s="55"/>
      <c r="I389" s="55"/>
      <c r="J389" s="55"/>
    </row>
    <row r="390">
      <c r="A390" s="43"/>
      <c r="B390" s="55"/>
      <c r="C390" s="55"/>
      <c r="D390" s="55"/>
      <c r="E390" s="55"/>
      <c r="F390" s="55"/>
      <c r="G390" s="55"/>
      <c r="H390" s="55"/>
      <c r="I390" s="55"/>
      <c r="J390" s="55"/>
    </row>
    <row r="391">
      <c r="A391" s="43"/>
      <c r="B391" s="55"/>
      <c r="C391" s="55"/>
      <c r="D391" s="55"/>
      <c r="E391" s="55"/>
      <c r="F391" s="55"/>
      <c r="G391" s="55"/>
      <c r="H391" s="55"/>
      <c r="I391" s="55"/>
      <c r="J391" s="55"/>
    </row>
    <row r="392">
      <c r="A392" s="43"/>
      <c r="B392" s="55"/>
      <c r="C392" s="55"/>
      <c r="D392" s="55"/>
      <c r="E392" s="55"/>
      <c r="F392" s="55"/>
      <c r="G392" s="55"/>
      <c r="H392" s="55"/>
      <c r="I392" s="55"/>
      <c r="J392" s="55"/>
    </row>
    <row r="393">
      <c r="A393" s="43"/>
      <c r="B393" s="55"/>
      <c r="C393" s="55"/>
      <c r="D393" s="55"/>
      <c r="E393" s="55"/>
      <c r="F393" s="55"/>
      <c r="G393" s="55"/>
      <c r="H393" s="55"/>
      <c r="I393" s="55"/>
      <c r="J393" s="55"/>
    </row>
    <row r="394">
      <c r="A394" s="43"/>
      <c r="B394" s="55"/>
      <c r="C394" s="55"/>
      <c r="D394" s="55"/>
      <c r="E394" s="55"/>
      <c r="F394" s="55"/>
      <c r="G394" s="55"/>
      <c r="H394" s="55"/>
      <c r="I394" s="55"/>
      <c r="J394" s="55"/>
    </row>
    <row r="395">
      <c r="A395" s="43"/>
      <c r="B395" s="55"/>
      <c r="C395" s="55"/>
      <c r="D395" s="55"/>
      <c r="E395" s="55"/>
      <c r="F395" s="55"/>
      <c r="G395" s="55"/>
      <c r="H395" s="55"/>
      <c r="I395" s="55"/>
      <c r="J395" s="55"/>
    </row>
    <row r="396">
      <c r="A396" s="43"/>
      <c r="B396" s="55"/>
      <c r="C396" s="55"/>
      <c r="D396" s="55"/>
      <c r="E396" s="55"/>
      <c r="F396" s="55"/>
      <c r="G396" s="55"/>
      <c r="H396" s="55"/>
      <c r="I396" s="55"/>
      <c r="J396" s="55"/>
    </row>
    <row r="397">
      <c r="A397" s="43"/>
      <c r="B397" s="55"/>
      <c r="C397" s="55"/>
      <c r="D397" s="55"/>
      <c r="E397" s="55"/>
      <c r="F397" s="55"/>
      <c r="G397" s="55"/>
      <c r="H397" s="55"/>
      <c r="I397" s="55"/>
      <c r="J397" s="55"/>
    </row>
    <row r="398">
      <c r="A398" s="43"/>
      <c r="B398" s="55"/>
      <c r="C398" s="55"/>
      <c r="D398" s="55"/>
      <c r="E398" s="55"/>
      <c r="F398" s="55"/>
      <c r="G398" s="55"/>
      <c r="H398" s="55"/>
      <c r="I398" s="55"/>
      <c r="J398" s="55"/>
    </row>
    <row r="399">
      <c r="A399" s="43"/>
      <c r="B399" s="55"/>
      <c r="C399" s="55"/>
      <c r="D399" s="55"/>
      <c r="E399" s="55"/>
      <c r="F399" s="55"/>
      <c r="G399" s="55"/>
      <c r="H399" s="55"/>
      <c r="I399" s="55"/>
      <c r="J399" s="55"/>
    </row>
    <row r="400">
      <c r="A400" s="43"/>
      <c r="B400" s="55"/>
      <c r="C400" s="55"/>
      <c r="D400" s="55"/>
      <c r="E400" s="55"/>
      <c r="F400" s="55"/>
      <c r="G400" s="55"/>
      <c r="H400" s="55"/>
      <c r="I400" s="55"/>
      <c r="J400" s="55"/>
    </row>
    <row r="401">
      <c r="A401" s="43"/>
      <c r="B401" s="55"/>
      <c r="C401" s="55"/>
      <c r="D401" s="55"/>
      <c r="E401" s="55"/>
      <c r="F401" s="55"/>
      <c r="G401" s="55"/>
      <c r="H401" s="55"/>
      <c r="I401" s="55"/>
      <c r="J401" s="55"/>
    </row>
    <row r="402">
      <c r="A402" s="43"/>
      <c r="B402" s="55"/>
      <c r="C402" s="55"/>
      <c r="D402" s="55"/>
      <c r="E402" s="55"/>
      <c r="F402" s="55"/>
      <c r="G402" s="55"/>
      <c r="H402" s="55"/>
      <c r="I402" s="55"/>
      <c r="J402" s="55"/>
    </row>
    <row r="403">
      <c r="A403" s="43"/>
      <c r="B403" s="55"/>
      <c r="C403" s="55"/>
      <c r="D403" s="55"/>
      <c r="E403" s="55"/>
      <c r="F403" s="55"/>
      <c r="G403" s="55"/>
      <c r="H403" s="55"/>
      <c r="I403" s="55"/>
      <c r="J403" s="55"/>
    </row>
    <row r="404">
      <c r="A404" s="43"/>
      <c r="B404" s="55"/>
      <c r="C404" s="55"/>
      <c r="D404" s="55"/>
      <c r="E404" s="55"/>
      <c r="F404" s="55"/>
      <c r="G404" s="55"/>
      <c r="H404" s="55"/>
      <c r="I404" s="55"/>
      <c r="J404" s="55"/>
    </row>
    <row r="405">
      <c r="A405" s="43"/>
      <c r="B405" s="55"/>
      <c r="C405" s="55"/>
      <c r="D405" s="55"/>
      <c r="E405" s="55"/>
      <c r="F405" s="55"/>
      <c r="G405" s="55"/>
      <c r="H405" s="55"/>
      <c r="I405" s="55"/>
      <c r="J405" s="55"/>
    </row>
    <row r="406">
      <c r="A406" s="43"/>
      <c r="B406" s="55"/>
      <c r="C406" s="55"/>
      <c r="D406" s="55"/>
      <c r="E406" s="55"/>
      <c r="F406" s="55"/>
      <c r="G406" s="55"/>
      <c r="H406" s="55"/>
      <c r="I406" s="55"/>
      <c r="J406" s="55"/>
    </row>
    <row r="407">
      <c r="A407" s="43"/>
      <c r="B407" s="55"/>
      <c r="C407" s="55"/>
      <c r="D407" s="55"/>
      <c r="E407" s="55"/>
      <c r="F407" s="55"/>
      <c r="G407" s="55"/>
      <c r="H407" s="55"/>
      <c r="I407" s="55"/>
      <c r="J407" s="55"/>
    </row>
    <row r="408">
      <c r="A408" s="43"/>
      <c r="B408" s="55"/>
      <c r="C408" s="55"/>
      <c r="D408" s="55"/>
      <c r="E408" s="55"/>
      <c r="F408" s="55"/>
      <c r="G408" s="55"/>
      <c r="H408" s="55"/>
      <c r="I408" s="55"/>
      <c r="J408" s="55"/>
    </row>
    <row r="409">
      <c r="A409" s="43"/>
      <c r="B409" s="55"/>
      <c r="C409" s="55"/>
      <c r="D409" s="55"/>
      <c r="E409" s="55"/>
      <c r="F409" s="55"/>
      <c r="G409" s="55"/>
      <c r="H409" s="55"/>
      <c r="I409" s="55"/>
      <c r="J409" s="55"/>
    </row>
    <row r="410">
      <c r="A410" s="43"/>
      <c r="B410" s="55"/>
      <c r="C410" s="55"/>
      <c r="D410" s="55"/>
      <c r="E410" s="55"/>
      <c r="F410" s="55"/>
      <c r="G410" s="55"/>
      <c r="H410" s="55"/>
      <c r="I410" s="55"/>
      <c r="J410" s="55"/>
    </row>
    <row r="411">
      <c r="A411" s="43"/>
      <c r="B411" s="55"/>
      <c r="C411" s="55"/>
      <c r="D411" s="55"/>
      <c r="E411" s="55"/>
      <c r="F411" s="55"/>
      <c r="G411" s="55"/>
      <c r="H411" s="55"/>
      <c r="I411" s="55"/>
      <c r="J411" s="55"/>
    </row>
    <row r="412">
      <c r="A412" s="43"/>
      <c r="B412" s="55"/>
      <c r="C412" s="55"/>
      <c r="D412" s="55"/>
      <c r="E412" s="55"/>
      <c r="F412" s="55"/>
      <c r="G412" s="55"/>
      <c r="H412" s="55"/>
      <c r="I412" s="55"/>
      <c r="J412" s="55"/>
    </row>
    <row r="413">
      <c r="A413" s="43"/>
      <c r="B413" s="55"/>
      <c r="C413" s="55"/>
      <c r="D413" s="55"/>
      <c r="E413" s="55"/>
      <c r="F413" s="55"/>
      <c r="G413" s="55"/>
      <c r="H413" s="55"/>
      <c r="I413" s="55"/>
      <c r="J413" s="55"/>
    </row>
    <row r="414">
      <c r="A414" s="43"/>
      <c r="B414" s="55"/>
      <c r="C414" s="55"/>
      <c r="D414" s="55"/>
      <c r="E414" s="55"/>
      <c r="F414" s="55"/>
      <c r="G414" s="55"/>
      <c r="H414" s="55"/>
      <c r="I414" s="55"/>
      <c r="J414" s="55"/>
    </row>
    <row r="415">
      <c r="A415" s="43"/>
      <c r="B415" s="55"/>
      <c r="C415" s="55"/>
      <c r="D415" s="55"/>
      <c r="E415" s="55"/>
      <c r="F415" s="55"/>
      <c r="G415" s="55"/>
      <c r="H415" s="55"/>
      <c r="I415" s="55"/>
      <c r="J415" s="55"/>
    </row>
    <row r="416">
      <c r="A416" s="43"/>
      <c r="B416" s="55"/>
      <c r="C416" s="55"/>
      <c r="D416" s="55"/>
      <c r="E416" s="55"/>
      <c r="F416" s="55"/>
      <c r="G416" s="55"/>
      <c r="H416" s="55"/>
      <c r="I416" s="55"/>
      <c r="J416" s="55"/>
    </row>
    <row r="417">
      <c r="A417" s="43"/>
      <c r="B417" s="55"/>
      <c r="C417" s="55"/>
      <c r="D417" s="55"/>
      <c r="E417" s="55"/>
      <c r="F417" s="55"/>
      <c r="G417" s="55"/>
      <c r="H417" s="55"/>
      <c r="I417" s="55"/>
      <c r="J417" s="55"/>
    </row>
    <row r="418">
      <c r="A418" s="43"/>
      <c r="B418" s="55"/>
      <c r="C418" s="55"/>
      <c r="D418" s="55"/>
      <c r="E418" s="55"/>
      <c r="F418" s="55"/>
      <c r="G418" s="55"/>
      <c r="H418" s="55"/>
      <c r="I418" s="55"/>
      <c r="J418" s="55"/>
    </row>
    <row r="419">
      <c r="A419" s="43"/>
      <c r="B419" s="55"/>
      <c r="C419" s="55"/>
      <c r="D419" s="55"/>
      <c r="E419" s="55"/>
      <c r="F419" s="55"/>
      <c r="G419" s="55"/>
      <c r="H419" s="55"/>
      <c r="I419" s="55"/>
      <c r="J419" s="55"/>
    </row>
    <row r="420">
      <c r="A420" s="43"/>
      <c r="B420" s="55"/>
      <c r="C420" s="55"/>
      <c r="D420" s="55"/>
      <c r="E420" s="55"/>
      <c r="F420" s="55"/>
      <c r="G420" s="55"/>
      <c r="H420" s="55"/>
      <c r="I420" s="55"/>
      <c r="J420" s="55"/>
    </row>
    <row r="421">
      <c r="A421" s="43"/>
      <c r="B421" s="55"/>
      <c r="C421" s="55"/>
      <c r="D421" s="55"/>
      <c r="E421" s="55"/>
      <c r="F421" s="55"/>
      <c r="G421" s="55"/>
      <c r="H421" s="55"/>
      <c r="I421" s="55"/>
      <c r="J421" s="55"/>
    </row>
    <row r="422">
      <c r="A422" s="43"/>
      <c r="B422" s="55"/>
      <c r="C422" s="55"/>
      <c r="D422" s="55"/>
      <c r="E422" s="55"/>
      <c r="F422" s="55"/>
      <c r="G422" s="55"/>
      <c r="H422" s="55"/>
      <c r="I422" s="55"/>
      <c r="J422" s="55"/>
    </row>
    <row r="423">
      <c r="A423" s="43"/>
      <c r="B423" s="55"/>
      <c r="C423" s="55"/>
      <c r="D423" s="55"/>
      <c r="E423" s="55"/>
      <c r="F423" s="55"/>
      <c r="G423" s="55"/>
      <c r="H423" s="55"/>
      <c r="I423" s="55"/>
      <c r="J423" s="55"/>
    </row>
    <row r="424">
      <c r="A424" s="43"/>
      <c r="B424" s="55"/>
      <c r="C424" s="55"/>
      <c r="D424" s="55"/>
      <c r="E424" s="55"/>
      <c r="F424" s="55"/>
      <c r="G424" s="55"/>
      <c r="H424" s="55"/>
      <c r="I424" s="55"/>
      <c r="J424" s="55"/>
    </row>
    <row r="425">
      <c r="A425" s="43"/>
      <c r="B425" s="55"/>
      <c r="C425" s="55"/>
      <c r="D425" s="55"/>
      <c r="E425" s="55"/>
      <c r="F425" s="55"/>
      <c r="G425" s="55"/>
      <c r="H425" s="55"/>
      <c r="I425" s="55"/>
      <c r="J425" s="55"/>
    </row>
    <row r="426">
      <c r="A426" s="43"/>
      <c r="B426" s="55"/>
      <c r="C426" s="55"/>
      <c r="D426" s="55"/>
      <c r="E426" s="55"/>
      <c r="F426" s="55"/>
      <c r="G426" s="55"/>
      <c r="H426" s="55"/>
      <c r="I426" s="55"/>
      <c r="J426" s="55"/>
    </row>
    <row r="427">
      <c r="A427" s="43"/>
      <c r="B427" s="55"/>
      <c r="C427" s="55"/>
      <c r="D427" s="55"/>
      <c r="E427" s="55"/>
      <c r="F427" s="55"/>
      <c r="G427" s="55"/>
      <c r="H427" s="55"/>
      <c r="I427" s="55"/>
      <c r="J427" s="55"/>
    </row>
    <row r="428">
      <c r="A428" s="43"/>
      <c r="B428" s="55"/>
      <c r="C428" s="55"/>
      <c r="D428" s="55"/>
      <c r="E428" s="55"/>
      <c r="F428" s="55"/>
      <c r="G428" s="55"/>
      <c r="H428" s="55"/>
      <c r="I428" s="55"/>
      <c r="J428" s="55"/>
    </row>
    <row r="429">
      <c r="A429" s="43"/>
      <c r="B429" s="55"/>
      <c r="C429" s="55"/>
      <c r="D429" s="55"/>
      <c r="E429" s="55"/>
      <c r="F429" s="55"/>
      <c r="G429" s="55"/>
      <c r="H429" s="55"/>
      <c r="I429" s="55"/>
      <c r="J429" s="55"/>
    </row>
    <row r="430">
      <c r="A430" s="43"/>
      <c r="B430" s="55"/>
      <c r="C430" s="55"/>
      <c r="D430" s="55"/>
      <c r="E430" s="55"/>
      <c r="F430" s="55"/>
      <c r="G430" s="55"/>
      <c r="H430" s="55"/>
      <c r="I430" s="55"/>
      <c r="J430" s="55"/>
    </row>
    <row r="431">
      <c r="A431" s="43"/>
      <c r="B431" s="55"/>
      <c r="C431" s="55"/>
      <c r="D431" s="55"/>
      <c r="E431" s="55"/>
      <c r="F431" s="55"/>
      <c r="G431" s="55"/>
      <c r="H431" s="55"/>
      <c r="I431" s="55"/>
      <c r="J431" s="55"/>
    </row>
    <row r="432">
      <c r="A432" s="43"/>
      <c r="B432" s="55"/>
      <c r="C432" s="55"/>
      <c r="D432" s="55"/>
      <c r="E432" s="55"/>
      <c r="F432" s="55"/>
      <c r="G432" s="55"/>
      <c r="H432" s="55"/>
      <c r="I432" s="55"/>
      <c r="J432" s="55"/>
    </row>
    <row r="433">
      <c r="A433" s="43"/>
      <c r="B433" s="55"/>
      <c r="C433" s="55"/>
      <c r="D433" s="55"/>
      <c r="E433" s="55"/>
      <c r="F433" s="55"/>
      <c r="G433" s="55"/>
      <c r="H433" s="55"/>
      <c r="I433" s="55"/>
      <c r="J433" s="55"/>
    </row>
    <row r="434">
      <c r="A434" s="43"/>
      <c r="B434" s="55"/>
      <c r="C434" s="55"/>
      <c r="D434" s="55"/>
      <c r="E434" s="55"/>
      <c r="F434" s="55"/>
      <c r="G434" s="55"/>
      <c r="H434" s="55"/>
      <c r="I434" s="55"/>
      <c r="J434" s="55"/>
    </row>
    <row r="435">
      <c r="A435" s="43"/>
      <c r="B435" s="55"/>
      <c r="C435" s="55"/>
      <c r="D435" s="55"/>
      <c r="E435" s="55"/>
      <c r="F435" s="55"/>
      <c r="G435" s="55"/>
      <c r="H435" s="55"/>
      <c r="I435" s="55"/>
      <c r="J435" s="55"/>
    </row>
    <row r="436">
      <c r="A436" s="43"/>
      <c r="B436" s="55"/>
      <c r="C436" s="55"/>
      <c r="D436" s="55"/>
      <c r="E436" s="55"/>
      <c r="F436" s="55"/>
      <c r="G436" s="55"/>
      <c r="H436" s="55"/>
      <c r="I436" s="55"/>
      <c r="J436" s="55"/>
    </row>
    <row r="437">
      <c r="A437" s="43"/>
      <c r="B437" s="55"/>
      <c r="C437" s="55"/>
      <c r="D437" s="55"/>
      <c r="E437" s="55"/>
      <c r="F437" s="55"/>
      <c r="G437" s="55"/>
      <c r="H437" s="55"/>
      <c r="I437" s="55"/>
      <c r="J437" s="55"/>
    </row>
    <row r="438">
      <c r="A438" s="43"/>
      <c r="B438" s="55"/>
      <c r="C438" s="55"/>
      <c r="D438" s="55"/>
      <c r="E438" s="55"/>
      <c r="F438" s="55"/>
      <c r="G438" s="55"/>
      <c r="H438" s="55"/>
      <c r="I438" s="55"/>
      <c r="J438" s="55"/>
    </row>
    <row r="439">
      <c r="A439" s="43"/>
      <c r="B439" s="55"/>
      <c r="C439" s="55"/>
      <c r="D439" s="55"/>
      <c r="E439" s="55"/>
      <c r="F439" s="55"/>
      <c r="G439" s="55"/>
      <c r="H439" s="55"/>
      <c r="I439" s="55"/>
      <c r="J439" s="55"/>
    </row>
    <row r="440">
      <c r="A440" s="43"/>
      <c r="B440" s="55"/>
      <c r="C440" s="55"/>
      <c r="D440" s="55"/>
      <c r="E440" s="55"/>
      <c r="F440" s="55"/>
      <c r="G440" s="55"/>
      <c r="H440" s="55"/>
      <c r="I440" s="55"/>
      <c r="J440" s="55"/>
    </row>
    <row r="441">
      <c r="A441" s="43"/>
      <c r="B441" s="55"/>
      <c r="C441" s="55"/>
      <c r="D441" s="55"/>
      <c r="E441" s="55"/>
      <c r="F441" s="55"/>
      <c r="G441" s="55"/>
      <c r="H441" s="55"/>
      <c r="I441" s="55"/>
      <c r="J441" s="55"/>
    </row>
    <row r="442">
      <c r="A442" s="43"/>
      <c r="B442" s="55"/>
      <c r="C442" s="55"/>
      <c r="D442" s="55"/>
      <c r="E442" s="55"/>
      <c r="F442" s="55"/>
      <c r="G442" s="55"/>
      <c r="H442" s="55"/>
      <c r="I442" s="55"/>
      <c r="J442" s="55"/>
    </row>
    <row r="443">
      <c r="A443" s="43"/>
      <c r="B443" s="55"/>
      <c r="C443" s="55"/>
      <c r="D443" s="55"/>
      <c r="E443" s="55"/>
      <c r="F443" s="55"/>
      <c r="G443" s="55"/>
      <c r="H443" s="55"/>
      <c r="I443" s="55"/>
      <c r="J443" s="55"/>
    </row>
    <row r="444">
      <c r="A444" s="43"/>
      <c r="B444" s="55"/>
      <c r="C444" s="55"/>
      <c r="D444" s="55"/>
      <c r="E444" s="55"/>
      <c r="F444" s="55"/>
      <c r="G444" s="55"/>
      <c r="H444" s="55"/>
      <c r="I444" s="55"/>
      <c r="J444" s="55"/>
    </row>
    <row r="445">
      <c r="A445" s="43"/>
      <c r="B445" s="55"/>
      <c r="C445" s="55"/>
      <c r="D445" s="55"/>
      <c r="E445" s="55"/>
      <c r="F445" s="55"/>
      <c r="G445" s="55"/>
      <c r="H445" s="55"/>
      <c r="I445" s="55"/>
      <c r="J445" s="55"/>
    </row>
    <row r="446">
      <c r="A446" s="43"/>
      <c r="B446" s="55"/>
      <c r="C446" s="55"/>
      <c r="D446" s="55"/>
      <c r="E446" s="55"/>
      <c r="F446" s="55"/>
      <c r="G446" s="55"/>
      <c r="H446" s="55"/>
      <c r="I446" s="55"/>
      <c r="J446" s="55"/>
    </row>
    <row r="447">
      <c r="A447" s="43"/>
      <c r="B447" s="55"/>
      <c r="C447" s="55"/>
      <c r="D447" s="55"/>
      <c r="E447" s="55"/>
      <c r="F447" s="55"/>
      <c r="G447" s="55"/>
      <c r="H447" s="55"/>
      <c r="I447" s="55"/>
      <c r="J447" s="55"/>
    </row>
    <row r="448">
      <c r="A448" s="43"/>
      <c r="B448" s="55"/>
      <c r="C448" s="55"/>
      <c r="D448" s="55"/>
      <c r="E448" s="55"/>
      <c r="F448" s="55"/>
      <c r="G448" s="55"/>
      <c r="H448" s="55"/>
      <c r="I448" s="55"/>
      <c r="J448" s="55"/>
    </row>
    <row r="449">
      <c r="A449" s="43"/>
      <c r="B449" s="55"/>
      <c r="C449" s="55"/>
      <c r="D449" s="55"/>
      <c r="E449" s="55"/>
      <c r="F449" s="55"/>
      <c r="G449" s="55"/>
      <c r="H449" s="55"/>
      <c r="I449" s="55"/>
      <c r="J449" s="55"/>
    </row>
    <row r="450">
      <c r="A450" s="43"/>
      <c r="B450" s="55"/>
      <c r="C450" s="55"/>
      <c r="D450" s="55"/>
      <c r="E450" s="55"/>
      <c r="F450" s="55"/>
      <c r="G450" s="55"/>
      <c r="H450" s="55"/>
      <c r="I450" s="55"/>
      <c r="J450" s="55"/>
    </row>
    <row r="451">
      <c r="A451" s="43"/>
      <c r="B451" s="55"/>
      <c r="C451" s="55"/>
      <c r="D451" s="55"/>
      <c r="E451" s="55"/>
      <c r="F451" s="55"/>
      <c r="G451" s="55"/>
      <c r="H451" s="55"/>
      <c r="I451" s="55"/>
      <c r="J451" s="55"/>
    </row>
    <row r="452">
      <c r="A452" s="43"/>
      <c r="B452" s="55"/>
      <c r="C452" s="55"/>
      <c r="D452" s="55"/>
      <c r="E452" s="55"/>
      <c r="F452" s="55"/>
      <c r="G452" s="55"/>
      <c r="H452" s="55"/>
      <c r="I452" s="55"/>
      <c r="J452" s="55"/>
    </row>
    <row r="453">
      <c r="A453" s="43"/>
      <c r="B453" s="55"/>
      <c r="C453" s="55"/>
      <c r="D453" s="55"/>
      <c r="E453" s="55"/>
      <c r="F453" s="55"/>
      <c r="G453" s="55"/>
      <c r="H453" s="55"/>
      <c r="I453" s="55"/>
      <c r="J453" s="55"/>
    </row>
    <row r="454">
      <c r="A454" s="43"/>
      <c r="B454" s="55"/>
      <c r="C454" s="55"/>
      <c r="D454" s="55"/>
      <c r="E454" s="55"/>
      <c r="F454" s="55"/>
      <c r="G454" s="55"/>
      <c r="H454" s="55"/>
      <c r="I454" s="55"/>
      <c r="J454" s="55"/>
    </row>
    <row r="455">
      <c r="A455" s="43"/>
      <c r="B455" s="55"/>
      <c r="C455" s="55"/>
      <c r="D455" s="55"/>
      <c r="E455" s="55"/>
      <c r="F455" s="55"/>
      <c r="G455" s="55"/>
      <c r="H455" s="55"/>
      <c r="I455" s="55"/>
      <c r="J455" s="55"/>
    </row>
    <row r="456">
      <c r="A456" s="43"/>
      <c r="B456" s="55"/>
      <c r="C456" s="55"/>
      <c r="D456" s="55"/>
      <c r="E456" s="55"/>
      <c r="F456" s="55"/>
      <c r="G456" s="55"/>
      <c r="H456" s="55"/>
      <c r="I456" s="55"/>
      <c r="J456" s="55"/>
    </row>
    <row r="457">
      <c r="A457" s="43"/>
      <c r="B457" s="55"/>
      <c r="C457" s="55"/>
      <c r="D457" s="55"/>
      <c r="E457" s="55"/>
      <c r="F457" s="55"/>
      <c r="G457" s="55"/>
      <c r="H457" s="55"/>
      <c r="I457" s="55"/>
      <c r="J457" s="55"/>
    </row>
    <row r="458">
      <c r="A458" s="43"/>
      <c r="B458" s="55"/>
      <c r="C458" s="55"/>
      <c r="D458" s="55"/>
      <c r="E458" s="55"/>
      <c r="F458" s="55"/>
      <c r="G458" s="55"/>
      <c r="H458" s="55"/>
      <c r="I458" s="55"/>
      <c r="J458" s="55"/>
    </row>
    <row r="459">
      <c r="A459" s="43"/>
      <c r="B459" s="55"/>
      <c r="C459" s="55"/>
      <c r="D459" s="55"/>
      <c r="E459" s="55"/>
      <c r="F459" s="55"/>
      <c r="G459" s="55"/>
      <c r="H459" s="55"/>
      <c r="I459" s="55"/>
      <c r="J459" s="55"/>
    </row>
    <row r="460">
      <c r="A460" s="43"/>
      <c r="B460" s="55"/>
      <c r="C460" s="55"/>
      <c r="D460" s="55"/>
      <c r="E460" s="55"/>
      <c r="F460" s="55"/>
      <c r="G460" s="55"/>
      <c r="H460" s="55"/>
      <c r="I460" s="55"/>
      <c r="J460" s="55"/>
    </row>
    <row r="461">
      <c r="A461" s="43"/>
      <c r="B461" s="55"/>
      <c r="C461" s="55"/>
      <c r="D461" s="55"/>
      <c r="E461" s="55"/>
      <c r="F461" s="55"/>
      <c r="G461" s="55"/>
      <c r="H461" s="55"/>
      <c r="I461" s="55"/>
      <c r="J461" s="55"/>
    </row>
    <row r="462">
      <c r="A462" s="43"/>
      <c r="B462" s="55"/>
      <c r="C462" s="55"/>
      <c r="D462" s="55"/>
      <c r="E462" s="55"/>
      <c r="F462" s="55"/>
      <c r="G462" s="55"/>
      <c r="H462" s="55"/>
      <c r="I462" s="55"/>
      <c r="J462" s="55"/>
    </row>
    <row r="463">
      <c r="A463" s="43"/>
      <c r="B463" s="55"/>
      <c r="C463" s="55"/>
      <c r="D463" s="55"/>
      <c r="E463" s="55"/>
      <c r="F463" s="55"/>
      <c r="G463" s="55"/>
      <c r="H463" s="55"/>
      <c r="I463" s="55"/>
      <c r="J463" s="55"/>
    </row>
    <row r="464">
      <c r="A464" s="43"/>
      <c r="B464" s="55"/>
      <c r="C464" s="55"/>
      <c r="D464" s="55"/>
      <c r="E464" s="55"/>
      <c r="F464" s="55"/>
      <c r="G464" s="55"/>
      <c r="H464" s="55"/>
      <c r="I464" s="55"/>
      <c r="J464" s="55"/>
    </row>
    <row r="465">
      <c r="A465" s="43"/>
      <c r="B465" s="55"/>
      <c r="C465" s="55"/>
      <c r="D465" s="55"/>
      <c r="E465" s="55"/>
      <c r="F465" s="55"/>
      <c r="G465" s="55"/>
      <c r="H465" s="55"/>
      <c r="I465" s="55"/>
      <c r="J465" s="55"/>
    </row>
    <row r="466">
      <c r="A466" s="43"/>
      <c r="B466" s="55"/>
      <c r="C466" s="55"/>
      <c r="D466" s="55"/>
      <c r="E466" s="55"/>
      <c r="F466" s="55"/>
      <c r="G466" s="55"/>
      <c r="H466" s="55"/>
      <c r="I466" s="55"/>
      <c r="J466" s="55"/>
    </row>
    <row r="467">
      <c r="A467" s="43"/>
      <c r="B467" s="55"/>
      <c r="C467" s="55"/>
      <c r="D467" s="55"/>
      <c r="E467" s="55"/>
      <c r="F467" s="55"/>
      <c r="G467" s="55"/>
      <c r="H467" s="55"/>
      <c r="I467" s="55"/>
      <c r="J467" s="55"/>
    </row>
    <row r="468">
      <c r="A468" s="43"/>
      <c r="B468" s="55"/>
      <c r="C468" s="55"/>
      <c r="D468" s="55"/>
      <c r="E468" s="55"/>
      <c r="F468" s="55"/>
      <c r="G468" s="55"/>
      <c r="H468" s="55"/>
      <c r="I468" s="55"/>
      <c r="J468" s="55"/>
    </row>
    <row r="469">
      <c r="A469" s="43"/>
      <c r="B469" s="55"/>
      <c r="C469" s="55"/>
      <c r="D469" s="55"/>
      <c r="E469" s="55"/>
      <c r="F469" s="55"/>
      <c r="G469" s="55"/>
      <c r="H469" s="55"/>
      <c r="I469" s="55"/>
      <c r="J469" s="55"/>
    </row>
    <row r="470">
      <c r="A470" s="43"/>
      <c r="B470" s="55"/>
      <c r="C470" s="55"/>
      <c r="D470" s="55"/>
      <c r="E470" s="55"/>
      <c r="F470" s="55"/>
      <c r="G470" s="55"/>
      <c r="H470" s="55"/>
      <c r="I470" s="55"/>
      <c r="J470" s="55"/>
    </row>
    <row r="471">
      <c r="A471" s="43"/>
      <c r="B471" s="55"/>
      <c r="C471" s="55"/>
      <c r="D471" s="55"/>
      <c r="E471" s="55"/>
      <c r="F471" s="55"/>
      <c r="G471" s="55"/>
      <c r="H471" s="55"/>
      <c r="I471" s="55"/>
      <c r="J471" s="55"/>
    </row>
    <row r="472">
      <c r="A472" s="43"/>
      <c r="B472" s="55"/>
      <c r="C472" s="55"/>
      <c r="D472" s="55"/>
      <c r="E472" s="55"/>
      <c r="F472" s="55"/>
      <c r="G472" s="55"/>
      <c r="H472" s="55"/>
      <c r="I472" s="55"/>
      <c r="J472" s="55"/>
    </row>
    <row r="473">
      <c r="A473" s="43"/>
      <c r="B473" s="55"/>
      <c r="C473" s="55"/>
      <c r="D473" s="55"/>
      <c r="E473" s="55"/>
      <c r="F473" s="55"/>
      <c r="G473" s="55"/>
      <c r="H473" s="55"/>
      <c r="I473" s="55"/>
      <c r="J473" s="55"/>
    </row>
    <row r="474">
      <c r="A474" s="43"/>
      <c r="B474" s="55"/>
      <c r="C474" s="55"/>
      <c r="D474" s="55"/>
      <c r="E474" s="55"/>
      <c r="F474" s="55"/>
      <c r="G474" s="55"/>
      <c r="H474" s="55"/>
      <c r="I474" s="55"/>
      <c r="J474" s="55"/>
    </row>
    <row r="475">
      <c r="A475" s="43"/>
      <c r="B475" s="55"/>
      <c r="C475" s="55"/>
      <c r="D475" s="55"/>
      <c r="E475" s="55"/>
      <c r="F475" s="55"/>
      <c r="G475" s="55"/>
      <c r="H475" s="55"/>
      <c r="I475" s="55"/>
      <c r="J475" s="55"/>
    </row>
    <row r="476">
      <c r="A476" s="43"/>
      <c r="B476" s="55"/>
      <c r="C476" s="55"/>
      <c r="D476" s="55"/>
      <c r="E476" s="55"/>
      <c r="F476" s="55"/>
      <c r="G476" s="55"/>
      <c r="H476" s="55"/>
      <c r="I476" s="55"/>
      <c r="J476" s="55"/>
    </row>
    <row r="477">
      <c r="A477" s="43"/>
      <c r="B477" s="55"/>
      <c r="C477" s="55"/>
      <c r="D477" s="55"/>
      <c r="E477" s="55"/>
      <c r="F477" s="55"/>
      <c r="G477" s="55"/>
      <c r="H477" s="55"/>
      <c r="I477" s="55"/>
      <c r="J477" s="55"/>
    </row>
    <row r="478">
      <c r="A478" s="43"/>
      <c r="B478" s="55"/>
      <c r="C478" s="55"/>
      <c r="D478" s="55"/>
      <c r="E478" s="55"/>
      <c r="F478" s="55"/>
      <c r="G478" s="55"/>
      <c r="H478" s="55"/>
      <c r="I478" s="55"/>
      <c r="J478" s="55"/>
    </row>
    <row r="479">
      <c r="A479" s="43"/>
      <c r="B479" s="55"/>
      <c r="C479" s="55"/>
      <c r="D479" s="55"/>
      <c r="E479" s="55"/>
      <c r="F479" s="55"/>
      <c r="G479" s="55"/>
      <c r="H479" s="55"/>
      <c r="I479" s="55"/>
      <c r="J479" s="55"/>
    </row>
    <row r="480">
      <c r="A480" s="43"/>
      <c r="B480" s="55"/>
      <c r="C480" s="55"/>
      <c r="D480" s="55"/>
      <c r="E480" s="55"/>
      <c r="F480" s="55"/>
      <c r="G480" s="55"/>
      <c r="H480" s="55"/>
      <c r="I480" s="55"/>
      <c r="J480" s="55"/>
    </row>
    <row r="481">
      <c r="A481" s="43"/>
      <c r="B481" s="55"/>
      <c r="C481" s="55"/>
      <c r="D481" s="55"/>
      <c r="E481" s="55"/>
      <c r="F481" s="55"/>
      <c r="G481" s="55"/>
      <c r="H481" s="55"/>
      <c r="I481" s="55"/>
      <c r="J481" s="55"/>
    </row>
    <row r="482">
      <c r="A482" s="43"/>
      <c r="B482" s="55"/>
      <c r="C482" s="55"/>
      <c r="D482" s="55"/>
      <c r="E482" s="55"/>
      <c r="F482" s="55"/>
      <c r="G482" s="55"/>
      <c r="H482" s="55"/>
      <c r="I482" s="55"/>
      <c r="J482" s="55"/>
    </row>
    <row r="483">
      <c r="A483" s="43"/>
      <c r="B483" s="55"/>
      <c r="C483" s="55"/>
      <c r="D483" s="55"/>
      <c r="E483" s="55"/>
      <c r="F483" s="55"/>
      <c r="G483" s="55"/>
      <c r="H483" s="55"/>
      <c r="I483" s="55"/>
      <c r="J483" s="55"/>
    </row>
    <row r="484">
      <c r="A484" s="43"/>
      <c r="B484" s="55"/>
      <c r="C484" s="55"/>
      <c r="D484" s="55"/>
      <c r="E484" s="55"/>
      <c r="F484" s="55"/>
      <c r="G484" s="55"/>
      <c r="H484" s="55"/>
      <c r="I484" s="55"/>
      <c r="J484" s="55"/>
    </row>
    <row r="485">
      <c r="A485" s="43"/>
      <c r="B485" s="55"/>
      <c r="C485" s="55"/>
      <c r="D485" s="55"/>
      <c r="E485" s="55"/>
      <c r="F485" s="55"/>
      <c r="G485" s="55"/>
      <c r="H485" s="55"/>
      <c r="I485" s="55"/>
      <c r="J485" s="55"/>
    </row>
    <row r="486">
      <c r="A486" s="43"/>
      <c r="B486" s="55"/>
      <c r="C486" s="55"/>
      <c r="D486" s="55"/>
      <c r="E486" s="55"/>
      <c r="F486" s="55"/>
      <c r="G486" s="55"/>
      <c r="H486" s="55"/>
      <c r="I486" s="55"/>
      <c r="J486" s="55"/>
    </row>
    <row r="487">
      <c r="A487" s="43"/>
      <c r="B487" s="55"/>
      <c r="C487" s="55"/>
      <c r="D487" s="55"/>
      <c r="E487" s="55"/>
      <c r="F487" s="55"/>
      <c r="G487" s="55"/>
      <c r="H487" s="55"/>
      <c r="I487" s="55"/>
      <c r="J487" s="55"/>
    </row>
    <row r="488">
      <c r="A488" s="43"/>
      <c r="B488" s="55"/>
      <c r="C488" s="55"/>
      <c r="D488" s="55"/>
      <c r="E488" s="55"/>
      <c r="F488" s="55"/>
      <c r="G488" s="55"/>
      <c r="H488" s="55"/>
      <c r="I488" s="55"/>
      <c r="J488" s="55"/>
    </row>
    <row r="489">
      <c r="A489" s="43"/>
      <c r="B489" s="55"/>
      <c r="C489" s="55"/>
      <c r="D489" s="55"/>
      <c r="E489" s="55"/>
      <c r="F489" s="55"/>
      <c r="G489" s="55"/>
      <c r="H489" s="55"/>
      <c r="I489" s="55"/>
      <c r="J489" s="55"/>
    </row>
    <row r="490">
      <c r="A490" s="43"/>
      <c r="B490" s="55"/>
      <c r="C490" s="55"/>
      <c r="D490" s="55"/>
      <c r="E490" s="55"/>
      <c r="F490" s="55"/>
      <c r="G490" s="55"/>
      <c r="H490" s="55"/>
      <c r="I490" s="55"/>
      <c r="J490" s="55"/>
    </row>
    <row r="491">
      <c r="A491" s="43"/>
      <c r="B491" s="55"/>
      <c r="C491" s="55"/>
      <c r="D491" s="55"/>
      <c r="E491" s="55"/>
      <c r="F491" s="55"/>
      <c r="G491" s="55"/>
      <c r="H491" s="55"/>
      <c r="I491" s="55"/>
      <c r="J491" s="55"/>
    </row>
    <row r="492">
      <c r="A492" s="43"/>
      <c r="B492" s="55"/>
      <c r="C492" s="55"/>
      <c r="D492" s="55"/>
      <c r="E492" s="55"/>
      <c r="F492" s="55"/>
      <c r="G492" s="55"/>
      <c r="H492" s="55"/>
      <c r="I492" s="55"/>
      <c r="J492" s="55"/>
    </row>
    <row r="493">
      <c r="A493" s="43"/>
      <c r="B493" s="55"/>
      <c r="C493" s="55"/>
      <c r="D493" s="55"/>
      <c r="E493" s="55"/>
      <c r="F493" s="55"/>
      <c r="G493" s="55"/>
      <c r="H493" s="55"/>
      <c r="I493" s="55"/>
      <c r="J493" s="55"/>
    </row>
    <row r="494">
      <c r="A494" s="43"/>
      <c r="B494" s="55"/>
      <c r="C494" s="55"/>
      <c r="D494" s="55"/>
      <c r="E494" s="55"/>
      <c r="F494" s="55"/>
      <c r="G494" s="55"/>
      <c r="H494" s="55"/>
      <c r="I494" s="55"/>
      <c r="J494" s="55"/>
    </row>
    <row r="495">
      <c r="A495" s="43"/>
      <c r="B495" s="55"/>
      <c r="C495" s="55"/>
      <c r="D495" s="55"/>
      <c r="E495" s="55"/>
      <c r="F495" s="55"/>
      <c r="G495" s="55"/>
      <c r="H495" s="55"/>
      <c r="I495" s="55"/>
      <c r="J495" s="55"/>
    </row>
    <row r="496">
      <c r="A496" s="43"/>
      <c r="B496" s="55"/>
      <c r="C496" s="55"/>
      <c r="D496" s="55"/>
      <c r="E496" s="55"/>
      <c r="F496" s="55"/>
      <c r="G496" s="55"/>
      <c r="H496" s="55"/>
      <c r="I496" s="55"/>
      <c r="J496" s="55"/>
    </row>
    <row r="497">
      <c r="A497" s="43"/>
      <c r="B497" s="55"/>
      <c r="C497" s="55"/>
      <c r="D497" s="55"/>
      <c r="E497" s="55"/>
      <c r="F497" s="55"/>
      <c r="G497" s="55"/>
      <c r="H497" s="55"/>
      <c r="I497" s="55"/>
      <c r="J497" s="55"/>
    </row>
    <row r="498">
      <c r="A498" s="43"/>
      <c r="B498" s="55"/>
      <c r="C498" s="55"/>
      <c r="D498" s="55"/>
      <c r="E498" s="55"/>
      <c r="F498" s="55"/>
      <c r="G498" s="55"/>
      <c r="H498" s="55"/>
      <c r="I498" s="55"/>
      <c r="J498" s="55"/>
    </row>
    <row r="499">
      <c r="A499" s="43"/>
      <c r="B499" s="55"/>
      <c r="C499" s="55"/>
      <c r="D499" s="55"/>
      <c r="E499" s="55"/>
      <c r="F499" s="55"/>
      <c r="G499" s="55"/>
      <c r="H499" s="55"/>
      <c r="I499" s="55"/>
      <c r="J499" s="55"/>
    </row>
    <row r="500">
      <c r="A500" s="43"/>
      <c r="B500" s="55"/>
      <c r="C500" s="55"/>
      <c r="D500" s="55"/>
      <c r="E500" s="55"/>
      <c r="F500" s="55"/>
      <c r="G500" s="55"/>
      <c r="H500" s="55"/>
      <c r="I500" s="55"/>
      <c r="J500" s="55"/>
    </row>
    <row r="501">
      <c r="A501" s="43"/>
      <c r="B501" s="55"/>
      <c r="C501" s="55"/>
      <c r="D501" s="55"/>
      <c r="E501" s="55"/>
      <c r="F501" s="55"/>
      <c r="G501" s="55"/>
      <c r="H501" s="55"/>
      <c r="I501" s="55"/>
      <c r="J501" s="55"/>
    </row>
    <row r="502">
      <c r="A502" s="43"/>
      <c r="B502" s="55"/>
      <c r="C502" s="55"/>
      <c r="D502" s="55"/>
      <c r="E502" s="55"/>
      <c r="F502" s="55"/>
      <c r="G502" s="55"/>
      <c r="H502" s="55"/>
      <c r="I502" s="55"/>
      <c r="J502" s="55"/>
    </row>
    <row r="503">
      <c r="A503" s="43"/>
      <c r="B503" s="55"/>
      <c r="C503" s="55"/>
      <c r="D503" s="55"/>
      <c r="E503" s="55"/>
      <c r="F503" s="55"/>
      <c r="G503" s="55"/>
      <c r="H503" s="55"/>
      <c r="I503" s="55"/>
      <c r="J503" s="55"/>
    </row>
    <row r="504">
      <c r="A504" s="43"/>
      <c r="B504" s="55"/>
      <c r="C504" s="55"/>
      <c r="D504" s="55"/>
      <c r="E504" s="55"/>
      <c r="F504" s="55"/>
      <c r="G504" s="55"/>
      <c r="H504" s="55"/>
      <c r="I504" s="55"/>
      <c r="J504" s="55"/>
    </row>
    <row r="505">
      <c r="A505" s="43"/>
      <c r="B505" s="55"/>
      <c r="C505" s="55"/>
      <c r="D505" s="55"/>
      <c r="E505" s="55"/>
      <c r="F505" s="55"/>
      <c r="G505" s="55"/>
      <c r="H505" s="55"/>
      <c r="I505" s="55"/>
      <c r="J505" s="55"/>
    </row>
    <row r="506">
      <c r="A506" s="43"/>
      <c r="B506" s="55"/>
      <c r="C506" s="55"/>
      <c r="D506" s="55"/>
      <c r="E506" s="55"/>
      <c r="F506" s="55"/>
      <c r="G506" s="55"/>
      <c r="H506" s="55"/>
      <c r="I506" s="55"/>
      <c r="J506" s="55"/>
    </row>
    <row r="507">
      <c r="A507" s="43"/>
      <c r="B507" s="55"/>
      <c r="C507" s="55"/>
      <c r="D507" s="55"/>
      <c r="E507" s="55"/>
      <c r="F507" s="55"/>
      <c r="G507" s="55"/>
      <c r="H507" s="55"/>
      <c r="I507" s="55"/>
      <c r="J507" s="55"/>
    </row>
    <row r="508">
      <c r="A508" s="43"/>
      <c r="B508" s="55"/>
      <c r="C508" s="55"/>
      <c r="D508" s="55"/>
      <c r="E508" s="55"/>
      <c r="F508" s="55"/>
      <c r="G508" s="55"/>
      <c r="H508" s="55"/>
      <c r="I508" s="55"/>
      <c r="J508" s="55"/>
    </row>
    <row r="509">
      <c r="A509" s="43"/>
      <c r="B509" s="55"/>
      <c r="C509" s="55"/>
      <c r="D509" s="55"/>
      <c r="E509" s="55"/>
      <c r="F509" s="55"/>
      <c r="G509" s="55"/>
      <c r="H509" s="55"/>
      <c r="I509" s="55"/>
      <c r="J509" s="55"/>
    </row>
    <row r="510">
      <c r="A510" s="43"/>
      <c r="B510" s="55"/>
      <c r="C510" s="55"/>
      <c r="D510" s="55"/>
      <c r="E510" s="55"/>
      <c r="F510" s="55"/>
      <c r="G510" s="55"/>
      <c r="H510" s="55"/>
      <c r="I510" s="55"/>
      <c r="J510" s="55"/>
    </row>
    <row r="511">
      <c r="A511" s="43"/>
      <c r="B511" s="55"/>
      <c r="C511" s="55"/>
      <c r="D511" s="55"/>
      <c r="E511" s="55"/>
      <c r="F511" s="55"/>
      <c r="G511" s="55"/>
      <c r="H511" s="55"/>
      <c r="I511" s="55"/>
      <c r="J511" s="55"/>
    </row>
    <row r="512">
      <c r="A512" s="43"/>
      <c r="B512" s="55"/>
      <c r="C512" s="55"/>
      <c r="D512" s="55"/>
      <c r="E512" s="55"/>
      <c r="F512" s="55"/>
      <c r="G512" s="55"/>
      <c r="H512" s="55"/>
      <c r="I512" s="55"/>
      <c r="J512" s="55"/>
    </row>
    <row r="513">
      <c r="A513" s="43"/>
      <c r="B513" s="55"/>
      <c r="C513" s="55"/>
      <c r="D513" s="55"/>
      <c r="E513" s="55"/>
      <c r="F513" s="55"/>
      <c r="G513" s="55"/>
      <c r="H513" s="55"/>
      <c r="I513" s="55"/>
      <c r="J513" s="55"/>
    </row>
    <row r="514">
      <c r="A514" s="43"/>
      <c r="B514" s="55"/>
      <c r="C514" s="55"/>
      <c r="D514" s="55"/>
      <c r="E514" s="55"/>
      <c r="F514" s="55"/>
      <c r="G514" s="55"/>
      <c r="H514" s="55"/>
      <c r="I514" s="55"/>
      <c r="J514" s="55"/>
    </row>
    <row r="515">
      <c r="A515" s="43"/>
      <c r="B515" s="55"/>
      <c r="C515" s="55"/>
      <c r="D515" s="55"/>
      <c r="E515" s="55"/>
      <c r="F515" s="55"/>
      <c r="G515" s="55"/>
      <c r="H515" s="55"/>
      <c r="I515" s="55"/>
      <c r="J515" s="55"/>
    </row>
    <row r="516">
      <c r="A516" s="43"/>
      <c r="B516" s="55"/>
      <c r="C516" s="55"/>
      <c r="D516" s="55"/>
      <c r="E516" s="55"/>
      <c r="F516" s="55"/>
      <c r="G516" s="55"/>
      <c r="H516" s="55"/>
      <c r="I516" s="55"/>
      <c r="J516" s="55"/>
    </row>
    <row r="517">
      <c r="A517" s="43"/>
      <c r="B517" s="55"/>
      <c r="C517" s="55"/>
      <c r="D517" s="55"/>
      <c r="E517" s="55"/>
      <c r="F517" s="55"/>
      <c r="G517" s="55"/>
      <c r="H517" s="55"/>
      <c r="I517" s="55"/>
      <c r="J517" s="55"/>
    </row>
    <row r="518">
      <c r="A518" s="43"/>
      <c r="B518" s="55"/>
      <c r="C518" s="55"/>
      <c r="D518" s="55"/>
      <c r="E518" s="55"/>
      <c r="F518" s="55"/>
      <c r="G518" s="55"/>
      <c r="H518" s="55"/>
      <c r="I518" s="55"/>
      <c r="J518" s="55"/>
    </row>
    <row r="519">
      <c r="A519" s="43"/>
      <c r="B519" s="55"/>
      <c r="C519" s="55"/>
      <c r="D519" s="55"/>
      <c r="E519" s="55"/>
      <c r="F519" s="55"/>
      <c r="G519" s="55"/>
      <c r="H519" s="55"/>
      <c r="I519" s="55"/>
      <c r="J519" s="55"/>
    </row>
    <row r="520">
      <c r="A520" s="43"/>
      <c r="B520" s="55"/>
      <c r="C520" s="55"/>
      <c r="D520" s="55"/>
      <c r="E520" s="55"/>
      <c r="F520" s="55"/>
      <c r="G520" s="55"/>
      <c r="H520" s="55"/>
      <c r="I520" s="55"/>
      <c r="J520" s="55"/>
    </row>
    <row r="521">
      <c r="A521" s="43"/>
      <c r="B521" s="55"/>
      <c r="C521" s="55"/>
      <c r="D521" s="55"/>
      <c r="E521" s="55"/>
      <c r="F521" s="55"/>
      <c r="G521" s="55"/>
      <c r="H521" s="55"/>
      <c r="I521" s="55"/>
      <c r="J521" s="55"/>
    </row>
    <row r="522">
      <c r="A522" s="43"/>
      <c r="B522" s="55"/>
      <c r="C522" s="55"/>
      <c r="D522" s="55"/>
      <c r="E522" s="55"/>
      <c r="F522" s="55"/>
      <c r="G522" s="55"/>
      <c r="H522" s="55"/>
      <c r="I522" s="55"/>
      <c r="J522" s="55"/>
    </row>
    <row r="523">
      <c r="A523" s="43"/>
      <c r="B523" s="55"/>
      <c r="C523" s="55"/>
      <c r="D523" s="55"/>
      <c r="E523" s="55"/>
      <c r="F523" s="55"/>
      <c r="G523" s="55"/>
      <c r="H523" s="55"/>
      <c r="I523" s="55"/>
      <c r="J523" s="55"/>
    </row>
    <row r="524">
      <c r="A524" s="43"/>
      <c r="B524" s="55"/>
      <c r="C524" s="55"/>
      <c r="D524" s="55"/>
      <c r="E524" s="55"/>
      <c r="F524" s="55"/>
      <c r="G524" s="55"/>
      <c r="H524" s="55"/>
      <c r="I524" s="55"/>
      <c r="J524" s="55"/>
    </row>
    <row r="525">
      <c r="A525" s="43"/>
      <c r="B525" s="55"/>
      <c r="C525" s="55"/>
      <c r="D525" s="55"/>
      <c r="E525" s="55"/>
      <c r="F525" s="55"/>
      <c r="G525" s="55"/>
      <c r="H525" s="55"/>
      <c r="I525" s="55"/>
      <c r="J525" s="55"/>
    </row>
    <row r="526">
      <c r="A526" s="43"/>
      <c r="B526" s="55"/>
      <c r="C526" s="55"/>
      <c r="D526" s="55"/>
      <c r="E526" s="55"/>
      <c r="F526" s="55"/>
      <c r="G526" s="55"/>
      <c r="H526" s="55"/>
      <c r="I526" s="55"/>
      <c r="J526" s="55"/>
    </row>
    <row r="527">
      <c r="A527" s="43"/>
      <c r="B527" s="55"/>
      <c r="C527" s="55"/>
      <c r="D527" s="55"/>
      <c r="E527" s="55"/>
      <c r="F527" s="55"/>
      <c r="G527" s="55"/>
      <c r="H527" s="55"/>
      <c r="I527" s="55"/>
      <c r="J527" s="55"/>
    </row>
    <row r="528">
      <c r="A528" s="43"/>
      <c r="B528" s="55"/>
      <c r="C528" s="55"/>
      <c r="D528" s="55"/>
      <c r="E528" s="55"/>
      <c r="F528" s="55"/>
      <c r="G528" s="55"/>
      <c r="H528" s="55"/>
      <c r="I528" s="55"/>
      <c r="J528" s="55"/>
    </row>
    <row r="529">
      <c r="A529" s="43"/>
      <c r="B529" s="55"/>
      <c r="C529" s="55"/>
      <c r="D529" s="55"/>
      <c r="E529" s="55"/>
      <c r="F529" s="55"/>
      <c r="G529" s="55"/>
      <c r="H529" s="55"/>
      <c r="I529" s="55"/>
      <c r="J529" s="55"/>
    </row>
    <row r="530">
      <c r="A530" s="43"/>
      <c r="B530" s="55"/>
      <c r="C530" s="55"/>
      <c r="D530" s="55"/>
      <c r="E530" s="55"/>
      <c r="F530" s="55"/>
      <c r="G530" s="55"/>
      <c r="H530" s="55"/>
      <c r="I530" s="55"/>
      <c r="J530" s="55"/>
    </row>
    <row r="531">
      <c r="A531" s="43"/>
      <c r="B531" s="55"/>
      <c r="C531" s="55"/>
      <c r="D531" s="55"/>
      <c r="E531" s="55"/>
      <c r="F531" s="55"/>
      <c r="G531" s="55"/>
      <c r="H531" s="55"/>
      <c r="I531" s="55"/>
      <c r="J531" s="55"/>
    </row>
    <row r="532">
      <c r="A532" s="43"/>
      <c r="B532" s="55"/>
      <c r="C532" s="55"/>
      <c r="D532" s="55"/>
      <c r="E532" s="55"/>
      <c r="F532" s="55"/>
      <c r="G532" s="55"/>
      <c r="H532" s="55"/>
      <c r="I532" s="55"/>
      <c r="J532" s="55"/>
    </row>
    <row r="533">
      <c r="A533" s="43"/>
      <c r="B533" s="55"/>
      <c r="C533" s="55"/>
      <c r="D533" s="55"/>
      <c r="E533" s="55"/>
      <c r="F533" s="55"/>
      <c r="G533" s="55"/>
      <c r="H533" s="55"/>
      <c r="I533" s="55"/>
      <c r="J533" s="55"/>
    </row>
    <row r="534">
      <c r="A534" s="43"/>
      <c r="B534" s="55"/>
      <c r="C534" s="55"/>
      <c r="D534" s="55"/>
      <c r="E534" s="55"/>
      <c r="F534" s="55"/>
      <c r="G534" s="55"/>
      <c r="H534" s="55"/>
      <c r="I534" s="55"/>
      <c r="J534" s="55"/>
    </row>
    <row r="535">
      <c r="A535" s="43"/>
      <c r="B535" s="55"/>
      <c r="C535" s="55"/>
      <c r="D535" s="55"/>
      <c r="E535" s="55"/>
      <c r="F535" s="55"/>
      <c r="G535" s="55"/>
      <c r="H535" s="55"/>
      <c r="I535" s="55"/>
      <c r="J535" s="55"/>
    </row>
    <row r="536">
      <c r="A536" s="43"/>
      <c r="B536" s="55"/>
      <c r="C536" s="55"/>
      <c r="D536" s="55"/>
      <c r="E536" s="55"/>
      <c r="F536" s="55"/>
      <c r="G536" s="55"/>
      <c r="H536" s="55"/>
      <c r="I536" s="55"/>
      <c r="J536" s="55"/>
    </row>
    <row r="537">
      <c r="A537" s="43"/>
      <c r="B537" s="55"/>
      <c r="C537" s="55"/>
      <c r="D537" s="55"/>
      <c r="E537" s="55"/>
      <c r="F537" s="55"/>
      <c r="G537" s="55"/>
      <c r="H537" s="55"/>
      <c r="I537" s="55"/>
      <c r="J537" s="55"/>
    </row>
    <row r="538">
      <c r="A538" s="43"/>
      <c r="B538" s="55"/>
      <c r="C538" s="55"/>
      <c r="D538" s="55"/>
      <c r="E538" s="55"/>
      <c r="F538" s="55"/>
      <c r="G538" s="55"/>
      <c r="H538" s="55"/>
      <c r="I538" s="55"/>
      <c r="J538" s="55"/>
    </row>
    <row r="539">
      <c r="A539" s="43"/>
      <c r="B539" s="55"/>
      <c r="C539" s="55"/>
      <c r="D539" s="55"/>
      <c r="E539" s="55"/>
      <c r="F539" s="55"/>
      <c r="G539" s="55"/>
      <c r="H539" s="55"/>
      <c r="I539" s="55"/>
      <c r="J539" s="55"/>
    </row>
    <row r="540">
      <c r="A540" s="43"/>
      <c r="B540" s="55"/>
      <c r="C540" s="55"/>
      <c r="D540" s="55"/>
      <c r="E540" s="55"/>
      <c r="F540" s="55"/>
      <c r="G540" s="55"/>
      <c r="H540" s="55"/>
      <c r="I540" s="55"/>
      <c r="J540" s="55"/>
    </row>
    <row r="541">
      <c r="A541" s="43"/>
      <c r="B541" s="55"/>
      <c r="C541" s="55"/>
      <c r="D541" s="55"/>
      <c r="E541" s="55"/>
      <c r="F541" s="55"/>
      <c r="G541" s="55"/>
      <c r="H541" s="55"/>
      <c r="I541" s="55"/>
      <c r="J541" s="55"/>
    </row>
    <row r="542">
      <c r="A542" s="43"/>
      <c r="B542" s="55"/>
      <c r="C542" s="55"/>
      <c r="D542" s="55"/>
      <c r="E542" s="55"/>
      <c r="F542" s="55"/>
      <c r="G542" s="55"/>
      <c r="H542" s="55"/>
      <c r="I542" s="55"/>
      <c r="J542" s="55"/>
    </row>
    <row r="543">
      <c r="A543" s="43"/>
      <c r="B543" s="55"/>
      <c r="C543" s="55"/>
      <c r="D543" s="55"/>
      <c r="E543" s="55"/>
      <c r="F543" s="55"/>
      <c r="G543" s="55"/>
      <c r="H543" s="55"/>
      <c r="I543" s="55"/>
      <c r="J543" s="55"/>
    </row>
    <row r="544">
      <c r="A544" s="43"/>
      <c r="B544" s="55"/>
      <c r="C544" s="55"/>
      <c r="D544" s="55"/>
      <c r="E544" s="55"/>
      <c r="F544" s="55"/>
      <c r="G544" s="55"/>
      <c r="H544" s="55"/>
      <c r="I544" s="55"/>
      <c r="J544" s="55"/>
    </row>
    <row r="545">
      <c r="A545" s="43"/>
      <c r="B545" s="55"/>
      <c r="C545" s="55"/>
      <c r="D545" s="55"/>
      <c r="E545" s="55"/>
      <c r="F545" s="55"/>
      <c r="G545" s="55"/>
      <c r="H545" s="55"/>
      <c r="I545" s="55"/>
      <c r="J545" s="55"/>
    </row>
    <row r="546">
      <c r="A546" s="43"/>
      <c r="B546" s="55"/>
      <c r="C546" s="55"/>
      <c r="D546" s="55"/>
      <c r="E546" s="55"/>
      <c r="F546" s="55"/>
      <c r="G546" s="55"/>
      <c r="H546" s="55"/>
      <c r="I546" s="55"/>
      <c r="J546" s="55"/>
    </row>
    <row r="547">
      <c r="A547" s="43"/>
      <c r="B547" s="55"/>
      <c r="C547" s="55"/>
      <c r="D547" s="55"/>
      <c r="E547" s="55"/>
      <c r="F547" s="55"/>
      <c r="G547" s="55"/>
      <c r="H547" s="55"/>
      <c r="I547" s="55"/>
      <c r="J547" s="55"/>
    </row>
    <row r="548">
      <c r="A548" s="43"/>
      <c r="B548" s="55"/>
      <c r="C548" s="55"/>
      <c r="D548" s="55"/>
      <c r="E548" s="55"/>
      <c r="F548" s="55"/>
      <c r="G548" s="55"/>
      <c r="H548" s="55"/>
      <c r="I548" s="55"/>
      <c r="J548" s="55"/>
    </row>
    <row r="549">
      <c r="A549" s="43"/>
      <c r="B549" s="55"/>
      <c r="C549" s="55"/>
      <c r="D549" s="55"/>
      <c r="E549" s="55"/>
      <c r="F549" s="55"/>
      <c r="G549" s="55"/>
      <c r="H549" s="55"/>
      <c r="I549" s="55"/>
      <c r="J549" s="55"/>
    </row>
    <row r="550">
      <c r="A550" s="43"/>
      <c r="B550" s="55"/>
      <c r="C550" s="55"/>
      <c r="D550" s="55"/>
      <c r="E550" s="55"/>
      <c r="F550" s="55"/>
      <c r="G550" s="55"/>
      <c r="H550" s="55"/>
      <c r="I550" s="55"/>
      <c r="J550" s="55"/>
    </row>
    <row r="551">
      <c r="A551" s="43"/>
      <c r="B551" s="55"/>
      <c r="C551" s="55"/>
      <c r="D551" s="55"/>
      <c r="E551" s="55"/>
      <c r="F551" s="55"/>
      <c r="G551" s="55"/>
      <c r="H551" s="55"/>
      <c r="I551" s="55"/>
      <c r="J551" s="55"/>
    </row>
    <row r="552">
      <c r="A552" s="43"/>
      <c r="B552" s="55"/>
      <c r="C552" s="55"/>
      <c r="D552" s="55"/>
      <c r="E552" s="55"/>
      <c r="F552" s="55"/>
      <c r="G552" s="55"/>
      <c r="H552" s="55"/>
      <c r="I552" s="55"/>
      <c r="J552" s="55"/>
    </row>
    <row r="553">
      <c r="A553" s="43"/>
      <c r="B553" s="55"/>
      <c r="C553" s="55"/>
      <c r="D553" s="55"/>
      <c r="E553" s="55"/>
      <c r="F553" s="55"/>
      <c r="G553" s="55"/>
      <c r="H553" s="55"/>
      <c r="I553" s="55"/>
      <c r="J553" s="55"/>
    </row>
    <row r="554">
      <c r="A554" s="43"/>
      <c r="B554" s="55"/>
      <c r="C554" s="55"/>
      <c r="D554" s="55"/>
      <c r="E554" s="55"/>
      <c r="F554" s="55"/>
      <c r="G554" s="55"/>
      <c r="H554" s="55"/>
      <c r="I554" s="55"/>
      <c r="J554" s="55"/>
    </row>
    <row r="555">
      <c r="A555" s="43"/>
      <c r="B555" s="55"/>
      <c r="C555" s="55"/>
      <c r="D555" s="55"/>
      <c r="E555" s="55"/>
      <c r="F555" s="55"/>
      <c r="G555" s="55"/>
      <c r="H555" s="55"/>
      <c r="I555" s="55"/>
      <c r="J555" s="55"/>
    </row>
    <row r="556">
      <c r="A556" s="43"/>
      <c r="B556" s="55"/>
      <c r="C556" s="55"/>
      <c r="D556" s="55"/>
      <c r="E556" s="55"/>
      <c r="F556" s="55"/>
      <c r="G556" s="55"/>
      <c r="H556" s="55"/>
      <c r="I556" s="55"/>
      <c r="J556" s="55"/>
    </row>
    <row r="557">
      <c r="A557" s="43"/>
      <c r="B557" s="55"/>
      <c r="C557" s="55"/>
      <c r="D557" s="55"/>
      <c r="E557" s="55"/>
      <c r="F557" s="55"/>
      <c r="G557" s="55"/>
      <c r="H557" s="55"/>
      <c r="I557" s="55"/>
      <c r="J557" s="55"/>
    </row>
    <row r="558">
      <c r="A558" s="43"/>
      <c r="B558" s="55"/>
      <c r="C558" s="55"/>
      <c r="D558" s="55"/>
      <c r="E558" s="55"/>
      <c r="F558" s="55"/>
      <c r="G558" s="55"/>
      <c r="H558" s="55"/>
      <c r="I558" s="55"/>
      <c r="J558" s="55"/>
    </row>
    <row r="559">
      <c r="A559" s="43"/>
      <c r="B559" s="55"/>
      <c r="C559" s="55"/>
      <c r="D559" s="55"/>
      <c r="E559" s="55"/>
      <c r="F559" s="55"/>
      <c r="G559" s="55"/>
      <c r="H559" s="55"/>
      <c r="I559" s="55"/>
      <c r="J559" s="55"/>
    </row>
    <row r="560">
      <c r="A560" s="43"/>
      <c r="B560" s="55"/>
      <c r="C560" s="55"/>
      <c r="D560" s="55"/>
      <c r="E560" s="55"/>
      <c r="F560" s="55"/>
      <c r="G560" s="55"/>
      <c r="H560" s="55"/>
      <c r="I560" s="55"/>
      <c r="J560" s="55"/>
    </row>
    <row r="561">
      <c r="A561" s="43"/>
      <c r="B561" s="55"/>
      <c r="C561" s="55"/>
      <c r="D561" s="55"/>
      <c r="E561" s="55"/>
      <c r="F561" s="55"/>
      <c r="G561" s="55"/>
      <c r="H561" s="55"/>
      <c r="I561" s="55"/>
      <c r="J561" s="55"/>
    </row>
    <row r="562">
      <c r="A562" s="43"/>
      <c r="B562" s="55"/>
      <c r="C562" s="55"/>
      <c r="D562" s="55"/>
      <c r="E562" s="55"/>
      <c r="F562" s="55"/>
      <c r="G562" s="55"/>
      <c r="H562" s="55"/>
      <c r="I562" s="55"/>
      <c r="J562" s="55"/>
    </row>
    <row r="563">
      <c r="A563" s="43"/>
      <c r="B563" s="55"/>
      <c r="C563" s="55"/>
      <c r="D563" s="55"/>
      <c r="E563" s="55"/>
      <c r="F563" s="55"/>
      <c r="G563" s="55"/>
      <c r="H563" s="55"/>
      <c r="I563" s="55"/>
      <c r="J563" s="55"/>
    </row>
    <row r="564">
      <c r="A564" s="43"/>
      <c r="B564" s="55"/>
      <c r="C564" s="55"/>
      <c r="D564" s="55"/>
      <c r="E564" s="55"/>
      <c r="F564" s="55"/>
      <c r="G564" s="55"/>
      <c r="H564" s="55"/>
      <c r="I564" s="55"/>
      <c r="J564" s="55"/>
    </row>
    <row r="565">
      <c r="A565" s="43"/>
      <c r="B565" s="55"/>
      <c r="C565" s="55"/>
      <c r="D565" s="55"/>
      <c r="E565" s="55"/>
      <c r="F565" s="55"/>
      <c r="G565" s="55"/>
      <c r="H565" s="55"/>
      <c r="I565" s="55"/>
      <c r="J565" s="55"/>
    </row>
    <row r="566">
      <c r="A566" s="43"/>
      <c r="B566" s="55"/>
      <c r="C566" s="55"/>
      <c r="D566" s="55"/>
      <c r="E566" s="55"/>
      <c r="F566" s="55"/>
      <c r="G566" s="55"/>
      <c r="H566" s="55"/>
      <c r="I566" s="55"/>
      <c r="J566" s="55"/>
    </row>
    <row r="567">
      <c r="A567" s="43"/>
      <c r="B567" s="55"/>
      <c r="C567" s="55"/>
      <c r="D567" s="55"/>
      <c r="E567" s="55"/>
      <c r="F567" s="55"/>
      <c r="G567" s="55"/>
      <c r="H567" s="55"/>
      <c r="I567" s="55"/>
      <c r="J567" s="55"/>
    </row>
    <row r="568">
      <c r="A568" s="43"/>
      <c r="B568" s="55"/>
      <c r="C568" s="55"/>
      <c r="D568" s="55"/>
      <c r="E568" s="55"/>
      <c r="F568" s="55"/>
      <c r="G568" s="55"/>
      <c r="H568" s="55"/>
      <c r="I568" s="55"/>
      <c r="J568" s="55"/>
    </row>
    <row r="569">
      <c r="A569" s="43"/>
      <c r="B569" s="55"/>
      <c r="C569" s="55"/>
      <c r="D569" s="55"/>
      <c r="E569" s="55"/>
      <c r="F569" s="55"/>
      <c r="G569" s="55"/>
      <c r="H569" s="55"/>
      <c r="I569" s="55"/>
      <c r="J569" s="55"/>
    </row>
    <row r="570">
      <c r="A570" s="43"/>
      <c r="B570" s="55"/>
      <c r="C570" s="55"/>
      <c r="D570" s="55"/>
      <c r="E570" s="55"/>
      <c r="F570" s="55"/>
      <c r="G570" s="55"/>
      <c r="H570" s="55"/>
      <c r="I570" s="55"/>
      <c r="J570" s="55"/>
    </row>
    <row r="571">
      <c r="A571" s="43"/>
      <c r="B571" s="55"/>
      <c r="C571" s="55"/>
      <c r="D571" s="55"/>
      <c r="E571" s="55"/>
      <c r="F571" s="55"/>
      <c r="G571" s="55"/>
      <c r="H571" s="55"/>
      <c r="I571" s="55"/>
      <c r="J571" s="55"/>
    </row>
    <row r="572">
      <c r="A572" s="43"/>
      <c r="B572" s="55"/>
      <c r="C572" s="55"/>
      <c r="D572" s="55"/>
      <c r="E572" s="55"/>
      <c r="F572" s="55"/>
      <c r="G572" s="55"/>
      <c r="H572" s="55"/>
      <c r="I572" s="55"/>
      <c r="J572" s="55"/>
    </row>
    <row r="573">
      <c r="A573" s="43"/>
      <c r="B573" s="55"/>
      <c r="C573" s="55"/>
      <c r="D573" s="55"/>
      <c r="E573" s="55"/>
      <c r="F573" s="55"/>
      <c r="G573" s="55"/>
      <c r="H573" s="55"/>
      <c r="I573" s="55"/>
      <c r="J573" s="55"/>
    </row>
    <row r="574">
      <c r="A574" s="43"/>
      <c r="B574" s="55"/>
      <c r="C574" s="55"/>
      <c r="D574" s="55"/>
      <c r="E574" s="55"/>
      <c r="F574" s="55"/>
      <c r="G574" s="55"/>
      <c r="H574" s="55"/>
      <c r="I574" s="55"/>
      <c r="J574" s="55"/>
    </row>
    <row r="575">
      <c r="A575" s="43"/>
      <c r="B575" s="55"/>
      <c r="C575" s="55"/>
      <c r="D575" s="55"/>
      <c r="E575" s="55"/>
      <c r="F575" s="55"/>
      <c r="G575" s="55"/>
      <c r="H575" s="55"/>
      <c r="I575" s="55"/>
      <c r="J575" s="55"/>
    </row>
    <row r="576">
      <c r="A576" s="43"/>
      <c r="B576" s="55"/>
      <c r="C576" s="55"/>
      <c r="D576" s="55"/>
      <c r="E576" s="55"/>
      <c r="F576" s="55"/>
      <c r="G576" s="55"/>
      <c r="H576" s="55"/>
      <c r="I576" s="55"/>
      <c r="J576" s="55"/>
    </row>
    <row r="577">
      <c r="A577" s="43"/>
      <c r="B577" s="55"/>
      <c r="C577" s="55"/>
      <c r="D577" s="55"/>
      <c r="E577" s="55"/>
      <c r="F577" s="55"/>
      <c r="G577" s="55"/>
      <c r="H577" s="55"/>
      <c r="I577" s="55"/>
      <c r="J577" s="55"/>
    </row>
    <row r="578">
      <c r="A578" s="43"/>
      <c r="B578" s="55"/>
      <c r="C578" s="55"/>
      <c r="D578" s="55"/>
      <c r="E578" s="55"/>
      <c r="F578" s="55"/>
      <c r="G578" s="55"/>
      <c r="H578" s="55"/>
      <c r="I578" s="55"/>
      <c r="J578" s="55"/>
    </row>
    <row r="579">
      <c r="A579" s="43"/>
      <c r="B579" s="55"/>
      <c r="C579" s="55"/>
      <c r="D579" s="55"/>
      <c r="E579" s="55"/>
      <c r="F579" s="55"/>
      <c r="G579" s="55"/>
      <c r="H579" s="55"/>
      <c r="I579" s="55"/>
      <c r="J579" s="55"/>
    </row>
    <row r="580">
      <c r="A580" s="43"/>
      <c r="B580" s="55"/>
      <c r="C580" s="55"/>
      <c r="D580" s="55"/>
      <c r="E580" s="55"/>
      <c r="F580" s="55"/>
      <c r="G580" s="55"/>
      <c r="H580" s="55"/>
      <c r="I580" s="55"/>
      <c r="J580" s="55"/>
    </row>
    <row r="581">
      <c r="A581" s="43"/>
      <c r="B581" s="55"/>
      <c r="C581" s="55"/>
      <c r="D581" s="55"/>
      <c r="E581" s="55"/>
      <c r="F581" s="55"/>
      <c r="G581" s="55"/>
      <c r="H581" s="55"/>
      <c r="I581" s="55"/>
      <c r="J581" s="55"/>
    </row>
    <row r="582">
      <c r="A582" s="43"/>
      <c r="B582" s="55"/>
      <c r="C582" s="55"/>
      <c r="D582" s="55"/>
      <c r="E582" s="55"/>
      <c r="F582" s="55"/>
      <c r="G582" s="55"/>
      <c r="H582" s="55"/>
      <c r="I582" s="55"/>
      <c r="J582" s="55"/>
    </row>
    <row r="583">
      <c r="A583" s="43"/>
      <c r="B583" s="55"/>
      <c r="C583" s="55"/>
      <c r="D583" s="55"/>
      <c r="E583" s="55"/>
      <c r="F583" s="55"/>
      <c r="G583" s="55"/>
      <c r="H583" s="55"/>
      <c r="I583" s="55"/>
      <c r="J583" s="55"/>
    </row>
    <row r="584">
      <c r="A584" s="43"/>
      <c r="B584" s="55"/>
      <c r="C584" s="55"/>
      <c r="D584" s="55"/>
      <c r="E584" s="55"/>
      <c r="F584" s="55"/>
      <c r="G584" s="55"/>
      <c r="H584" s="55"/>
      <c r="I584" s="55"/>
      <c r="J584" s="55"/>
    </row>
    <row r="585">
      <c r="A585" s="43"/>
      <c r="B585" s="55"/>
      <c r="C585" s="55"/>
      <c r="D585" s="55"/>
      <c r="E585" s="55"/>
      <c r="F585" s="55"/>
      <c r="G585" s="55"/>
      <c r="H585" s="55"/>
      <c r="I585" s="55"/>
      <c r="J585" s="55"/>
    </row>
    <row r="586">
      <c r="A586" s="43"/>
      <c r="B586" s="55"/>
      <c r="C586" s="55"/>
      <c r="D586" s="55"/>
      <c r="E586" s="55"/>
      <c r="F586" s="55"/>
      <c r="G586" s="55"/>
      <c r="H586" s="55"/>
      <c r="I586" s="55"/>
      <c r="J586" s="55"/>
    </row>
    <row r="587">
      <c r="A587" s="43"/>
      <c r="B587" s="55"/>
      <c r="C587" s="55"/>
      <c r="D587" s="55"/>
      <c r="E587" s="55"/>
      <c r="F587" s="55"/>
      <c r="G587" s="55"/>
      <c r="H587" s="55"/>
      <c r="I587" s="55"/>
      <c r="J587" s="55"/>
    </row>
    <row r="588">
      <c r="A588" s="43"/>
      <c r="B588" s="55"/>
      <c r="C588" s="55"/>
      <c r="D588" s="55"/>
      <c r="E588" s="55"/>
      <c r="F588" s="55"/>
      <c r="G588" s="55"/>
      <c r="H588" s="55"/>
      <c r="I588" s="55"/>
      <c r="J588" s="55"/>
    </row>
    <row r="589">
      <c r="A589" s="43"/>
      <c r="B589" s="55"/>
      <c r="C589" s="55"/>
      <c r="D589" s="55"/>
      <c r="E589" s="55"/>
      <c r="F589" s="55"/>
      <c r="G589" s="55"/>
      <c r="H589" s="55"/>
      <c r="I589" s="55"/>
      <c r="J589" s="55"/>
    </row>
    <row r="590">
      <c r="A590" s="43"/>
      <c r="B590" s="55"/>
      <c r="C590" s="55"/>
      <c r="D590" s="55"/>
      <c r="E590" s="55"/>
      <c r="F590" s="55"/>
      <c r="G590" s="55"/>
      <c r="H590" s="55"/>
      <c r="I590" s="55"/>
      <c r="J590" s="55"/>
    </row>
    <row r="591">
      <c r="A591" s="43"/>
      <c r="B591" s="55"/>
      <c r="C591" s="55"/>
      <c r="D591" s="55"/>
      <c r="E591" s="55"/>
      <c r="F591" s="55"/>
      <c r="G591" s="55"/>
      <c r="H591" s="55"/>
      <c r="I591" s="55"/>
      <c r="J591" s="55"/>
    </row>
    <row r="592">
      <c r="A592" s="43"/>
      <c r="B592" s="55"/>
      <c r="C592" s="55"/>
      <c r="D592" s="55"/>
      <c r="E592" s="55"/>
      <c r="F592" s="55"/>
      <c r="G592" s="55"/>
      <c r="H592" s="55"/>
      <c r="I592" s="55"/>
      <c r="J592" s="55"/>
    </row>
    <row r="593">
      <c r="A593" s="43"/>
      <c r="B593" s="55"/>
      <c r="C593" s="55"/>
      <c r="D593" s="55"/>
      <c r="E593" s="55"/>
      <c r="F593" s="55"/>
      <c r="G593" s="55"/>
      <c r="H593" s="55"/>
      <c r="I593" s="55"/>
      <c r="J593" s="55"/>
    </row>
    <row r="594">
      <c r="A594" s="43"/>
      <c r="B594" s="55"/>
      <c r="C594" s="55"/>
      <c r="D594" s="55"/>
      <c r="E594" s="55"/>
      <c r="F594" s="55"/>
      <c r="G594" s="55"/>
      <c r="H594" s="55"/>
      <c r="I594" s="55"/>
      <c r="J594" s="55"/>
    </row>
    <row r="595">
      <c r="A595" s="43"/>
      <c r="B595" s="55"/>
      <c r="C595" s="55"/>
      <c r="D595" s="55"/>
      <c r="E595" s="55"/>
      <c r="F595" s="55"/>
      <c r="G595" s="55"/>
      <c r="H595" s="55"/>
      <c r="I595" s="55"/>
      <c r="J595" s="55"/>
    </row>
    <row r="596">
      <c r="A596" s="43"/>
      <c r="B596" s="55"/>
      <c r="C596" s="55"/>
      <c r="D596" s="55"/>
      <c r="E596" s="55"/>
      <c r="F596" s="55"/>
      <c r="G596" s="55"/>
      <c r="H596" s="55"/>
      <c r="I596" s="55"/>
      <c r="J596" s="55"/>
    </row>
    <row r="597">
      <c r="A597" s="43"/>
      <c r="B597" s="55"/>
      <c r="C597" s="55"/>
      <c r="D597" s="55"/>
      <c r="E597" s="55"/>
      <c r="F597" s="55"/>
      <c r="G597" s="55"/>
      <c r="H597" s="55"/>
      <c r="I597" s="55"/>
      <c r="J597" s="55"/>
    </row>
    <row r="598">
      <c r="A598" s="43"/>
      <c r="B598" s="55"/>
      <c r="C598" s="55"/>
      <c r="D598" s="55"/>
      <c r="E598" s="55"/>
      <c r="F598" s="55"/>
      <c r="G598" s="55"/>
      <c r="H598" s="55"/>
      <c r="I598" s="55"/>
      <c r="J598" s="55"/>
    </row>
    <row r="599">
      <c r="A599" s="43"/>
      <c r="B599" s="55"/>
      <c r="C599" s="55"/>
      <c r="D599" s="55"/>
      <c r="E599" s="55"/>
      <c r="F599" s="55"/>
      <c r="G599" s="55"/>
      <c r="H599" s="55"/>
      <c r="I599" s="55"/>
      <c r="J599" s="55"/>
    </row>
    <row r="600">
      <c r="A600" s="43"/>
      <c r="B600" s="55"/>
      <c r="C600" s="55"/>
      <c r="D600" s="55"/>
      <c r="E600" s="55"/>
      <c r="F600" s="55"/>
      <c r="G600" s="55"/>
      <c r="H600" s="55"/>
      <c r="I600" s="55"/>
      <c r="J600" s="55"/>
    </row>
    <row r="601">
      <c r="A601" s="43"/>
      <c r="B601" s="55"/>
      <c r="C601" s="55"/>
      <c r="D601" s="55"/>
      <c r="E601" s="55"/>
      <c r="F601" s="55"/>
      <c r="G601" s="55"/>
      <c r="H601" s="55"/>
      <c r="I601" s="55"/>
      <c r="J601" s="55"/>
    </row>
    <row r="602">
      <c r="A602" s="43"/>
      <c r="B602" s="55"/>
      <c r="C602" s="55"/>
      <c r="D602" s="55"/>
      <c r="E602" s="55"/>
      <c r="F602" s="55"/>
      <c r="G602" s="55"/>
      <c r="H602" s="55"/>
      <c r="I602" s="55"/>
      <c r="J602" s="55"/>
    </row>
    <row r="603">
      <c r="A603" s="43"/>
      <c r="B603" s="55"/>
      <c r="C603" s="55"/>
      <c r="D603" s="55"/>
      <c r="E603" s="55"/>
      <c r="F603" s="55"/>
      <c r="G603" s="55"/>
      <c r="H603" s="55"/>
      <c r="I603" s="55"/>
      <c r="J603" s="55"/>
    </row>
    <row r="604">
      <c r="A604" s="43"/>
      <c r="B604" s="55"/>
      <c r="C604" s="55"/>
      <c r="D604" s="55"/>
      <c r="E604" s="55"/>
      <c r="F604" s="55"/>
      <c r="G604" s="55"/>
      <c r="H604" s="55"/>
      <c r="I604" s="55"/>
      <c r="J604" s="55"/>
    </row>
    <row r="605">
      <c r="A605" s="43"/>
      <c r="B605" s="55"/>
      <c r="C605" s="55"/>
      <c r="D605" s="55"/>
      <c r="E605" s="55"/>
      <c r="F605" s="55"/>
      <c r="G605" s="55"/>
      <c r="H605" s="55"/>
      <c r="I605" s="55"/>
      <c r="J605" s="55"/>
    </row>
    <row r="606">
      <c r="A606" s="43"/>
      <c r="B606" s="55"/>
      <c r="C606" s="55"/>
      <c r="D606" s="55"/>
      <c r="E606" s="55"/>
      <c r="F606" s="55"/>
      <c r="G606" s="55"/>
      <c r="H606" s="55"/>
      <c r="I606" s="55"/>
      <c r="J606" s="55"/>
    </row>
    <row r="607">
      <c r="A607" s="43"/>
      <c r="B607" s="55"/>
      <c r="C607" s="55"/>
      <c r="D607" s="55"/>
      <c r="E607" s="55"/>
      <c r="F607" s="55"/>
      <c r="G607" s="55"/>
      <c r="H607" s="55"/>
      <c r="I607" s="55"/>
      <c r="J607" s="55"/>
    </row>
    <row r="608">
      <c r="A608" s="43"/>
      <c r="B608" s="55"/>
      <c r="C608" s="55"/>
      <c r="D608" s="55"/>
      <c r="E608" s="55"/>
      <c r="F608" s="55"/>
      <c r="G608" s="55"/>
      <c r="H608" s="55"/>
      <c r="I608" s="55"/>
      <c r="J608" s="55"/>
    </row>
    <row r="609">
      <c r="A609" s="43"/>
      <c r="B609" s="55"/>
      <c r="C609" s="55"/>
      <c r="D609" s="55"/>
      <c r="E609" s="55"/>
      <c r="F609" s="55"/>
      <c r="G609" s="55"/>
      <c r="H609" s="55"/>
      <c r="I609" s="55"/>
      <c r="J609" s="55"/>
    </row>
    <row r="610">
      <c r="A610" s="43"/>
      <c r="B610" s="55"/>
      <c r="C610" s="55"/>
      <c r="D610" s="55"/>
      <c r="E610" s="55"/>
      <c r="F610" s="55"/>
      <c r="G610" s="55"/>
      <c r="H610" s="55"/>
      <c r="I610" s="55"/>
      <c r="J610" s="55"/>
    </row>
    <row r="611">
      <c r="A611" s="43"/>
      <c r="B611" s="55"/>
      <c r="C611" s="55"/>
      <c r="D611" s="55"/>
      <c r="E611" s="55"/>
      <c r="F611" s="55"/>
      <c r="G611" s="55"/>
      <c r="H611" s="55"/>
      <c r="I611" s="55"/>
      <c r="J611" s="55"/>
    </row>
    <row r="612">
      <c r="A612" s="43"/>
      <c r="B612" s="55"/>
      <c r="C612" s="55"/>
      <c r="D612" s="55"/>
      <c r="E612" s="55"/>
      <c r="F612" s="55"/>
      <c r="G612" s="55"/>
      <c r="H612" s="55"/>
      <c r="I612" s="55"/>
      <c r="J612" s="55"/>
    </row>
    <row r="613">
      <c r="A613" s="43"/>
      <c r="B613" s="55"/>
      <c r="C613" s="55"/>
      <c r="D613" s="55"/>
      <c r="E613" s="55"/>
      <c r="F613" s="55"/>
      <c r="G613" s="55"/>
      <c r="H613" s="55"/>
      <c r="I613" s="55"/>
      <c r="J613" s="55"/>
    </row>
    <row r="614">
      <c r="A614" s="43"/>
      <c r="B614" s="55"/>
      <c r="C614" s="55"/>
      <c r="D614" s="55"/>
      <c r="E614" s="55"/>
      <c r="F614" s="55"/>
      <c r="G614" s="55"/>
      <c r="H614" s="55"/>
      <c r="I614" s="55"/>
      <c r="J614" s="55"/>
    </row>
    <row r="615">
      <c r="A615" s="43"/>
      <c r="B615" s="55"/>
      <c r="C615" s="55"/>
      <c r="D615" s="55"/>
      <c r="E615" s="55"/>
      <c r="F615" s="55"/>
      <c r="G615" s="55"/>
      <c r="H615" s="55"/>
      <c r="I615" s="55"/>
      <c r="J615" s="55"/>
    </row>
    <row r="616">
      <c r="A616" s="43"/>
      <c r="B616" s="55"/>
      <c r="C616" s="55"/>
      <c r="D616" s="55"/>
      <c r="E616" s="55"/>
      <c r="F616" s="55"/>
      <c r="G616" s="55"/>
      <c r="H616" s="55"/>
      <c r="I616" s="55"/>
      <c r="J616" s="55"/>
    </row>
    <row r="617">
      <c r="A617" s="43"/>
      <c r="B617" s="55"/>
      <c r="C617" s="55"/>
      <c r="D617" s="55"/>
      <c r="E617" s="55"/>
      <c r="F617" s="55"/>
      <c r="G617" s="55"/>
      <c r="H617" s="55"/>
      <c r="I617" s="55"/>
      <c r="J617" s="55"/>
    </row>
    <row r="618">
      <c r="A618" s="43"/>
      <c r="B618" s="55"/>
      <c r="C618" s="55"/>
      <c r="D618" s="55"/>
      <c r="E618" s="55"/>
      <c r="F618" s="55"/>
      <c r="G618" s="55"/>
      <c r="H618" s="55"/>
      <c r="I618" s="55"/>
      <c r="J618" s="55"/>
    </row>
    <row r="619">
      <c r="A619" s="43"/>
      <c r="B619" s="55"/>
      <c r="C619" s="55"/>
      <c r="D619" s="55"/>
      <c r="E619" s="55"/>
      <c r="F619" s="55"/>
      <c r="G619" s="55"/>
      <c r="H619" s="55"/>
      <c r="I619" s="55"/>
      <c r="J619" s="55"/>
    </row>
    <row r="620">
      <c r="A620" s="43"/>
      <c r="B620" s="55"/>
      <c r="C620" s="55"/>
      <c r="D620" s="55"/>
      <c r="E620" s="55"/>
      <c r="F620" s="55"/>
      <c r="G620" s="55"/>
      <c r="H620" s="55"/>
      <c r="I620" s="55"/>
      <c r="J620" s="55"/>
    </row>
    <row r="621">
      <c r="A621" s="43"/>
      <c r="B621" s="55"/>
      <c r="C621" s="55"/>
      <c r="D621" s="55"/>
      <c r="E621" s="55"/>
      <c r="F621" s="55"/>
      <c r="G621" s="55"/>
      <c r="H621" s="55"/>
      <c r="I621" s="55"/>
      <c r="J621" s="55"/>
    </row>
    <row r="622">
      <c r="A622" s="43"/>
      <c r="B622" s="55"/>
      <c r="C622" s="55"/>
      <c r="D622" s="55"/>
      <c r="E622" s="55"/>
      <c r="F622" s="55"/>
      <c r="G622" s="55"/>
      <c r="H622" s="55"/>
      <c r="I622" s="55"/>
      <c r="J622" s="55"/>
    </row>
    <row r="623">
      <c r="A623" s="43"/>
      <c r="B623" s="55"/>
      <c r="C623" s="55"/>
      <c r="D623" s="55"/>
      <c r="E623" s="55"/>
      <c r="F623" s="55"/>
      <c r="G623" s="55"/>
      <c r="H623" s="55"/>
      <c r="I623" s="55"/>
      <c r="J623" s="55"/>
    </row>
    <row r="624">
      <c r="A624" s="43"/>
      <c r="B624" s="55"/>
      <c r="C624" s="55"/>
      <c r="D624" s="55"/>
      <c r="E624" s="55"/>
      <c r="F624" s="55"/>
      <c r="G624" s="55"/>
      <c r="H624" s="55"/>
      <c r="I624" s="55"/>
      <c r="J624" s="55"/>
    </row>
    <row r="625">
      <c r="A625" s="43"/>
      <c r="B625" s="55"/>
      <c r="C625" s="55"/>
      <c r="D625" s="55"/>
      <c r="E625" s="55"/>
      <c r="F625" s="55"/>
      <c r="G625" s="55"/>
      <c r="H625" s="55"/>
      <c r="I625" s="55"/>
      <c r="J625" s="55"/>
    </row>
    <row r="626">
      <c r="A626" s="43"/>
      <c r="B626" s="55"/>
      <c r="C626" s="55"/>
      <c r="D626" s="55"/>
      <c r="E626" s="55"/>
      <c r="F626" s="55"/>
      <c r="G626" s="55"/>
      <c r="H626" s="55"/>
      <c r="I626" s="55"/>
      <c r="J626" s="55"/>
    </row>
    <row r="627">
      <c r="A627" s="43"/>
      <c r="B627" s="55"/>
      <c r="C627" s="55"/>
      <c r="D627" s="55"/>
      <c r="E627" s="55"/>
      <c r="F627" s="55"/>
      <c r="G627" s="55"/>
      <c r="H627" s="55"/>
      <c r="I627" s="55"/>
      <c r="J627" s="55"/>
    </row>
    <row r="628">
      <c r="A628" s="43"/>
      <c r="B628" s="55"/>
      <c r="C628" s="55"/>
      <c r="D628" s="55"/>
      <c r="E628" s="55"/>
      <c r="F628" s="55"/>
      <c r="G628" s="55"/>
      <c r="H628" s="55"/>
      <c r="I628" s="55"/>
      <c r="J628" s="55"/>
    </row>
    <row r="629">
      <c r="A629" s="43"/>
      <c r="B629" s="55"/>
      <c r="C629" s="55"/>
      <c r="D629" s="55"/>
      <c r="E629" s="55"/>
      <c r="F629" s="55"/>
      <c r="G629" s="55"/>
      <c r="H629" s="55"/>
      <c r="I629" s="55"/>
      <c r="J629" s="55"/>
    </row>
    <row r="630">
      <c r="A630" s="43"/>
      <c r="B630" s="55"/>
      <c r="C630" s="55"/>
      <c r="D630" s="55"/>
      <c r="E630" s="55"/>
      <c r="F630" s="55"/>
      <c r="G630" s="55"/>
      <c r="H630" s="55"/>
      <c r="I630" s="55"/>
      <c r="J630" s="55"/>
    </row>
    <row r="631">
      <c r="A631" s="43"/>
      <c r="B631" s="55"/>
      <c r="C631" s="55"/>
      <c r="D631" s="55"/>
      <c r="E631" s="55"/>
      <c r="F631" s="55"/>
      <c r="G631" s="55"/>
      <c r="H631" s="55"/>
      <c r="I631" s="55"/>
      <c r="J631" s="55"/>
    </row>
    <row r="632">
      <c r="A632" s="43"/>
      <c r="B632" s="55"/>
      <c r="C632" s="55"/>
      <c r="D632" s="55"/>
      <c r="E632" s="55"/>
      <c r="F632" s="55"/>
      <c r="G632" s="55"/>
      <c r="H632" s="55"/>
      <c r="I632" s="55"/>
      <c r="J632" s="55"/>
    </row>
    <row r="633">
      <c r="A633" s="43"/>
      <c r="B633" s="55"/>
      <c r="C633" s="55"/>
      <c r="D633" s="55"/>
      <c r="E633" s="55"/>
      <c r="F633" s="55"/>
      <c r="G633" s="55"/>
      <c r="H633" s="55"/>
      <c r="I633" s="55"/>
      <c r="J633" s="55"/>
    </row>
    <row r="634">
      <c r="A634" s="43"/>
      <c r="B634" s="55"/>
      <c r="C634" s="55"/>
      <c r="D634" s="55"/>
      <c r="E634" s="55"/>
      <c r="F634" s="55"/>
      <c r="G634" s="55"/>
      <c r="H634" s="55"/>
      <c r="I634" s="55"/>
      <c r="J634" s="55"/>
    </row>
    <row r="635">
      <c r="A635" s="43"/>
      <c r="B635" s="55"/>
      <c r="C635" s="55"/>
      <c r="D635" s="55"/>
      <c r="E635" s="55"/>
      <c r="F635" s="55"/>
      <c r="G635" s="55"/>
      <c r="H635" s="55"/>
      <c r="I635" s="55"/>
      <c r="J635" s="55"/>
    </row>
    <row r="636">
      <c r="A636" s="43"/>
      <c r="B636" s="55"/>
      <c r="C636" s="55"/>
      <c r="D636" s="55"/>
      <c r="E636" s="55"/>
      <c r="F636" s="55"/>
      <c r="G636" s="55"/>
      <c r="H636" s="55"/>
      <c r="I636" s="55"/>
      <c r="J636" s="55"/>
    </row>
    <row r="637">
      <c r="A637" s="43"/>
      <c r="B637" s="55"/>
      <c r="C637" s="55"/>
      <c r="D637" s="55"/>
      <c r="E637" s="55"/>
      <c r="F637" s="55"/>
      <c r="G637" s="55"/>
      <c r="H637" s="55"/>
      <c r="I637" s="55"/>
      <c r="J637" s="55"/>
    </row>
    <row r="638">
      <c r="A638" s="43"/>
      <c r="B638" s="55"/>
      <c r="C638" s="55"/>
      <c r="D638" s="55"/>
      <c r="E638" s="55"/>
      <c r="F638" s="55"/>
      <c r="G638" s="55"/>
      <c r="H638" s="55"/>
      <c r="I638" s="55"/>
      <c r="J638" s="55"/>
    </row>
    <row r="639">
      <c r="A639" s="43"/>
      <c r="B639" s="55"/>
      <c r="C639" s="55"/>
      <c r="D639" s="55"/>
      <c r="E639" s="55"/>
      <c r="F639" s="55"/>
      <c r="G639" s="55"/>
      <c r="H639" s="55"/>
      <c r="I639" s="55"/>
      <c r="J639" s="55"/>
    </row>
    <row r="640">
      <c r="A640" s="43"/>
      <c r="B640" s="55"/>
      <c r="C640" s="55"/>
      <c r="D640" s="55"/>
      <c r="E640" s="55"/>
      <c r="F640" s="55"/>
      <c r="G640" s="55"/>
      <c r="H640" s="55"/>
      <c r="I640" s="55"/>
      <c r="J640" s="55"/>
    </row>
    <row r="641">
      <c r="A641" s="43"/>
      <c r="B641" s="55"/>
      <c r="C641" s="55"/>
      <c r="D641" s="55"/>
      <c r="E641" s="55"/>
      <c r="F641" s="55"/>
      <c r="G641" s="55"/>
      <c r="H641" s="55"/>
      <c r="I641" s="55"/>
      <c r="J641" s="55"/>
    </row>
    <row r="642">
      <c r="A642" s="43"/>
      <c r="B642" s="55"/>
      <c r="C642" s="55"/>
      <c r="D642" s="55"/>
      <c r="E642" s="55"/>
      <c r="F642" s="55"/>
      <c r="G642" s="55"/>
      <c r="H642" s="55"/>
      <c r="I642" s="55"/>
      <c r="J642" s="55"/>
    </row>
    <row r="643">
      <c r="A643" s="43"/>
      <c r="B643" s="55"/>
      <c r="C643" s="55"/>
      <c r="D643" s="55"/>
      <c r="E643" s="55"/>
      <c r="F643" s="55"/>
      <c r="G643" s="55"/>
      <c r="H643" s="55"/>
      <c r="I643" s="55"/>
      <c r="J643" s="55"/>
    </row>
    <row r="644">
      <c r="A644" s="43"/>
      <c r="B644" s="55"/>
      <c r="C644" s="55"/>
      <c r="D644" s="55"/>
      <c r="E644" s="55"/>
      <c r="F644" s="55"/>
      <c r="G644" s="55"/>
      <c r="H644" s="55"/>
      <c r="I644" s="55"/>
      <c r="J644" s="55"/>
    </row>
    <row r="645">
      <c r="A645" s="43"/>
      <c r="B645" s="55"/>
      <c r="C645" s="55"/>
      <c r="D645" s="55"/>
      <c r="E645" s="55"/>
      <c r="F645" s="55"/>
      <c r="G645" s="55"/>
      <c r="H645" s="55"/>
      <c r="I645" s="55"/>
      <c r="J645" s="55"/>
    </row>
    <row r="646">
      <c r="A646" s="43"/>
      <c r="B646" s="55"/>
      <c r="C646" s="55"/>
      <c r="D646" s="55"/>
      <c r="E646" s="55"/>
      <c r="F646" s="55"/>
      <c r="G646" s="55"/>
      <c r="H646" s="55"/>
      <c r="I646" s="55"/>
      <c r="J646" s="55"/>
    </row>
    <row r="647">
      <c r="A647" s="43"/>
      <c r="B647" s="55"/>
      <c r="C647" s="55"/>
      <c r="D647" s="55"/>
      <c r="E647" s="55"/>
      <c r="F647" s="55"/>
      <c r="G647" s="55"/>
      <c r="H647" s="55"/>
      <c r="I647" s="55"/>
      <c r="J647" s="55"/>
    </row>
    <row r="648">
      <c r="A648" s="43"/>
      <c r="B648" s="55"/>
      <c r="C648" s="55"/>
      <c r="D648" s="55"/>
      <c r="E648" s="55"/>
      <c r="F648" s="55"/>
      <c r="G648" s="55"/>
      <c r="H648" s="55"/>
      <c r="I648" s="55"/>
      <c r="J648" s="55"/>
    </row>
    <row r="649">
      <c r="A649" s="43"/>
      <c r="B649" s="55"/>
      <c r="C649" s="55"/>
      <c r="D649" s="55"/>
      <c r="E649" s="55"/>
      <c r="F649" s="55"/>
      <c r="G649" s="55"/>
      <c r="H649" s="55"/>
      <c r="I649" s="55"/>
      <c r="J649" s="55"/>
    </row>
    <row r="650">
      <c r="A650" s="43"/>
      <c r="B650" s="55"/>
      <c r="C650" s="55"/>
      <c r="D650" s="55"/>
      <c r="E650" s="55"/>
      <c r="F650" s="55"/>
      <c r="G650" s="55"/>
      <c r="H650" s="55"/>
      <c r="I650" s="55"/>
      <c r="J650" s="55"/>
    </row>
    <row r="651">
      <c r="A651" s="43"/>
      <c r="B651" s="55"/>
      <c r="C651" s="55"/>
      <c r="D651" s="55"/>
      <c r="E651" s="55"/>
      <c r="F651" s="55"/>
      <c r="G651" s="55"/>
      <c r="H651" s="55"/>
      <c r="I651" s="55"/>
      <c r="J651" s="55"/>
    </row>
    <row r="652">
      <c r="A652" s="43"/>
      <c r="B652" s="55"/>
      <c r="C652" s="55"/>
      <c r="D652" s="55"/>
      <c r="E652" s="55"/>
      <c r="F652" s="55"/>
      <c r="G652" s="55"/>
      <c r="H652" s="55"/>
      <c r="I652" s="55"/>
      <c r="J652" s="55"/>
    </row>
    <row r="653">
      <c r="A653" s="43"/>
      <c r="B653" s="55"/>
      <c r="C653" s="55"/>
      <c r="D653" s="55"/>
      <c r="E653" s="55"/>
      <c r="F653" s="55"/>
      <c r="G653" s="55"/>
      <c r="H653" s="55"/>
      <c r="I653" s="55"/>
      <c r="J653" s="55"/>
    </row>
    <row r="654">
      <c r="A654" s="43"/>
      <c r="B654" s="55"/>
      <c r="C654" s="55"/>
      <c r="D654" s="55"/>
      <c r="E654" s="55"/>
      <c r="F654" s="55"/>
      <c r="G654" s="55"/>
      <c r="H654" s="55"/>
      <c r="I654" s="55"/>
      <c r="J654" s="55"/>
    </row>
    <row r="655">
      <c r="A655" s="43"/>
      <c r="B655" s="55"/>
      <c r="C655" s="55"/>
      <c r="D655" s="55"/>
      <c r="E655" s="55"/>
      <c r="F655" s="55"/>
      <c r="G655" s="55"/>
      <c r="H655" s="55"/>
      <c r="I655" s="55"/>
      <c r="J655" s="55"/>
    </row>
    <row r="656">
      <c r="A656" s="43"/>
      <c r="B656" s="55"/>
      <c r="C656" s="55"/>
      <c r="D656" s="55"/>
      <c r="E656" s="55"/>
      <c r="F656" s="55"/>
      <c r="G656" s="55"/>
      <c r="H656" s="55"/>
      <c r="I656" s="55"/>
      <c r="J656" s="55"/>
    </row>
    <row r="657">
      <c r="A657" s="43"/>
      <c r="B657" s="55"/>
      <c r="C657" s="55"/>
      <c r="D657" s="55"/>
      <c r="E657" s="55"/>
      <c r="F657" s="55"/>
      <c r="G657" s="55"/>
      <c r="H657" s="55"/>
      <c r="I657" s="55"/>
      <c r="J657" s="55"/>
    </row>
    <row r="658">
      <c r="A658" s="43"/>
      <c r="B658" s="55"/>
      <c r="C658" s="55"/>
      <c r="D658" s="55"/>
      <c r="E658" s="55"/>
      <c r="F658" s="55"/>
      <c r="G658" s="55"/>
      <c r="H658" s="55"/>
      <c r="I658" s="55"/>
      <c r="J658" s="55"/>
    </row>
    <row r="659">
      <c r="A659" s="43"/>
      <c r="B659" s="55"/>
      <c r="C659" s="55"/>
      <c r="D659" s="55"/>
      <c r="E659" s="55"/>
      <c r="F659" s="55"/>
      <c r="G659" s="55"/>
      <c r="H659" s="55"/>
      <c r="I659" s="55"/>
      <c r="J659" s="55"/>
    </row>
    <row r="660">
      <c r="A660" s="43"/>
      <c r="B660" s="55"/>
      <c r="C660" s="55"/>
      <c r="D660" s="55"/>
      <c r="E660" s="55"/>
      <c r="F660" s="55"/>
      <c r="G660" s="55"/>
      <c r="H660" s="55"/>
      <c r="I660" s="55"/>
      <c r="J660" s="55"/>
    </row>
    <row r="661">
      <c r="A661" s="43"/>
      <c r="B661" s="55"/>
      <c r="C661" s="55"/>
      <c r="D661" s="55"/>
      <c r="E661" s="55"/>
      <c r="F661" s="55"/>
      <c r="G661" s="55"/>
      <c r="H661" s="55"/>
      <c r="I661" s="55"/>
      <c r="J661" s="55"/>
    </row>
    <row r="662">
      <c r="A662" s="43"/>
      <c r="B662" s="55"/>
      <c r="C662" s="55"/>
      <c r="D662" s="55"/>
      <c r="E662" s="55"/>
      <c r="F662" s="55"/>
      <c r="G662" s="55"/>
      <c r="H662" s="55"/>
      <c r="I662" s="55"/>
      <c r="J662" s="55"/>
    </row>
    <row r="663">
      <c r="A663" s="43"/>
      <c r="B663" s="55"/>
      <c r="C663" s="55"/>
      <c r="D663" s="55"/>
      <c r="E663" s="55"/>
      <c r="F663" s="55"/>
      <c r="G663" s="55"/>
      <c r="H663" s="55"/>
      <c r="I663" s="55"/>
      <c r="J663" s="55"/>
    </row>
    <row r="664">
      <c r="A664" s="43"/>
      <c r="B664" s="55"/>
      <c r="C664" s="55"/>
      <c r="D664" s="55"/>
      <c r="E664" s="55"/>
      <c r="F664" s="55"/>
      <c r="G664" s="55"/>
      <c r="H664" s="55"/>
      <c r="I664" s="55"/>
      <c r="J664" s="55"/>
    </row>
    <row r="665">
      <c r="A665" s="43"/>
      <c r="B665" s="55"/>
      <c r="C665" s="55"/>
      <c r="D665" s="55"/>
      <c r="E665" s="55"/>
      <c r="F665" s="55"/>
      <c r="G665" s="55"/>
      <c r="H665" s="55"/>
      <c r="I665" s="55"/>
      <c r="J665" s="55"/>
    </row>
    <row r="666">
      <c r="A666" s="43"/>
      <c r="B666" s="55"/>
      <c r="C666" s="55"/>
      <c r="D666" s="55"/>
      <c r="E666" s="55"/>
      <c r="F666" s="55"/>
      <c r="G666" s="55"/>
      <c r="H666" s="55"/>
      <c r="I666" s="55"/>
      <c r="J666" s="55"/>
    </row>
    <row r="667">
      <c r="A667" s="43"/>
      <c r="B667" s="55"/>
      <c r="C667" s="55"/>
      <c r="D667" s="55"/>
      <c r="E667" s="55"/>
      <c r="F667" s="55"/>
      <c r="G667" s="55"/>
      <c r="H667" s="55"/>
      <c r="I667" s="55"/>
      <c r="J667" s="55"/>
    </row>
    <row r="668">
      <c r="A668" s="43"/>
      <c r="B668" s="55"/>
      <c r="C668" s="55"/>
      <c r="D668" s="55"/>
      <c r="E668" s="55"/>
      <c r="F668" s="55"/>
      <c r="G668" s="55"/>
      <c r="H668" s="55"/>
      <c r="I668" s="55"/>
      <c r="J668" s="55"/>
    </row>
    <row r="669">
      <c r="A669" s="43"/>
      <c r="B669" s="55"/>
      <c r="C669" s="55"/>
      <c r="D669" s="55"/>
      <c r="E669" s="55"/>
      <c r="F669" s="55"/>
      <c r="G669" s="55"/>
      <c r="H669" s="55"/>
      <c r="I669" s="55"/>
      <c r="J669" s="55"/>
    </row>
    <row r="670">
      <c r="A670" s="43"/>
      <c r="B670" s="55"/>
      <c r="C670" s="55"/>
      <c r="D670" s="55"/>
      <c r="E670" s="55"/>
      <c r="F670" s="55"/>
      <c r="G670" s="55"/>
      <c r="H670" s="55"/>
      <c r="I670" s="55"/>
      <c r="J670" s="55"/>
    </row>
    <row r="671">
      <c r="A671" s="43"/>
      <c r="B671" s="55"/>
      <c r="C671" s="55"/>
      <c r="D671" s="55"/>
      <c r="E671" s="55"/>
      <c r="F671" s="55"/>
      <c r="G671" s="55"/>
      <c r="H671" s="55"/>
      <c r="I671" s="55"/>
      <c r="J671" s="55"/>
    </row>
    <row r="672">
      <c r="A672" s="43"/>
      <c r="B672" s="55"/>
      <c r="C672" s="55"/>
      <c r="D672" s="55"/>
      <c r="E672" s="55"/>
      <c r="F672" s="55"/>
      <c r="G672" s="55"/>
      <c r="H672" s="55"/>
      <c r="I672" s="55"/>
      <c r="J672" s="55"/>
    </row>
    <row r="673">
      <c r="A673" s="43"/>
      <c r="B673" s="55"/>
      <c r="C673" s="55"/>
      <c r="D673" s="55"/>
      <c r="E673" s="55"/>
      <c r="F673" s="55"/>
      <c r="G673" s="55"/>
      <c r="H673" s="55"/>
      <c r="I673" s="55"/>
      <c r="J673" s="55"/>
    </row>
    <row r="674">
      <c r="A674" s="43"/>
      <c r="B674" s="55"/>
      <c r="C674" s="55"/>
      <c r="D674" s="55"/>
      <c r="E674" s="55"/>
      <c r="F674" s="55"/>
      <c r="G674" s="55"/>
      <c r="H674" s="55"/>
      <c r="I674" s="55"/>
      <c r="J674" s="55"/>
    </row>
    <row r="675">
      <c r="A675" s="43"/>
      <c r="B675" s="55"/>
      <c r="C675" s="55"/>
      <c r="D675" s="55"/>
      <c r="E675" s="55"/>
      <c r="F675" s="55"/>
      <c r="G675" s="55"/>
      <c r="H675" s="55"/>
      <c r="I675" s="55"/>
      <c r="J675" s="55"/>
    </row>
    <row r="676">
      <c r="A676" s="43"/>
      <c r="B676" s="55"/>
      <c r="C676" s="55"/>
      <c r="D676" s="55"/>
      <c r="E676" s="55"/>
      <c r="F676" s="55"/>
      <c r="G676" s="55"/>
      <c r="H676" s="55"/>
      <c r="I676" s="55"/>
      <c r="J676" s="55"/>
    </row>
    <row r="677">
      <c r="A677" s="43"/>
      <c r="B677" s="55"/>
      <c r="C677" s="55"/>
      <c r="D677" s="55"/>
      <c r="E677" s="55"/>
      <c r="F677" s="55"/>
      <c r="G677" s="55"/>
      <c r="H677" s="55"/>
      <c r="I677" s="55"/>
      <c r="J677" s="55"/>
    </row>
    <row r="678">
      <c r="A678" s="43"/>
      <c r="B678" s="55"/>
      <c r="C678" s="55"/>
      <c r="D678" s="55"/>
      <c r="E678" s="55"/>
      <c r="F678" s="55"/>
      <c r="G678" s="55"/>
      <c r="H678" s="55"/>
      <c r="I678" s="55"/>
      <c r="J678" s="55"/>
    </row>
    <row r="679">
      <c r="A679" s="43"/>
      <c r="B679" s="55"/>
      <c r="C679" s="55"/>
      <c r="D679" s="55"/>
      <c r="E679" s="55"/>
      <c r="F679" s="55"/>
      <c r="G679" s="55"/>
      <c r="H679" s="55"/>
      <c r="I679" s="55"/>
      <c r="J679" s="55"/>
    </row>
    <row r="680">
      <c r="A680" s="43"/>
      <c r="B680" s="55"/>
      <c r="C680" s="55"/>
      <c r="D680" s="55"/>
      <c r="E680" s="55"/>
      <c r="F680" s="55"/>
      <c r="G680" s="55"/>
      <c r="H680" s="55"/>
      <c r="I680" s="55"/>
      <c r="J680" s="55"/>
    </row>
    <row r="681">
      <c r="A681" s="43"/>
      <c r="B681" s="55"/>
      <c r="C681" s="55"/>
      <c r="D681" s="55"/>
      <c r="E681" s="55"/>
      <c r="F681" s="55"/>
      <c r="G681" s="55"/>
      <c r="H681" s="55"/>
      <c r="I681" s="55"/>
      <c r="J681" s="55"/>
    </row>
    <row r="682">
      <c r="A682" s="43"/>
      <c r="B682" s="55"/>
      <c r="C682" s="55"/>
      <c r="D682" s="55"/>
      <c r="E682" s="55"/>
      <c r="F682" s="55"/>
      <c r="G682" s="55"/>
      <c r="H682" s="55"/>
      <c r="I682" s="55"/>
      <c r="J682" s="55"/>
    </row>
    <row r="683">
      <c r="A683" s="43"/>
      <c r="B683" s="55"/>
      <c r="C683" s="55"/>
      <c r="D683" s="55"/>
      <c r="E683" s="55"/>
      <c r="F683" s="55"/>
      <c r="G683" s="55"/>
      <c r="H683" s="55"/>
      <c r="I683" s="55"/>
      <c r="J683" s="55"/>
    </row>
    <row r="684">
      <c r="A684" s="43"/>
      <c r="B684" s="55"/>
      <c r="C684" s="55"/>
      <c r="D684" s="55"/>
      <c r="E684" s="55"/>
      <c r="F684" s="55"/>
      <c r="G684" s="55"/>
      <c r="H684" s="55"/>
      <c r="I684" s="55"/>
      <c r="J684" s="55"/>
    </row>
    <row r="685">
      <c r="A685" s="43"/>
      <c r="B685" s="55"/>
      <c r="C685" s="55"/>
      <c r="D685" s="55"/>
      <c r="E685" s="55"/>
      <c r="F685" s="55"/>
      <c r="G685" s="55"/>
      <c r="H685" s="55"/>
      <c r="I685" s="55"/>
      <c r="J685" s="55"/>
    </row>
    <row r="686">
      <c r="A686" s="43"/>
      <c r="B686" s="55"/>
      <c r="C686" s="55"/>
      <c r="D686" s="55"/>
      <c r="E686" s="55"/>
      <c r="F686" s="55"/>
      <c r="G686" s="55"/>
      <c r="H686" s="55"/>
      <c r="I686" s="55"/>
      <c r="J686" s="55"/>
    </row>
    <row r="687">
      <c r="A687" s="43"/>
      <c r="B687" s="55"/>
      <c r="C687" s="55"/>
      <c r="D687" s="55"/>
      <c r="E687" s="55"/>
      <c r="F687" s="55"/>
      <c r="G687" s="55"/>
      <c r="H687" s="55"/>
      <c r="I687" s="55"/>
      <c r="J687" s="55"/>
    </row>
    <row r="688">
      <c r="A688" s="43"/>
      <c r="B688" s="55"/>
      <c r="C688" s="55"/>
      <c r="D688" s="55"/>
      <c r="E688" s="55"/>
      <c r="F688" s="55"/>
      <c r="G688" s="55"/>
      <c r="H688" s="55"/>
      <c r="I688" s="55"/>
      <c r="J688" s="55"/>
    </row>
    <row r="689">
      <c r="A689" s="43"/>
      <c r="B689" s="55"/>
      <c r="C689" s="55"/>
      <c r="D689" s="55"/>
      <c r="E689" s="55"/>
      <c r="F689" s="55"/>
      <c r="G689" s="55"/>
      <c r="H689" s="55"/>
      <c r="I689" s="55"/>
      <c r="J689" s="55"/>
    </row>
    <row r="690">
      <c r="A690" s="43"/>
      <c r="B690" s="55"/>
      <c r="C690" s="55"/>
      <c r="D690" s="55"/>
      <c r="E690" s="55"/>
      <c r="F690" s="55"/>
      <c r="G690" s="55"/>
      <c r="H690" s="55"/>
      <c r="I690" s="55"/>
      <c r="J690" s="55"/>
    </row>
    <row r="691">
      <c r="A691" s="43"/>
      <c r="B691" s="55"/>
      <c r="C691" s="55"/>
      <c r="D691" s="55"/>
      <c r="E691" s="55"/>
      <c r="F691" s="55"/>
      <c r="G691" s="55"/>
      <c r="H691" s="55"/>
      <c r="I691" s="55"/>
      <c r="J691" s="55"/>
    </row>
    <row r="692">
      <c r="A692" s="43"/>
      <c r="B692" s="55"/>
      <c r="C692" s="55"/>
      <c r="D692" s="55"/>
      <c r="E692" s="55"/>
      <c r="F692" s="55"/>
      <c r="G692" s="55"/>
      <c r="H692" s="55"/>
      <c r="I692" s="55"/>
      <c r="J692" s="55"/>
    </row>
    <row r="693">
      <c r="A693" s="43"/>
      <c r="B693" s="55"/>
      <c r="C693" s="55"/>
      <c r="D693" s="55"/>
      <c r="E693" s="55"/>
      <c r="F693" s="55"/>
      <c r="G693" s="55"/>
      <c r="H693" s="55"/>
      <c r="I693" s="55"/>
      <c r="J693" s="55"/>
    </row>
    <row r="694">
      <c r="A694" s="43"/>
      <c r="B694" s="55"/>
      <c r="C694" s="55"/>
      <c r="D694" s="55"/>
      <c r="E694" s="55"/>
      <c r="F694" s="55"/>
      <c r="G694" s="55"/>
      <c r="H694" s="55"/>
      <c r="I694" s="55"/>
      <c r="J694" s="55"/>
    </row>
    <row r="695">
      <c r="A695" s="43"/>
      <c r="B695" s="55"/>
      <c r="C695" s="55"/>
      <c r="D695" s="55"/>
      <c r="E695" s="55"/>
      <c r="F695" s="55"/>
      <c r="G695" s="55"/>
      <c r="H695" s="55"/>
      <c r="I695" s="55"/>
      <c r="J695" s="55"/>
    </row>
    <row r="696">
      <c r="A696" s="43"/>
      <c r="B696" s="55"/>
      <c r="C696" s="55"/>
      <c r="D696" s="55"/>
      <c r="E696" s="55"/>
      <c r="F696" s="55"/>
      <c r="G696" s="55"/>
      <c r="H696" s="55"/>
      <c r="I696" s="55"/>
      <c r="J696" s="55"/>
    </row>
    <row r="697">
      <c r="A697" s="43"/>
      <c r="B697" s="55"/>
      <c r="C697" s="55"/>
      <c r="D697" s="55"/>
      <c r="E697" s="55"/>
      <c r="F697" s="55"/>
      <c r="G697" s="55"/>
      <c r="H697" s="55"/>
      <c r="I697" s="55"/>
      <c r="J697" s="55"/>
    </row>
    <row r="698">
      <c r="A698" s="43"/>
      <c r="B698" s="55"/>
      <c r="C698" s="55"/>
      <c r="D698" s="55"/>
      <c r="E698" s="55"/>
      <c r="F698" s="55"/>
      <c r="G698" s="55"/>
      <c r="H698" s="55"/>
      <c r="I698" s="55"/>
      <c r="J698" s="55"/>
    </row>
    <row r="699">
      <c r="A699" s="43"/>
      <c r="B699" s="55"/>
      <c r="C699" s="55"/>
      <c r="D699" s="55"/>
      <c r="E699" s="55"/>
      <c r="F699" s="55"/>
      <c r="G699" s="55"/>
      <c r="H699" s="55"/>
      <c r="I699" s="55"/>
      <c r="J699" s="55"/>
    </row>
    <row r="700">
      <c r="A700" s="43"/>
      <c r="B700" s="55"/>
      <c r="C700" s="55"/>
      <c r="D700" s="55"/>
      <c r="E700" s="55"/>
      <c r="F700" s="55"/>
      <c r="G700" s="55"/>
      <c r="H700" s="55"/>
      <c r="I700" s="55"/>
      <c r="J700" s="55"/>
    </row>
    <row r="701">
      <c r="A701" s="43"/>
      <c r="B701" s="55"/>
      <c r="C701" s="55"/>
      <c r="D701" s="55"/>
      <c r="E701" s="55"/>
      <c r="F701" s="55"/>
      <c r="G701" s="55"/>
      <c r="H701" s="55"/>
      <c r="I701" s="55"/>
      <c r="J701" s="55"/>
    </row>
    <row r="702">
      <c r="A702" s="43"/>
      <c r="B702" s="55"/>
      <c r="C702" s="55"/>
      <c r="D702" s="55"/>
      <c r="E702" s="55"/>
      <c r="F702" s="55"/>
      <c r="G702" s="55"/>
      <c r="H702" s="55"/>
      <c r="I702" s="55"/>
      <c r="J702" s="55"/>
    </row>
    <row r="703">
      <c r="A703" s="43"/>
      <c r="B703" s="55"/>
      <c r="C703" s="55"/>
      <c r="D703" s="55"/>
      <c r="E703" s="55"/>
      <c r="F703" s="55"/>
      <c r="G703" s="55"/>
      <c r="H703" s="55"/>
      <c r="I703" s="55"/>
      <c r="J703" s="55"/>
    </row>
    <row r="704">
      <c r="A704" s="43"/>
      <c r="B704" s="55"/>
      <c r="C704" s="55"/>
      <c r="D704" s="55"/>
      <c r="E704" s="55"/>
      <c r="F704" s="55"/>
      <c r="G704" s="55"/>
      <c r="H704" s="55"/>
      <c r="I704" s="55"/>
      <c r="J704" s="55"/>
    </row>
    <row r="705">
      <c r="A705" s="43"/>
      <c r="B705" s="55"/>
      <c r="C705" s="55"/>
      <c r="D705" s="55"/>
      <c r="E705" s="55"/>
      <c r="F705" s="55"/>
      <c r="G705" s="55"/>
      <c r="H705" s="55"/>
      <c r="I705" s="55"/>
      <c r="J705" s="55"/>
    </row>
    <row r="706">
      <c r="A706" s="43"/>
      <c r="B706" s="55"/>
      <c r="C706" s="55"/>
      <c r="D706" s="55"/>
      <c r="E706" s="55"/>
      <c r="F706" s="55"/>
      <c r="G706" s="55"/>
      <c r="H706" s="55"/>
      <c r="I706" s="55"/>
      <c r="J706" s="55"/>
    </row>
    <row r="707">
      <c r="A707" s="43"/>
      <c r="B707" s="55"/>
      <c r="C707" s="55"/>
      <c r="D707" s="55"/>
      <c r="E707" s="55"/>
      <c r="F707" s="55"/>
      <c r="G707" s="55"/>
      <c r="H707" s="55"/>
      <c r="I707" s="55"/>
      <c r="J707" s="55"/>
    </row>
    <row r="708">
      <c r="A708" s="43"/>
      <c r="B708" s="55"/>
      <c r="C708" s="55"/>
      <c r="D708" s="55"/>
      <c r="E708" s="55"/>
      <c r="F708" s="55"/>
      <c r="G708" s="55"/>
      <c r="H708" s="55"/>
      <c r="I708" s="55"/>
      <c r="J708" s="55"/>
    </row>
    <row r="709">
      <c r="A709" s="43"/>
      <c r="B709" s="55"/>
      <c r="C709" s="55"/>
      <c r="D709" s="55"/>
      <c r="E709" s="55"/>
      <c r="F709" s="55"/>
      <c r="G709" s="55"/>
      <c r="H709" s="55"/>
      <c r="I709" s="55"/>
      <c r="J709" s="55"/>
    </row>
    <row r="710">
      <c r="A710" s="43"/>
      <c r="B710" s="55"/>
      <c r="C710" s="55"/>
      <c r="D710" s="55"/>
      <c r="E710" s="55"/>
      <c r="F710" s="55"/>
      <c r="G710" s="55"/>
      <c r="H710" s="55"/>
      <c r="I710" s="55"/>
      <c r="J710" s="55"/>
    </row>
    <row r="711">
      <c r="A711" s="43"/>
      <c r="B711" s="55"/>
      <c r="C711" s="55"/>
      <c r="D711" s="55"/>
      <c r="E711" s="55"/>
      <c r="F711" s="55"/>
      <c r="G711" s="55"/>
      <c r="H711" s="55"/>
      <c r="I711" s="55"/>
      <c r="J711" s="55"/>
    </row>
    <row r="712">
      <c r="A712" s="43"/>
      <c r="B712" s="55"/>
      <c r="C712" s="55"/>
      <c r="D712" s="55"/>
      <c r="E712" s="55"/>
      <c r="F712" s="55"/>
      <c r="G712" s="55"/>
      <c r="H712" s="55"/>
      <c r="I712" s="55"/>
      <c r="J712" s="55"/>
    </row>
    <row r="713">
      <c r="A713" s="43"/>
      <c r="B713" s="55"/>
      <c r="C713" s="55"/>
      <c r="D713" s="55"/>
      <c r="E713" s="55"/>
      <c r="F713" s="55"/>
      <c r="G713" s="55"/>
      <c r="H713" s="55"/>
      <c r="I713" s="55"/>
      <c r="J713" s="55"/>
    </row>
    <row r="714">
      <c r="A714" s="43"/>
      <c r="B714" s="55"/>
      <c r="C714" s="55"/>
      <c r="D714" s="55"/>
      <c r="E714" s="55"/>
      <c r="F714" s="55"/>
      <c r="G714" s="55"/>
      <c r="H714" s="55"/>
      <c r="I714" s="55"/>
      <c r="J714" s="55"/>
    </row>
    <row r="715">
      <c r="A715" s="43"/>
      <c r="B715" s="55"/>
      <c r="C715" s="55"/>
      <c r="D715" s="55"/>
      <c r="E715" s="55"/>
      <c r="F715" s="55"/>
      <c r="G715" s="55"/>
      <c r="H715" s="55"/>
      <c r="I715" s="55"/>
      <c r="J715" s="55"/>
    </row>
    <row r="716">
      <c r="A716" s="43"/>
      <c r="B716" s="55"/>
      <c r="C716" s="55"/>
      <c r="D716" s="55"/>
      <c r="E716" s="55"/>
      <c r="F716" s="55"/>
      <c r="G716" s="55"/>
      <c r="H716" s="55"/>
      <c r="I716" s="55"/>
      <c r="J716" s="55"/>
    </row>
    <row r="717">
      <c r="A717" s="43"/>
      <c r="B717" s="55"/>
      <c r="C717" s="55"/>
      <c r="D717" s="55"/>
      <c r="E717" s="55"/>
      <c r="F717" s="55"/>
      <c r="G717" s="55"/>
      <c r="H717" s="55"/>
      <c r="I717" s="55"/>
      <c r="J717" s="55"/>
    </row>
    <row r="718">
      <c r="A718" s="43"/>
      <c r="B718" s="55"/>
      <c r="C718" s="55"/>
      <c r="D718" s="55"/>
      <c r="E718" s="55"/>
      <c r="F718" s="55"/>
      <c r="G718" s="55"/>
      <c r="H718" s="55"/>
      <c r="I718" s="55"/>
      <c r="J718" s="55"/>
    </row>
    <row r="719">
      <c r="A719" s="43"/>
      <c r="B719" s="55"/>
      <c r="C719" s="55"/>
      <c r="D719" s="55"/>
      <c r="E719" s="55"/>
      <c r="F719" s="55"/>
      <c r="G719" s="55"/>
      <c r="H719" s="55"/>
      <c r="I719" s="55"/>
      <c r="J719" s="55"/>
    </row>
    <row r="720">
      <c r="A720" s="43"/>
      <c r="B720" s="55"/>
      <c r="C720" s="55"/>
      <c r="D720" s="55"/>
      <c r="E720" s="55"/>
      <c r="F720" s="55"/>
      <c r="G720" s="55"/>
      <c r="H720" s="55"/>
      <c r="I720" s="55"/>
      <c r="J720" s="55"/>
    </row>
    <row r="721">
      <c r="A721" s="43"/>
      <c r="B721" s="55"/>
      <c r="C721" s="55"/>
      <c r="D721" s="55"/>
      <c r="E721" s="55"/>
      <c r="F721" s="55"/>
      <c r="G721" s="55"/>
      <c r="H721" s="55"/>
      <c r="I721" s="55"/>
      <c r="J721" s="55"/>
    </row>
    <row r="722">
      <c r="A722" s="43"/>
      <c r="B722" s="55"/>
      <c r="C722" s="55"/>
      <c r="D722" s="55"/>
      <c r="E722" s="55"/>
      <c r="F722" s="55"/>
      <c r="G722" s="55"/>
      <c r="H722" s="55"/>
      <c r="I722" s="55"/>
      <c r="J722" s="55"/>
    </row>
    <row r="723">
      <c r="A723" s="43"/>
      <c r="B723" s="55"/>
      <c r="C723" s="55"/>
      <c r="D723" s="55"/>
      <c r="E723" s="55"/>
      <c r="F723" s="55"/>
      <c r="G723" s="55"/>
      <c r="H723" s="55"/>
      <c r="I723" s="55"/>
      <c r="J723" s="55"/>
    </row>
    <row r="724">
      <c r="A724" s="43"/>
      <c r="B724" s="55"/>
      <c r="C724" s="55"/>
      <c r="D724" s="55"/>
      <c r="E724" s="55"/>
      <c r="F724" s="55"/>
      <c r="G724" s="55"/>
      <c r="H724" s="55"/>
      <c r="I724" s="55"/>
      <c r="J724" s="55"/>
    </row>
    <row r="725">
      <c r="A725" s="43"/>
      <c r="B725" s="55"/>
      <c r="C725" s="55"/>
      <c r="D725" s="55"/>
      <c r="E725" s="55"/>
      <c r="F725" s="55"/>
      <c r="G725" s="55"/>
      <c r="H725" s="55"/>
      <c r="I725" s="55"/>
      <c r="J725" s="55"/>
    </row>
    <row r="726">
      <c r="A726" s="43"/>
      <c r="B726" s="55"/>
      <c r="C726" s="55"/>
      <c r="D726" s="55"/>
      <c r="E726" s="55"/>
      <c r="F726" s="55"/>
      <c r="G726" s="55"/>
      <c r="H726" s="55"/>
      <c r="I726" s="55"/>
      <c r="J726" s="55"/>
    </row>
    <row r="727">
      <c r="A727" s="43"/>
      <c r="B727" s="55"/>
      <c r="C727" s="55"/>
      <c r="D727" s="55"/>
      <c r="E727" s="55"/>
      <c r="F727" s="55"/>
      <c r="G727" s="55"/>
      <c r="H727" s="55"/>
      <c r="I727" s="55"/>
      <c r="J727" s="55"/>
    </row>
    <row r="728">
      <c r="A728" s="43"/>
      <c r="B728" s="55"/>
      <c r="C728" s="55"/>
      <c r="D728" s="55"/>
      <c r="E728" s="55"/>
      <c r="F728" s="55"/>
      <c r="G728" s="55"/>
      <c r="H728" s="55"/>
      <c r="I728" s="55"/>
      <c r="J728" s="55"/>
    </row>
    <row r="729">
      <c r="A729" s="43"/>
      <c r="B729" s="55"/>
      <c r="C729" s="55"/>
      <c r="D729" s="55"/>
      <c r="E729" s="55"/>
      <c r="F729" s="55"/>
      <c r="G729" s="55"/>
      <c r="H729" s="55"/>
      <c r="I729" s="55"/>
      <c r="J729" s="55"/>
    </row>
    <row r="730">
      <c r="A730" s="43"/>
      <c r="B730" s="55"/>
      <c r="C730" s="55"/>
      <c r="D730" s="55"/>
      <c r="E730" s="55"/>
      <c r="F730" s="55"/>
      <c r="G730" s="55"/>
      <c r="H730" s="55"/>
      <c r="I730" s="55"/>
      <c r="J730" s="55"/>
    </row>
    <row r="731">
      <c r="A731" s="43"/>
      <c r="B731" s="55"/>
      <c r="C731" s="55"/>
      <c r="D731" s="55"/>
      <c r="E731" s="55"/>
      <c r="F731" s="55"/>
      <c r="G731" s="55"/>
      <c r="H731" s="55"/>
      <c r="I731" s="55"/>
      <c r="J731" s="55"/>
    </row>
    <row r="732">
      <c r="A732" s="43"/>
      <c r="B732" s="55"/>
      <c r="C732" s="55"/>
      <c r="D732" s="55"/>
      <c r="E732" s="55"/>
      <c r="F732" s="55"/>
      <c r="G732" s="55"/>
      <c r="H732" s="55"/>
      <c r="I732" s="55"/>
      <c r="J732" s="55"/>
    </row>
    <row r="733">
      <c r="A733" s="43"/>
      <c r="B733" s="55"/>
      <c r="C733" s="55"/>
      <c r="D733" s="55"/>
      <c r="E733" s="55"/>
      <c r="F733" s="55"/>
      <c r="G733" s="55"/>
      <c r="H733" s="55"/>
      <c r="I733" s="55"/>
      <c r="J733" s="55"/>
    </row>
    <row r="734">
      <c r="A734" s="43"/>
      <c r="B734" s="55"/>
      <c r="C734" s="55"/>
      <c r="D734" s="55"/>
      <c r="E734" s="55"/>
      <c r="F734" s="55"/>
      <c r="G734" s="55"/>
      <c r="H734" s="55"/>
      <c r="I734" s="55"/>
      <c r="J734" s="55"/>
    </row>
    <row r="735">
      <c r="A735" s="43"/>
      <c r="B735" s="55"/>
      <c r="C735" s="55"/>
      <c r="D735" s="55"/>
      <c r="E735" s="55"/>
      <c r="F735" s="55"/>
      <c r="G735" s="55"/>
      <c r="H735" s="55"/>
      <c r="I735" s="55"/>
      <c r="J735" s="55"/>
    </row>
    <row r="736">
      <c r="A736" s="43"/>
      <c r="B736" s="55"/>
      <c r="C736" s="55"/>
      <c r="D736" s="55"/>
      <c r="E736" s="55"/>
      <c r="F736" s="55"/>
      <c r="G736" s="55"/>
      <c r="H736" s="55"/>
      <c r="I736" s="55"/>
      <c r="J736" s="55"/>
    </row>
    <row r="737">
      <c r="A737" s="43"/>
      <c r="B737" s="55"/>
      <c r="C737" s="55"/>
      <c r="D737" s="55"/>
      <c r="E737" s="55"/>
      <c r="F737" s="55"/>
      <c r="G737" s="55"/>
      <c r="H737" s="55"/>
      <c r="I737" s="55"/>
      <c r="J737" s="55"/>
    </row>
    <row r="738">
      <c r="A738" s="43"/>
      <c r="B738" s="55"/>
      <c r="C738" s="55"/>
      <c r="D738" s="55"/>
      <c r="E738" s="55"/>
      <c r="F738" s="55"/>
      <c r="G738" s="55"/>
      <c r="H738" s="55"/>
      <c r="I738" s="55"/>
      <c r="J738" s="55"/>
    </row>
    <row r="739">
      <c r="A739" s="43"/>
      <c r="B739" s="55"/>
      <c r="C739" s="55"/>
      <c r="D739" s="55"/>
      <c r="E739" s="55"/>
      <c r="F739" s="55"/>
      <c r="G739" s="55"/>
      <c r="H739" s="55"/>
      <c r="I739" s="55"/>
      <c r="J739" s="55"/>
    </row>
    <row r="740">
      <c r="A740" s="43"/>
      <c r="B740" s="55"/>
      <c r="C740" s="55"/>
      <c r="D740" s="55"/>
      <c r="E740" s="55"/>
      <c r="F740" s="55"/>
      <c r="G740" s="55"/>
      <c r="H740" s="55"/>
      <c r="I740" s="55"/>
      <c r="J740" s="55"/>
    </row>
    <row r="741">
      <c r="A741" s="43"/>
      <c r="B741" s="55"/>
      <c r="C741" s="55"/>
      <c r="D741" s="55"/>
      <c r="E741" s="55"/>
      <c r="F741" s="55"/>
      <c r="G741" s="55"/>
      <c r="H741" s="55"/>
      <c r="I741" s="55"/>
      <c r="J741" s="55"/>
    </row>
    <row r="742">
      <c r="A742" s="43"/>
      <c r="B742" s="55"/>
      <c r="C742" s="55"/>
      <c r="D742" s="55"/>
      <c r="E742" s="55"/>
      <c r="F742" s="55"/>
      <c r="G742" s="55"/>
      <c r="H742" s="55"/>
      <c r="I742" s="55"/>
      <c r="J742" s="55"/>
    </row>
    <row r="743">
      <c r="A743" s="43"/>
      <c r="B743" s="55"/>
      <c r="C743" s="55"/>
      <c r="D743" s="55"/>
      <c r="E743" s="55"/>
      <c r="F743" s="55"/>
      <c r="G743" s="55"/>
      <c r="H743" s="55"/>
      <c r="I743" s="55"/>
      <c r="J743" s="55"/>
    </row>
    <row r="744">
      <c r="A744" s="43"/>
      <c r="B744" s="55"/>
      <c r="C744" s="55"/>
      <c r="D744" s="55"/>
      <c r="E744" s="55"/>
      <c r="F744" s="55"/>
      <c r="G744" s="55"/>
      <c r="H744" s="55"/>
      <c r="I744" s="55"/>
      <c r="J744" s="55"/>
    </row>
    <row r="745">
      <c r="A745" s="43"/>
      <c r="B745" s="55"/>
      <c r="C745" s="55"/>
      <c r="D745" s="55"/>
      <c r="E745" s="55"/>
      <c r="F745" s="55"/>
      <c r="G745" s="55"/>
      <c r="H745" s="55"/>
      <c r="I745" s="55"/>
      <c r="J745" s="55"/>
    </row>
    <row r="746">
      <c r="A746" s="43"/>
      <c r="B746" s="55"/>
      <c r="C746" s="55"/>
      <c r="D746" s="55"/>
      <c r="E746" s="55"/>
      <c r="F746" s="55"/>
      <c r="G746" s="55"/>
      <c r="H746" s="55"/>
      <c r="I746" s="55"/>
      <c r="J746" s="55"/>
    </row>
    <row r="747">
      <c r="A747" s="43"/>
      <c r="B747" s="55"/>
      <c r="C747" s="55"/>
      <c r="D747" s="55"/>
      <c r="E747" s="55"/>
      <c r="F747" s="55"/>
      <c r="G747" s="55"/>
      <c r="H747" s="55"/>
      <c r="I747" s="55"/>
      <c r="J747" s="55"/>
    </row>
    <row r="748">
      <c r="A748" s="43"/>
      <c r="B748" s="55"/>
      <c r="C748" s="55"/>
      <c r="D748" s="55"/>
      <c r="E748" s="55"/>
      <c r="F748" s="55"/>
      <c r="G748" s="55"/>
      <c r="H748" s="55"/>
      <c r="I748" s="55"/>
      <c r="J748" s="55"/>
    </row>
    <row r="749">
      <c r="A749" s="43"/>
      <c r="B749" s="55"/>
      <c r="C749" s="55"/>
      <c r="D749" s="55"/>
      <c r="E749" s="55"/>
      <c r="F749" s="55"/>
      <c r="G749" s="55"/>
      <c r="H749" s="55"/>
      <c r="I749" s="55"/>
      <c r="J749" s="55"/>
    </row>
    <row r="750">
      <c r="A750" s="43"/>
      <c r="B750" s="55"/>
      <c r="C750" s="55"/>
      <c r="D750" s="55"/>
      <c r="E750" s="55"/>
      <c r="F750" s="55"/>
      <c r="G750" s="55"/>
      <c r="H750" s="55"/>
      <c r="I750" s="55"/>
      <c r="J750" s="55"/>
    </row>
    <row r="751">
      <c r="A751" s="43"/>
      <c r="B751" s="55"/>
      <c r="C751" s="55"/>
      <c r="D751" s="55"/>
      <c r="E751" s="55"/>
      <c r="F751" s="55"/>
      <c r="G751" s="55"/>
      <c r="H751" s="55"/>
      <c r="I751" s="55"/>
      <c r="J751" s="55"/>
    </row>
    <row r="752">
      <c r="A752" s="43"/>
      <c r="B752" s="55"/>
      <c r="C752" s="55"/>
      <c r="D752" s="55"/>
      <c r="E752" s="55"/>
      <c r="F752" s="55"/>
      <c r="G752" s="55"/>
      <c r="H752" s="55"/>
      <c r="I752" s="55"/>
      <c r="J752" s="55"/>
    </row>
    <row r="753">
      <c r="A753" s="43"/>
      <c r="B753" s="55"/>
      <c r="C753" s="55"/>
      <c r="D753" s="55"/>
      <c r="E753" s="55"/>
      <c r="F753" s="55"/>
      <c r="G753" s="55"/>
      <c r="H753" s="55"/>
      <c r="I753" s="55"/>
      <c r="J753" s="55"/>
    </row>
    <row r="754">
      <c r="A754" s="43"/>
      <c r="B754" s="55"/>
      <c r="C754" s="55"/>
      <c r="D754" s="55"/>
      <c r="E754" s="55"/>
      <c r="F754" s="55"/>
      <c r="G754" s="55"/>
      <c r="H754" s="55"/>
      <c r="I754" s="55"/>
      <c r="J754" s="55"/>
    </row>
    <row r="755">
      <c r="A755" s="43"/>
      <c r="B755" s="55"/>
      <c r="C755" s="55"/>
      <c r="D755" s="55"/>
      <c r="E755" s="55"/>
      <c r="F755" s="55"/>
      <c r="G755" s="55"/>
      <c r="H755" s="55"/>
      <c r="I755" s="55"/>
      <c r="J755" s="55"/>
    </row>
    <row r="756">
      <c r="A756" s="43"/>
      <c r="B756" s="55"/>
      <c r="C756" s="55"/>
      <c r="D756" s="55"/>
      <c r="E756" s="55"/>
      <c r="F756" s="55"/>
      <c r="G756" s="55"/>
      <c r="H756" s="55"/>
      <c r="I756" s="55"/>
      <c r="J756" s="55"/>
    </row>
    <row r="757">
      <c r="A757" s="43"/>
      <c r="B757" s="55"/>
      <c r="C757" s="55"/>
      <c r="D757" s="55"/>
      <c r="E757" s="55"/>
      <c r="F757" s="55"/>
      <c r="G757" s="55"/>
      <c r="H757" s="55"/>
      <c r="I757" s="55"/>
      <c r="J757" s="55"/>
    </row>
    <row r="758">
      <c r="A758" s="43"/>
      <c r="B758" s="55"/>
      <c r="C758" s="55"/>
      <c r="D758" s="55"/>
      <c r="E758" s="55"/>
      <c r="F758" s="55"/>
      <c r="G758" s="55"/>
      <c r="H758" s="55"/>
      <c r="I758" s="55"/>
      <c r="J758" s="55"/>
    </row>
    <row r="759">
      <c r="A759" s="43"/>
      <c r="B759" s="55"/>
      <c r="C759" s="55"/>
      <c r="D759" s="55"/>
      <c r="E759" s="55"/>
      <c r="F759" s="55"/>
      <c r="G759" s="55"/>
      <c r="H759" s="55"/>
      <c r="I759" s="55"/>
      <c r="J759" s="55"/>
    </row>
    <row r="760">
      <c r="A760" s="43"/>
      <c r="B760" s="55"/>
      <c r="C760" s="55"/>
      <c r="D760" s="55"/>
      <c r="E760" s="55"/>
      <c r="F760" s="55"/>
      <c r="G760" s="55"/>
      <c r="H760" s="55"/>
      <c r="I760" s="55"/>
      <c r="J760" s="55"/>
    </row>
    <row r="761">
      <c r="A761" s="43"/>
      <c r="B761" s="55"/>
      <c r="C761" s="55"/>
      <c r="D761" s="55"/>
      <c r="E761" s="55"/>
      <c r="F761" s="55"/>
      <c r="G761" s="55"/>
      <c r="H761" s="55"/>
      <c r="I761" s="55"/>
      <c r="J761" s="55"/>
    </row>
    <row r="762">
      <c r="A762" s="43"/>
      <c r="B762" s="55"/>
      <c r="C762" s="55"/>
      <c r="D762" s="55"/>
      <c r="E762" s="55"/>
      <c r="F762" s="55"/>
      <c r="G762" s="55"/>
      <c r="H762" s="55"/>
      <c r="I762" s="55"/>
      <c r="J762" s="55"/>
    </row>
    <row r="763">
      <c r="A763" s="43"/>
      <c r="B763" s="55"/>
      <c r="C763" s="55"/>
      <c r="D763" s="55"/>
      <c r="E763" s="55"/>
      <c r="F763" s="55"/>
      <c r="G763" s="55"/>
      <c r="H763" s="55"/>
      <c r="I763" s="55"/>
      <c r="J763" s="55"/>
    </row>
    <row r="764">
      <c r="A764" s="43"/>
      <c r="B764" s="55"/>
      <c r="C764" s="55"/>
      <c r="D764" s="55"/>
      <c r="E764" s="55"/>
      <c r="F764" s="55"/>
      <c r="G764" s="55"/>
      <c r="H764" s="55"/>
      <c r="I764" s="55"/>
      <c r="J764" s="55"/>
    </row>
    <row r="765">
      <c r="A765" s="43"/>
      <c r="B765" s="55"/>
      <c r="C765" s="55"/>
      <c r="D765" s="55"/>
      <c r="E765" s="55"/>
      <c r="F765" s="55"/>
      <c r="G765" s="55"/>
      <c r="H765" s="55"/>
      <c r="I765" s="55"/>
      <c r="J765" s="55"/>
    </row>
    <row r="766">
      <c r="A766" s="43"/>
      <c r="B766" s="55"/>
      <c r="C766" s="55"/>
      <c r="D766" s="55"/>
      <c r="E766" s="55"/>
      <c r="F766" s="55"/>
      <c r="G766" s="55"/>
      <c r="H766" s="55"/>
      <c r="I766" s="55"/>
      <c r="J766" s="55"/>
    </row>
    <row r="767">
      <c r="A767" s="43"/>
      <c r="B767" s="55"/>
      <c r="C767" s="55"/>
      <c r="D767" s="55"/>
      <c r="E767" s="55"/>
      <c r="F767" s="55"/>
      <c r="G767" s="55"/>
      <c r="H767" s="55"/>
      <c r="I767" s="55"/>
      <c r="J767" s="55"/>
    </row>
    <row r="768">
      <c r="A768" s="43"/>
      <c r="B768" s="55"/>
      <c r="C768" s="55"/>
      <c r="D768" s="55"/>
      <c r="E768" s="55"/>
      <c r="F768" s="55"/>
      <c r="G768" s="55"/>
      <c r="H768" s="55"/>
      <c r="I768" s="55"/>
      <c r="J768" s="55"/>
    </row>
    <row r="769">
      <c r="A769" s="43"/>
      <c r="B769" s="55"/>
      <c r="C769" s="55"/>
      <c r="D769" s="55"/>
      <c r="E769" s="55"/>
      <c r="F769" s="55"/>
      <c r="G769" s="55"/>
      <c r="H769" s="55"/>
      <c r="I769" s="55"/>
      <c r="J769" s="55"/>
    </row>
    <row r="770">
      <c r="A770" s="43"/>
      <c r="B770" s="55"/>
      <c r="C770" s="55"/>
      <c r="D770" s="55"/>
      <c r="E770" s="55"/>
      <c r="F770" s="55"/>
      <c r="G770" s="55"/>
      <c r="H770" s="55"/>
      <c r="I770" s="55"/>
      <c r="J770" s="55"/>
    </row>
    <row r="771">
      <c r="A771" s="43"/>
      <c r="B771" s="55"/>
      <c r="C771" s="55"/>
      <c r="D771" s="55"/>
      <c r="E771" s="55"/>
      <c r="F771" s="55"/>
      <c r="G771" s="55"/>
      <c r="H771" s="55"/>
      <c r="I771" s="55"/>
      <c r="J771" s="55"/>
    </row>
    <row r="772">
      <c r="A772" s="43"/>
      <c r="B772" s="55"/>
      <c r="C772" s="55"/>
      <c r="D772" s="55"/>
      <c r="E772" s="55"/>
      <c r="F772" s="55"/>
      <c r="G772" s="55"/>
      <c r="H772" s="55"/>
      <c r="I772" s="55"/>
      <c r="J772" s="55"/>
    </row>
    <row r="773">
      <c r="A773" s="43"/>
      <c r="B773" s="55"/>
      <c r="C773" s="55"/>
      <c r="D773" s="55"/>
      <c r="E773" s="55"/>
      <c r="F773" s="55"/>
      <c r="G773" s="55"/>
      <c r="H773" s="55"/>
      <c r="I773" s="55"/>
      <c r="J773" s="55"/>
    </row>
    <row r="774">
      <c r="A774" s="43"/>
      <c r="B774" s="55"/>
      <c r="C774" s="55"/>
      <c r="D774" s="55"/>
      <c r="E774" s="55"/>
      <c r="F774" s="55"/>
      <c r="G774" s="55"/>
      <c r="H774" s="55"/>
      <c r="I774" s="55"/>
      <c r="J774" s="55"/>
    </row>
    <row r="775">
      <c r="A775" s="43"/>
      <c r="B775" s="55"/>
      <c r="C775" s="55"/>
      <c r="D775" s="55"/>
      <c r="E775" s="55"/>
      <c r="F775" s="55"/>
      <c r="G775" s="55"/>
      <c r="H775" s="55"/>
      <c r="I775" s="55"/>
      <c r="J775" s="55"/>
    </row>
    <row r="776">
      <c r="A776" s="43"/>
      <c r="B776" s="55"/>
      <c r="C776" s="55"/>
      <c r="D776" s="55"/>
      <c r="E776" s="55"/>
      <c r="F776" s="55"/>
      <c r="G776" s="55"/>
      <c r="H776" s="55"/>
      <c r="I776" s="55"/>
      <c r="J776" s="55"/>
    </row>
    <row r="777">
      <c r="A777" s="43"/>
      <c r="B777" s="55"/>
      <c r="C777" s="55"/>
      <c r="D777" s="55"/>
      <c r="E777" s="55"/>
      <c r="F777" s="55"/>
      <c r="G777" s="55"/>
      <c r="H777" s="55"/>
      <c r="I777" s="55"/>
      <c r="J777" s="55"/>
    </row>
    <row r="778">
      <c r="A778" s="43"/>
      <c r="B778" s="55"/>
      <c r="C778" s="55"/>
      <c r="D778" s="55"/>
      <c r="E778" s="55"/>
      <c r="F778" s="55"/>
      <c r="G778" s="55"/>
      <c r="H778" s="55"/>
      <c r="I778" s="55"/>
      <c r="J778" s="55"/>
    </row>
    <row r="779">
      <c r="A779" s="43"/>
      <c r="B779" s="55"/>
      <c r="C779" s="55"/>
      <c r="D779" s="55"/>
      <c r="E779" s="55"/>
      <c r="F779" s="55"/>
      <c r="G779" s="55"/>
      <c r="H779" s="55"/>
      <c r="I779" s="55"/>
      <c r="J779" s="55"/>
    </row>
    <row r="780">
      <c r="A780" s="43"/>
      <c r="B780" s="55"/>
      <c r="C780" s="55"/>
      <c r="D780" s="55"/>
      <c r="E780" s="55"/>
      <c r="F780" s="55"/>
      <c r="G780" s="55"/>
      <c r="H780" s="55"/>
      <c r="I780" s="55"/>
      <c r="J780" s="55"/>
    </row>
    <row r="781">
      <c r="A781" s="43"/>
      <c r="B781" s="55"/>
      <c r="C781" s="55"/>
      <c r="D781" s="55"/>
      <c r="E781" s="55"/>
      <c r="F781" s="55"/>
      <c r="G781" s="55"/>
      <c r="H781" s="55"/>
      <c r="I781" s="55"/>
      <c r="J781" s="55"/>
    </row>
    <row r="782">
      <c r="A782" s="43"/>
      <c r="B782" s="55"/>
      <c r="C782" s="55"/>
      <c r="D782" s="55"/>
      <c r="E782" s="55"/>
      <c r="F782" s="55"/>
      <c r="G782" s="55"/>
      <c r="H782" s="55"/>
      <c r="I782" s="55"/>
      <c r="J782" s="55"/>
    </row>
    <row r="783">
      <c r="A783" s="43"/>
      <c r="B783" s="55"/>
      <c r="C783" s="55"/>
      <c r="D783" s="55"/>
      <c r="E783" s="55"/>
      <c r="F783" s="55"/>
      <c r="G783" s="55"/>
      <c r="H783" s="55"/>
      <c r="I783" s="55"/>
      <c r="J783" s="55"/>
    </row>
    <row r="784">
      <c r="A784" s="43"/>
      <c r="B784" s="55"/>
      <c r="C784" s="55"/>
      <c r="D784" s="55"/>
      <c r="E784" s="55"/>
      <c r="F784" s="55"/>
      <c r="G784" s="55"/>
      <c r="H784" s="55"/>
      <c r="I784" s="55"/>
      <c r="J784" s="55"/>
    </row>
    <row r="785">
      <c r="A785" s="43"/>
      <c r="B785" s="55"/>
      <c r="C785" s="55"/>
      <c r="D785" s="55"/>
      <c r="E785" s="55"/>
      <c r="F785" s="55"/>
      <c r="G785" s="55"/>
      <c r="H785" s="55"/>
      <c r="I785" s="55"/>
      <c r="J785" s="55"/>
    </row>
    <row r="786">
      <c r="A786" s="43"/>
      <c r="B786" s="55"/>
      <c r="C786" s="55"/>
      <c r="D786" s="55"/>
      <c r="E786" s="55"/>
      <c r="F786" s="55"/>
      <c r="G786" s="55"/>
      <c r="H786" s="55"/>
      <c r="I786" s="55"/>
      <c r="J786" s="55"/>
    </row>
    <row r="787">
      <c r="A787" s="43"/>
      <c r="B787" s="55"/>
      <c r="C787" s="55"/>
      <c r="D787" s="55"/>
      <c r="E787" s="55"/>
      <c r="F787" s="55"/>
      <c r="G787" s="55"/>
      <c r="H787" s="55"/>
      <c r="I787" s="55"/>
      <c r="J787" s="55"/>
    </row>
    <row r="788">
      <c r="A788" s="43"/>
      <c r="B788" s="55"/>
      <c r="C788" s="55"/>
      <c r="D788" s="55"/>
      <c r="E788" s="55"/>
      <c r="F788" s="55"/>
      <c r="G788" s="55"/>
      <c r="H788" s="55"/>
      <c r="I788" s="55"/>
      <c r="J788" s="55"/>
    </row>
    <row r="789">
      <c r="A789" s="43"/>
      <c r="B789" s="55"/>
      <c r="C789" s="55"/>
      <c r="D789" s="55"/>
      <c r="E789" s="55"/>
      <c r="F789" s="55"/>
      <c r="G789" s="55"/>
      <c r="H789" s="55"/>
      <c r="I789" s="55"/>
      <c r="J789" s="55"/>
    </row>
    <row r="790">
      <c r="A790" s="43"/>
      <c r="B790" s="55"/>
      <c r="C790" s="55"/>
      <c r="D790" s="55"/>
      <c r="E790" s="55"/>
      <c r="F790" s="55"/>
      <c r="G790" s="55"/>
      <c r="H790" s="55"/>
      <c r="I790" s="55"/>
      <c r="J790" s="55"/>
    </row>
    <row r="791">
      <c r="A791" s="43"/>
      <c r="B791" s="55"/>
      <c r="C791" s="55"/>
      <c r="D791" s="55"/>
      <c r="E791" s="55"/>
      <c r="F791" s="55"/>
      <c r="G791" s="55"/>
      <c r="H791" s="55"/>
      <c r="I791" s="55"/>
      <c r="J791" s="55"/>
    </row>
    <row r="792">
      <c r="A792" s="43"/>
      <c r="B792" s="55"/>
      <c r="C792" s="55"/>
      <c r="D792" s="55"/>
      <c r="E792" s="55"/>
      <c r="F792" s="55"/>
      <c r="G792" s="55"/>
      <c r="H792" s="55"/>
      <c r="I792" s="55"/>
      <c r="J792" s="55"/>
    </row>
    <row r="793">
      <c r="A793" s="43"/>
      <c r="B793" s="55"/>
      <c r="C793" s="55"/>
      <c r="D793" s="55"/>
      <c r="E793" s="55"/>
      <c r="F793" s="55"/>
      <c r="G793" s="55"/>
      <c r="H793" s="55"/>
      <c r="I793" s="55"/>
      <c r="J793" s="55"/>
    </row>
    <row r="794">
      <c r="A794" s="43"/>
      <c r="B794" s="55"/>
      <c r="C794" s="55"/>
      <c r="D794" s="55"/>
      <c r="E794" s="55"/>
      <c r="F794" s="55"/>
      <c r="G794" s="55"/>
      <c r="H794" s="55"/>
      <c r="I794" s="55"/>
      <c r="J794" s="55"/>
    </row>
    <row r="795">
      <c r="A795" s="43"/>
      <c r="B795" s="55"/>
      <c r="C795" s="55"/>
      <c r="D795" s="55"/>
      <c r="E795" s="55"/>
      <c r="F795" s="55"/>
      <c r="G795" s="55"/>
      <c r="H795" s="55"/>
      <c r="I795" s="55"/>
      <c r="J795" s="55"/>
    </row>
    <row r="796">
      <c r="A796" s="43"/>
      <c r="B796" s="55"/>
      <c r="C796" s="55"/>
      <c r="D796" s="55"/>
      <c r="E796" s="55"/>
      <c r="F796" s="55"/>
      <c r="G796" s="55"/>
      <c r="H796" s="55"/>
      <c r="I796" s="55"/>
      <c r="J796" s="55"/>
    </row>
    <row r="797">
      <c r="A797" s="43"/>
      <c r="B797" s="55"/>
      <c r="C797" s="55"/>
      <c r="D797" s="55"/>
      <c r="E797" s="55"/>
      <c r="F797" s="55"/>
      <c r="G797" s="55"/>
      <c r="H797" s="55"/>
      <c r="I797" s="55"/>
      <c r="J797" s="55"/>
    </row>
    <row r="798">
      <c r="A798" s="43"/>
      <c r="B798" s="55"/>
      <c r="C798" s="55"/>
      <c r="D798" s="55"/>
      <c r="E798" s="55"/>
      <c r="F798" s="55"/>
      <c r="G798" s="55"/>
      <c r="H798" s="55"/>
      <c r="I798" s="55"/>
      <c r="J798" s="55"/>
    </row>
    <row r="799">
      <c r="A799" s="43"/>
      <c r="B799" s="55"/>
      <c r="C799" s="55"/>
      <c r="D799" s="55"/>
      <c r="E799" s="55"/>
      <c r="F799" s="55"/>
      <c r="G799" s="55"/>
      <c r="H799" s="55"/>
      <c r="I799" s="55"/>
      <c r="J799" s="55"/>
    </row>
    <row r="800">
      <c r="A800" s="43"/>
      <c r="B800" s="55"/>
      <c r="C800" s="55"/>
      <c r="D800" s="55"/>
      <c r="E800" s="55"/>
      <c r="F800" s="55"/>
      <c r="G800" s="55"/>
      <c r="H800" s="55"/>
      <c r="I800" s="55"/>
      <c r="J800" s="55"/>
    </row>
    <row r="801">
      <c r="A801" s="43"/>
      <c r="B801" s="55"/>
      <c r="C801" s="55"/>
      <c r="D801" s="55"/>
      <c r="E801" s="55"/>
      <c r="F801" s="55"/>
      <c r="G801" s="55"/>
      <c r="H801" s="55"/>
      <c r="I801" s="55"/>
      <c r="J801" s="55"/>
    </row>
    <row r="802">
      <c r="A802" s="43"/>
      <c r="B802" s="55"/>
      <c r="C802" s="55"/>
      <c r="D802" s="55"/>
      <c r="E802" s="55"/>
      <c r="F802" s="55"/>
      <c r="G802" s="55"/>
      <c r="H802" s="55"/>
      <c r="I802" s="55"/>
      <c r="J802" s="55"/>
    </row>
    <row r="803">
      <c r="A803" s="43"/>
      <c r="B803" s="55"/>
      <c r="C803" s="55"/>
      <c r="D803" s="55"/>
      <c r="E803" s="55"/>
      <c r="F803" s="55"/>
      <c r="G803" s="55"/>
      <c r="H803" s="55"/>
      <c r="I803" s="55"/>
      <c r="J803" s="55"/>
    </row>
    <row r="804">
      <c r="A804" s="43"/>
      <c r="B804" s="55"/>
      <c r="C804" s="55"/>
      <c r="D804" s="55"/>
      <c r="E804" s="55"/>
      <c r="F804" s="55"/>
      <c r="G804" s="55"/>
      <c r="H804" s="55"/>
      <c r="I804" s="55"/>
      <c r="J804" s="55"/>
    </row>
    <row r="805">
      <c r="A805" s="43"/>
      <c r="B805" s="55"/>
      <c r="C805" s="55"/>
      <c r="D805" s="55"/>
      <c r="E805" s="55"/>
      <c r="F805" s="55"/>
      <c r="G805" s="55"/>
      <c r="H805" s="55"/>
      <c r="I805" s="55"/>
      <c r="J805" s="55"/>
    </row>
    <row r="806">
      <c r="A806" s="43"/>
      <c r="B806" s="55"/>
      <c r="C806" s="55"/>
      <c r="D806" s="55"/>
      <c r="E806" s="55"/>
      <c r="F806" s="55"/>
      <c r="G806" s="55"/>
      <c r="H806" s="55"/>
      <c r="I806" s="55"/>
      <c r="J806" s="55"/>
    </row>
    <row r="807">
      <c r="A807" s="43"/>
      <c r="B807" s="55"/>
      <c r="C807" s="55"/>
      <c r="D807" s="55"/>
      <c r="E807" s="55"/>
      <c r="F807" s="55"/>
      <c r="G807" s="55"/>
      <c r="H807" s="55"/>
      <c r="I807" s="55"/>
      <c r="J807" s="55"/>
    </row>
    <row r="808">
      <c r="A808" s="43"/>
      <c r="B808" s="55"/>
      <c r="C808" s="55"/>
      <c r="D808" s="55"/>
      <c r="E808" s="55"/>
      <c r="F808" s="55"/>
      <c r="G808" s="55"/>
      <c r="H808" s="55"/>
      <c r="I808" s="55"/>
      <c r="J808" s="55"/>
    </row>
    <row r="809">
      <c r="A809" s="43"/>
      <c r="B809" s="55"/>
      <c r="C809" s="55"/>
      <c r="D809" s="55"/>
      <c r="E809" s="55"/>
      <c r="F809" s="55"/>
      <c r="G809" s="55"/>
      <c r="H809" s="55"/>
      <c r="I809" s="55"/>
      <c r="J809" s="55"/>
    </row>
    <row r="810">
      <c r="A810" s="43"/>
      <c r="B810" s="55"/>
      <c r="C810" s="55"/>
      <c r="D810" s="55"/>
      <c r="E810" s="55"/>
      <c r="F810" s="55"/>
      <c r="G810" s="55"/>
      <c r="H810" s="55"/>
      <c r="I810" s="55"/>
      <c r="J810" s="55"/>
    </row>
    <row r="811">
      <c r="A811" s="43"/>
      <c r="B811" s="55"/>
      <c r="C811" s="55"/>
      <c r="D811" s="55"/>
      <c r="E811" s="55"/>
      <c r="F811" s="55"/>
      <c r="G811" s="55"/>
      <c r="H811" s="55"/>
      <c r="I811" s="55"/>
      <c r="J811" s="55"/>
    </row>
    <row r="812">
      <c r="A812" s="43"/>
      <c r="B812" s="55"/>
      <c r="C812" s="55"/>
      <c r="D812" s="55"/>
      <c r="E812" s="55"/>
      <c r="F812" s="55"/>
      <c r="G812" s="55"/>
      <c r="H812" s="55"/>
      <c r="I812" s="55"/>
      <c r="J812" s="55"/>
    </row>
    <row r="813">
      <c r="A813" s="43"/>
      <c r="B813" s="55"/>
      <c r="C813" s="55"/>
      <c r="D813" s="55"/>
      <c r="E813" s="55"/>
      <c r="F813" s="55"/>
      <c r="G813" s="55"/>
      <c r="H813" s="55"/>
      <c r="I813" s="55"/>
      <c r="J813" s="55"/>
    </row>
    <row r="814">
      <c r="A814" s="43"/>
      <c r="B814" s="55"/>
      <c r="C814" s="55"/>
      <c r="D814" s="55"/>
      <c r="E814" s="55"/>
      <c r="F814" s="55"/>
      <c r="G814" s="55"/>
      <c r="H814" s="55"/>
      <c r="I814" s="55"/>
      <c r="J814" s="55"/>
    </row>
    <row r="815">
      <c r="A815" s="43"/>
      <c r="B815" s="55"/>
      <c r="C815" s="55"/>
      <c r="D815" s="55"/>
      <c r="E815" s="55"/>
      <c r="F815" s="55"/>
      <c r="G815" s="55"/>
      <c r="H815" s="55"/>
      <c r="I815" s="55"/>
      <c r="J815" s="55"/>
    </row>
    <row r="816">
      <c r="A816" s="43"/>
      <c r="B816" s="55"/>
      <c r="C816" s="55"/>
      <c r="D816" s="55"/>
      <c r="E816" s="55"/>
      <c r="F816" s="55"/>
      <c r="G816" s="55"/>
      <c r="H816" s="55"/>
      <c r="I816" s="55"/>
      <c r="J816" s="55"/>
    </row>
    <row r="817">
      <c r="A817" s="43"/>
      <c r="B817" s="55"/>
      <c r="C817" s="55"/>
      <c r="D817" s="55"/>
      <c r="E817" s="55"/>
      <c r="F817" s="55"/>
      <c r="G817" s="55"/>
      <c r="H817" s="55"/>
      <c r="I817" s="55"/>
      <c r="J817" s="55"/>
    </row>
    <row r="818">
      <c r="A818" s="43"/>
      <c r="B818" s="55"/>
      <c r="C818" s="55"/>
      <c r="D818" s="55"/>
      <c r="E818" s="55"/>
      <c r="F818" s="55"/>
      <c r="G818" s="55"/>
      <c r="H818" s="55"/>
      <c r="I818" s="55"/>
      <c r="J818" s="55"/>
    </row>
    <row r="819">
      <c r="A819" s="43"/>
      <c r="B819" s="55"/>
      <c r="C819" s="55"/>
      <c r="D819" s="55"/>
      <c r="E819" s="55"/>
      <c r="F819" s="55"/>
      <c r="G819" s="55"/>
      <c r="H819" s="55"/>
      <c r="I819" s="55"/>
      <c r="J819" s="55"/>
    </row>
    <row r="820">
      <c r="A820" s="43"/>
      <c r="B820" s="55"/>
      <c r="C820" s="55"/>
      <c r="D820" s="55"/>
      <c r="E820" s="55"/>
      <c r="F820" s="55"/>
      <c r="G820" s="55"/>
      <c r="H820" s="55"/>
      <c r="I820" s="55"/>
      <c r="J820" s="55"/>
    </row>
    <row r="821">
      <c r="A821" s="43"/>
      <c r="B821" s="55"/>
      <c r="C821" s="55"/>
      <c r="D821" s="55"/>
      <c r="E821" s="55"/>
      <c r="F821" s="55"/>
      <c r="G821" s="55"/>
      <c r="H821" s="55"/>
      <c r="I821" s="55"/>
      <c r="J821" s="55"/>
    </row>
    <row r="822">
      <c r="A822" s="43"/>
      <c r="B822" s="55"/>
      <c r="C822" s="55"/>
      <c r="D822" s="55"/>
      <c r="E822" s="55"/>
      <c r="F822" s="55"/>
      <c r="G822" s="55"/>
      <c r="H822" s="55"/>
      <c r="I822" s="55"/>
      <c r="J822" s="55"/>
    </row>
    <row r="823">
      <c r="A823" s="43"/>
      <c r="B823" s="55"/>
      <c r="C823" s="55"/>
      <c r="D823" s="55"/>
      <c r="E823" s="55"/>
      <c r="F823" s="55"/>
      <c r="G823" s="55"/>
      <c r="H823" s="55"/>
      <c r="I823" s="55"/>
      <c r="J823" s="55"/>
    </row>
    <row r="824">
      <c r="A824" s="43"/>
      <c r="B824" s="55"/>
      <c r="C824" s="55"/>
      <c r="D824" s="55"/>
      <c r="E824" s="55"/>
      <c r="F824" s="55"/>
      <c r="G824" s="55"/>
      <c r="H824" s="55"/>
      <c r="I824" s="55"/>
      <c r="J824" s="55"/>
    </row>
    <row r="825">
      <c r="A825" s="43"/>
      <c r="B825" s="55"/>
      <c r="C825" s="55"/>
      <c r="D825" s="55"/>
      <c r="E825" s="55"/>
      <c r="F825" s="55"/>
      <c r="G825" s="55"/>
      <c r="H825" s="55"/>
      <c r="I825" s="55"/>
      <c r="J825" s="55"/>
    </row>
    <row r="826">
      <c r="A826" s="43"/>
      <c r="B826" s="55"/>
      <c r="C826" s="55"/>
      <c r="D826" s="55"/>
      <c r="E826" s="55"/>
      <c r="F826" s="55"/>
      <c r="G826" s="55"/>
      <c r="H826" s="55"/>
      <c r="I826" s="55"/>
      <c r="J826" s="55"/>
    </row>
    <row r="827">
      <c r="A827" s="43"/>
      <c r="B827" s="55"/>
      <c r="C827" s="55"/>
      <c r="D827" s="55"/>
      <c r="E827" s="55"/>
      <c r="F827" s="55"/>
      <c r="G827" s="55"/>
      <c r="H827" s="55"/>
      <c r="I827" s="55"/>
      <c r="J827" s="55"/>
    </row>
    <row r="828">
      <c r="A828" s="43"/>
      <c r="B828" s="55"/>
      <c r="C828" s="55"/>
      <c r="D828" s="55"/>
      <c r="E828" s="55"/>
      <c r="F828" s="55"/>
      <c r="G828" s="55"/>
      <c r="H828" s="55"/>
      <c r="I828" s="55"/>
      <c r="J828" s="55"/>
    </row>
    <row r="829">
      <c r="A829" s="43"/>
      <c r="B829" s="55"/>
      <c r="C829" s="55"/>
      <c r="D829" s="55"/>
      <c r="E829" s="55"/>
      <c r="F829" s="55"/>
      <c r="G829" s="55"/>
      <c r="H829" s="55"/>
      <c r="I829" s="55"/>
      <c r="J829" s="55"/>
    </row>
    <row r="830">
      <c r="A830" s="43"/>
      <c r="B830" s="55"/>
      <c r="C830" s="55"/>
      <c r="D830" s="55"/>
      <c r="E830" s="55"/>
      <c r="F830" s="55"/>
      <c r="G830" s="55"/>
      <c r="H830" s="55"/>
      <c r="I830" s="55"/>
      <c r="J830" s="55"/>
    </row>
    <row r="831">
      <c r="A831" s="43"/>
      <c r="B831" s="55"/>
      <c r="C831" s="55"/>
      <c r="D831" s="55"/>
      <c r="E831" s="55"/>
      <c r="F831" s="55"/>
      <c r="G831" s="55"/>
      <c r="H831" s="55"/>
      <c r="I831" s="55"/>
      <c r="J831" s="55"/>
    </row>
    <row r="832">
      <c r="A832" s="43"/>
      <c r="B832" s="55"/>
      <c r="C832" s="55"/>
      <c r="D832" s="55"/>
      <c r="E832" s="55"/>
      <c r="F832" s="55"/>
      <c r="G832" s="55"/>
      <c r="H832" s="55"/>
      <c r="I832" s="55"/>
      <c r="J832" s="55"/>
    </row>
    <row r="833">
      <c r="A833" s="43"/>
      <c r="B833" s="55"/>
      <c r="C833" s="55"/>
      <c r="D833" s="55"/>
      <c r="E833" s="55"/>
      <c r="F833" s="55"/>
      <c r="G833" s="55"/>
      <c r="H833" s="55"/>
      <c r="I833" s="55"/>
      <c r="J833" s="55"/>
    </row>
    <row r="834">
      <c r="A834" s="43"/>
      <c r="B834" s="55"/>
      <c r="C834" s="55"/>
      <c r="D834" s="55"/>
      <c r="E834" s="55"/>
      <c r="F834" s="55"/>
      <c r="G834" s="55"/>
      <c r="H834" s="55"/>
      <c r="I834" s="55"/>
      <c r="J834" s="55"/>
    </row>
    <row r="835">
      <c r="A835" s="43"/>
      <c r="B835" s="55"/>
      <c r="C835" s="55"/>
      <c r="D835" s="55"/>
      <c r="E835" s="55"/>
      <c r="F835" s="55"/>
      <c r="G835" s="55"/>
      <c r="H835" s="55"/>
      <c r="I835" s="55"/>
      <c r="J835" s="55"/>
    </row>
    <row r="836">
      <c r="A836" s="43"/>
      <c r="B836" s="55"/>
      <c r="C836" s="55"/>
      <c r="D836" s="55"/>
      <c r="E836" s="55"/>
      <c r="F836" s="55"/>
      <c r="G836" s="55"/>
      <c r="H836" s="55"/>
      <c r="I836" s="55"/>
      <c r="J836" s="55"/>
    </row>
    <row r="837">
      <c r="A837" s="43"/>
      <c r="B837" s="55"/>
      <c r="C837" s="55"/>
      <c r="D837" s="55"/>
      <c r="E837" s="55"/>
      <c r="F837" s="55"/>
      <c r="G837" s="55"/>
      <c r="H837" s="55"/>
      <c r="I837" s="55"/>
      <c r="J837" s="55"/>
    </row>
    <row r="838">
      <c r="A838" s="43"/>
      <c r="B838" s="55"/>
      <c r="C838" s="55"/>
      <c r="D838" s="55"/>
      <c r="E838" s="55"/>
      <c r="F838" s="55"/>
      <c r="G838" s="55"/>
      <c r="H838" s="55"/>
      <c r="I838" s="55"/>
      <c r="J838" s="55"/>
    </row>
    <row r="839">
      <c r="A839" s="43"/>
      <c r="B839" s="55"/>
      <c r="C839" s="55"/>
      <c r="D839" s="55"/>
      <c r="E839" s="55"/>
      <c r="F839" s="55"/>
      <c r="G839" s="55"/>
      <c r="H839" s="55"/>
      <c r="I839" s="55"/>
      <c r="J839" s="55"/>
    </row>
    <row r="840">
      <c r="A840" s="43"/>
      <c r="B840" s="55"/>
      <c r="C840" s="55"/>
      <c r="D840" s="55"/>
      <c r="E840" s="55"/>
      <c r="F840" s="55"/>
      <c r="G840" s="55"/>
      <c r="H840" s="55"/>
      <c r="I840" s="55"/>
      <c r="J840" s="55"/>
    </row>
    <row r="841">
      <c r="A841" s="43"/>
      <c r="B841" s="55"/>
      <c r="C841" s="55"/>
      <c r="D841" s="55"/>
      <c r="E841" s="55"/>
      <c r="F841" s="55"/>
      <c r="G841" s="55"/>
      <c r="H841" s="55"/>
      <c r="I841" s="55"/>
      <c r="J841" s="55"/>
    </row>
    <row r="842">
      <c r="A842" s="43"/>
      <c r="B842" s="55"/>
      <c r="C842" s="55"/>
      <c r="D842" s="55"/>
      <c r="E842" s="55"/>
      <c r="F842" s="55"/>
      <c r="G842" s="55"/>
      <c r="H842" s="55"/>
      <c r="I842" s="55"/>
      <c r="J842" s="55"/>
    </row>
    <row r="843">
      <c r="A843" s="43"/>
      <c r="B843" s="55"/>
      <c r="C843" s="55"/>
      <c r="D843" s="55"/>
      <c r="E843" s="55"/>
      <c r="F843" s="55"/>
      <c r="G843" s="55"/>
      <c r="H843" s="55"/>
      <c r="I843" s="55"/>
      <c r="J843" s="55"/>
    </row>
    <row r="844">
      <c r="A844" s="43"/>
      <c r="B844" s="55"/>
      <c r="C844" s="55"/>
      <c r="D844" s="55"/>
      <c r="E844" s="55"/>
      <c r="F844" s="55"/>
      <c r="G844" s="55"/>
      <c r="H844" s="55"/>
      <c r="I844" s="55"/>
      <c r="J844" s="55"/>
    </row>
    <row r="845">
      <c r="A845" s="43"/>
      <c r="B845" s="55"/>
      <c r="C845" s="55"/>
      <c r="D845" s="55"/>
      <c r="E845" s="55"/>
      <c r="F845" s="55"/>
      <c r="G845" s="55"/>
      <c r="H845" s="55"/>
      <c r="I845" s="55"/>
      <c r="J845" s="55"/>
    </row>
    <row r="846">
      <c r="A846" s="43"/>
      <c r="B846" s="55"/>
      <c r="C846" s="55"/>
      <c r="D846" s="55"/>
      <c r="E846" s="55"/>
      <c r="F846" s="55"/>
      <c r="G846" s="55"/>
      <c r="H846" s="55"/>
      <c r="I846" s="55"/>
      <c r="J846" s="55"/>
    </row>
    <row r="847">
      <c r="A847" s="43"/>
      <c r="B847" s="55"/>
      <c r="C847" s="55"/>
      <c r="D847" s="55"/>
      <c r="E847" s="55"/>
      <c r="F847" s="55"/>
      <c r="G847" s="55"/>
      <c r="H847" s="55"/>
      <c r="I847" s="55"/>
      <c r="J847" s="55"/>
    </row>
    <row r="848">
      <c r="A848" s="43"/>
      <c r="B848" s="55"/>
      <c r="C848" s="55"/>
      <c r="D848" s="55"/>
      <c r="E848" s="55"/>
      <c r="F848" s="55"/>
      <c r="G848" s="55"/>
      <c r="H848" s="55"/>
      <c r="I848" s="55"/>
      <c r="J848" s="55"/>
    </row>
    <row r="849">
      <c r="A849" s="43"/>
      <c r="B849" s="55"/>
      <c r="C849" s="55"/>
      <c r="D849" s="55"/>
      <c r="E849" s="55"/>
      <c r="F849" s="55"/>
      <c r="G849" s="55"/>
      <c r="H849" s="55"/>
      <c r="I849" s="55"/>
      <c r="J849" s="55"/>
    </row>
    <row r="850">
      <c r="A850" s="43"/>
      <c r="B850" s="55"/>
      <c r="C850" s="55"/>
      <c r="D850" s="55"/>
      <c r="E850" s="55"/>
      <c r="F850" s="55"/>
      <c r="G850" s="55"/>
      <c r="H850" s="55"/>
      <c r="I850" s="55"/>
      <c r="J850" s="55"/>
    </row>
    <row r="851">
      <c r="A851" s="43"/>
      <c r="B851" s="55"/>
      <c r="C851" s="55"/>
      <c r="D851" s="55"/>
      <c r="E851" s="55"/>
      <c r="F851" s="55"/>
      <c r="G851" s="55"/>
      <c r="H851" s="55"/>
      <c r="I851" s="55"/>
      <c r="J851" s="55"/>
    </row>
    <row r="852">
      <c r="A852" s="43"/>
      <c r="B852" s="55"/>
      <c r="C852" s="55"/>
      <c r="D852" s="55"/>
      <c r="E852" s="55"/>
      <c r="F852" s="55"/>
      <c r="G852" s="55"/>
      <c r="H852" s="55"/>
      <c r="I852" s="55"/>
      <c r="J852" s="55"/>
    </row>
    <row r="853">
      <c r="A853" s="43"/>
      <c r="B853" s="55"/>
      <c r="C853" s="55"/>
      <c r="D853" s="55"/>
      <c r="E853" s="55"/>
      <c r="F853" s="55"/>
      <c r="G853" s="55"/>
      <c r="H853" s="55"/>
      <c r="I853" s="55"/>
      <c r="J853" s="55"/>
    </row>
    <row r="854">
      <c r="A854" s="43"/>
      <c r="B854" s="55"/>
      <c r="C854" s="55"/>
      <c r="D854" s="55"/>
      <c r="E854" s="55"/>
      <c r="F854" s="55"/>
      <c r="G854" s="55"/>
      <c r="H854" s="55"/>
      <c r="I854" s="55"/>
      <c r="J854" s="55"/>
    </row>
    <row r="855">
      <c r="A855" s="43"/>
      <c r="B855" s="55"/>
      <c r="C855" s="55"/>
      <c r="D855" s="55"/>
      <c r="E855" s="55"/>
      <c r="F855" s="55"/>
      <c r="G855" s="55"/>
      <c r="H855" s="55"/>
      <c r="I855" s="55"/>
      <c r="J855" s="55"/>
    </row>
    <row r="856">
      <c r="A856" s="43"/>
      <c r="B856" s="55"/>
      <c r="C856" s="55"/>
      <c r="D856" s="55"/>
      <c r="E856" s="55"/>
      <c r="F856" s="55"/>
      <c r="G856" s="55"/>
      <c r="H856" s="55"/>
      <c r="I856" s="55"/>
      <c r="J856" s="55"/>
    </row>
    <row r="857">
      <c r="A857" s="43"/>
      <c r="B857" s="55"/>
      <c r="C857" s="55"/>
      <c r="D857" s="55"/>
      <c r="E857" s="55"/>
      <c r="F857" s="55"/>
      <c r="G857" s="55"/>
      <c r="H857" s="55"/>
      <c r="I857" s="55"/>
      <c r="J857" s="55"/>
    </row>
    <row r="858">
      <c r="A858" s="43"/>
      <c r="B858" s="55"/>
      <c r="C858" s="55"/>
      <c r="D858" s="55"/>
      <c r="E858" s="55"/>
      <c r="F858" s="55"/>
      <c r="G858" s="55"/>
      <c r="H858" s="55"/>
      <c r="I858" s="55"/>
      <c r="J858" s="55"/>
    </row>
    <row r="859">
      <c r="A859" s="43"/>
      <c r="B859" s="55"/>
      <c r="C859" s="55"/>
      <c r="D859" s="55"/>
      <c r="E859" s="55"/>
      <c r="F859" s="55"/>
      <c r="G859" s="55"/>
      <c r="H859" s="55"/>
      <c r="I859" s="55"/>
      <c r="J859" s="55"/>
    </row>
    <row r="860">
      <c r="A860" s="43"/>
      <c r="B860" s="55"/>
      <c r="C860" s="55"/>
      <c r="D860" s="55"/>
      <c r="E860" s="55"/>
      <c r="F860" s="55"/>
      <c r="G860" s="55"/>
      <c r="H860" s="55"/>
      <c r="I860" s="55"/>
      <c r="J860" s="55"/>
    </row>
    <row r="861">
      <c r="A861" s="43"/>
      <c r="B861" s="55"/>
      <c r="C861" s="55"/>
      <c r="D861" s="55"/>
      <c r="E861" s="55"/>
      <c r="F861" s="55"/>
      <c r="G861" s="55"/>
      <c r="H861" s="55"/>
      <c r="I861" s="55"/>
      <c r="J861" s="55"/>
    </row>
    <row r="862">
      <c r="A862" s="43"/>
      <c r="B862" s="55"/>
      <c r="C862" s="55"/>
      <c r="D862" s="55"/>
      <c r="E862" s="55"/>
      <c r="F862" s="55"/>
      <c r="G862" s="55"/>
      <c r="H862" s="55"/>
      <c r="I862" s="55"/>
      <c r="J862" s="55"/>
    </row>
    <row r="863">
      <c r="A863" s="43"/>
      <c r="B863" s="55"/>
      <c r="C863" s="55"/>
      <c r="D863" s="55"/>
      <c r="E863" s="55"/>
      <c r="F863" s="55"/>
      <c r="G863" s="55"/>
      <c r="H863" s="55"/>
      <c r="I863" s="55"/>
      <c r="J863" s="55"/>
    </row>
    <row r="864">
      <c r="A864" s="43"/>
      <c r="B864" s="55"/>
      <c r="C864" s="55"/>
      <c r="D864" s="55"/>
      <c r="E864" s="55"/>
      <c r="F864" s="55"/>
      <c r="G864" s="55"/>
      <c r="H864" s="55"/>
      <c r="I864" s="55"/>
      <c r="J864" s="55"/>
    </row>
    <row r="865">
      <c r="A865" s="43"/>
      <c r="B865" s="55"/>
      <c r="C865" s="55"/>
      <c r="D865" s="55"/>
      <c r="E865" s="55"/>
      <c r="F865" s="55"/>
      <c r="G865" s="55"/>
      <c r="H865" s="55"/>
      <c r="I865" s="55"/>
      <c r="J865" s="55"/>
    </row>
    <row r="866">
      <c r="A866" s="43"/>
      <c r="B866" s="55"/>
      <c r="C866" s="55"/>
      <c r="D866" s="55"/>
      <c r="E866" s="55"/>
      <c r="F866" s="55"/>
      <c r="G866" s="55"/>
      <c r="H866" s="55"/>
      <c r="I866" s="55"/>
      <c r="J866" s="55"/>
    </row>
    <row r="867">
      <c r="A867" s="43"/>
      <c r="B867" s="55"/>
      <c r="C867" s="55"/>
      <c r="D867" s="55"/>
      <c r="E867" s="55"/>
      <c r="F867" s="55"/>
      <c r="G867" s="55"/>
      <c r="H867" s="55"/>
      <c r="I867" s="55"/>
      <c r="J867" s="55"/>
    </row>
    <row r="868">
      <c r="A868" s="43"/>
      <c r="B868" s="55"/>
      <c r="C868" s="55"/>
      <c r="D868" s="55"/>
      <c r="E868" s="55"/>
      <c r="F868" s="55"/>
      <c r="G868" s="55"/>
      <c r="H868" s="55"/>
      <c r="I868" s="55"/>
      <c r="J868" s="55"/>
    </row>
    <row r="869">
      <c r="A869" s="43"/>
      <c r="B869" s="55"/>
      <c r="C869" s="55"/>
      <c r="D869" s="55"/>
      <c r="E869" s="55"/>
      <c r="F869" s="55"/>
      <c r="G869" s="55"/>
      <c r="H869" s="55"/>
      <c r="I869" s="55"/>
      <c r="J869" s="55"/>
    </row>
    <row r="870">
      <c r="A870" s="43"/>
      <c r="B870" s="55"/>
      <c r="C870" s="55"/>
      <c r="D870" s="55"/>
      <c r="E870" s="55"/>
      <c r="F870" s="55"/>
      <c r="G870" s="55"/>
      <c r="H870" s="55"/>
      <c r="I870" s="55"/>
      <c r="J870" s="55"/>
    </row>
    <row r="871">
      <c r="A871" s="43"/>
      <c r="B871" s="55"/>
      <c r="C871" s="55"/>
      <c r="D871" s="55"/>
      <c r="E871" s="55"/>
      <c r="F871" s="55"/>
      <c r="G871" s="55"/>
      <c r="H871" s="55"/>
      <c r="I871" s="55"/>
      <c r="J871" s="55"/>
    </row>
    <row r="872">
      <c r="A872" s="43"/>
      <c r="B872" s="55"/>
      <c r="C872" s="55"/>
      <c r="D872" s="55"/>
      <c r="E872" s="55"/>
      <c r="F872" s="55"/>
      <c r="G872" s="55"/>
      <c r="H872" s="55"/>
      <c r="I872" s="55"/>
      <c r="J872" s="55"/>
    </row>
    <row r="873">
      <c r="A873" s="43"/>
      <c r="B873" s="55"/>
      <c r="C873" s="55"/>
      <c r="D873" s="55"/>
      <c r="E873" s="55"/>
      <c r="F873" s="55"/>
      <c r="G873" s="55"/>
      <c r="H873" s="55"/>
      <c r="I873" s="55"/>
      <c r="J873" s="55"/>
    </row>
    <row r="874">
      <c r="A874" s="43"/>
      <c r="B874" s="55"/>
      <c r="C874" s="55"/>
      <c r="D874" s="55"/>
      <c r="E874" s="55"/>
      <c r="F874" s="55"/>
      <c r="G874" s="55"/>
      <c r="H874" s="55"/>
      <c r="I874" s="55"/>
      <c r="J874" s="55"/>
    </row>
    <row r="875">
      <c r="A875" s="43"/>
      <c r="B875" s="55"/>
      <c r="C875" s="55"/>
      <c r="D875" s="55"/>
      <c r="E875" s="55"/>
      <c r="F875" s="55"/>
      <c r="G875" s="55"/>
      <c r="H875" s="55"/>
      <c r="I875" s="55"/>
      <c r="J875" s="55"/>
    </row>
    <row r="876">
      <c r="A876" s="43"/>
      <c r="B876" s="55"/>
      <c r="C876" s="55"/>
      <c r="D876" s="55"/>
      <c r="E876" s="55"/>
      <c r="F876" s="55"/>
      <c r="G876" s="55"/>
      <c r="H876" s="55"/>
      <c r="I876" s="55"/>
      <c r="J876" s="55"/>
    </row>
    <row r="877">
      <c r="A877" s="43"/>
      <c r="B877" s="55"/>
      <c r="C877" s="55"/>
      <c r="D877" s="55"/>
      <c r="E877" s="55"/>
      <c r="F877" s="55"/>
      <c r="G877" s="55"/>
      <c r="H877" s="55"/>
      <c r="I877" s="55"/>
      <c r="J877" s="55"/>
    </row>
    <row r="878">
      <c r="A878" s="43"/>
      <c r="B878" s="55"/>
      <c r="C878" s="55"/>
      <c r="D878" s="55"/>
      <c r="E878" s="55"/>
      <c r="F878" s="55"/>
      <c r="G878" s="55"/>
      <c r="H878" s="55"/>
      <c r="I878" s="55"/>
      <c r="J878" s="55"/>
    </row>
    <row r="879">
      <c r="A879" s="43"/>
      <c r="B879" s="55"/>
      <c r="C879" s="55"/>
      <c r="D879" s="55"/>
      <c r="E879" s="55"/>
      <c r="F879" s="55"/>
      <c r="G879" s="55"/>
      <c r="H879" s="55"/>
      <c r="I879" s="55"/>
      <c r="J879" s="55"/>
    </row>
    <row r="880">
      <c r="A880" s="43"/>
      <c r="B880" s="55"/>
      <c r="C880" s="55"/>
      <c r="D880" s="55"/>
      <c r="E880" s="55"/>
      <c r="F880" s="55"/>
      <c r="G880" s="55"/>
      <c r="H880" s="55"/>
      <c r="I880" s="55"/>
      <c r="J880" s="55"/>
    </row>
    <row r="881">
      <c r="A881" s="43"/>
      <c r="B881" s="55"/>
      <c r="C881" s="55"/>
      <c r="D881" s="55"/>
      <c r="E881" s="55"/>
      <c r="F881" s="55"/>
      <c r="G881" s="55"/>
      <c r="H881" s="55"/>
      <c r="I881" s="55"/>
      <c r="J881" s="55"/>
    </row>
    <row r="882">
      <c r="A882" s="43"/>
      <c r="B882" s="55"/>
      <c r="C882" s="55"/>
      <c r="D882" s="55"/>
      <c r="E882" s="55"/>
      <c r="F882" s="55"/>
      <c r="G882" s="55"/>
      <c r="H882" s="55"/>
      <c r="I882" s="55"/>
      <c r="J882" s="55"/>
    </row>
    <row r="883">
      <c r="A883" s="43"/>
      <c r="B883" s="55"/>
      <c r="C883" s="55"/>
      <c r="D883" s="55"/>
      <c r="E883" s="55"/>
      <c r="F883" s="55"/>
      <c r="G883" s="55"/>
      <c r="H883" s="55"/>
      <c r="I883" s="55"/>
      <c r="J883" s="55"/>
    </row>
    <row r="884">
      <c r="A884" s="43"/>
      <c r="B884" s="55"/>
      <c r="C884" s="55"/>
      <c r="D884" s="55"/>
      <c r="E884" s="55"/>
      <c r="F884" s="55"/>
      <c r="G884" s="55"/>
      <c r="H884" s="55"/>
      <c r="I884" s="55"/>
      <c r="J884" s="55"/>
    </row>
    <row r="885">
      <c r="A885" s="43"/>
      <c r="B885" s="55"/>
      <c r="C885" s="55"/>
      <c r="D885" s="55"/>
      <c r="E885" s="55"/>
      <c r="F885" s="55"/>
      <c r="G885" s="55"/>
      <c r="H885" s="55"/>
      <c r="I885" s="55"/>
      <c r="J885" s="55"/>
    </row>
    <row r="886">
      <c r="A886" s="43"/>
      <c r="B886" s="55"/>
      <c r="C886" s="55"/>
      <c r="D886" s="55"/>
      <c r="E886" s="55"/>
      <c r="F886" s="55"/>
      <c r="G886" s="55"/>
      <c r="H886" s="55"/>
      <c r="I886" s="55"/>
      <c r="J886" s="55"/>
    </row>
    <row r="887">
      <c r="A887" s="43"/>
      <c r="B887" s="55"/>
      <c r="C887" s="55"/>
      <c r="D887" s="55"/>
      <c r="E887" s="55"/>
      <c r="F887" s="55"/>
      <c r="G887" s="55"/>
      <c r="H887" s="55"/>
      <c r="I887" s="55"/>
      <c r="J887" s="55"/>
    </row>
    <row r="888">
      <c r="A888" s="43"/>
      <c r="B888" s="55"/>
      <c r="C888" s="55"/>
      <c r="D888" s="55"/>
      <c r="E888" s="55"/>
      <c r="F888" s="55"/>
      <c r="G888" s="55"/>
      <c r="H888" s="55"/>
      <c r="I888" s="55"/>
      <c r="J888" s="55"/>
    </row>
    <row r="889">
      <c r="A889" s="43"/>
      <c r="B889" s="55"/>
      <c r="C889" s="55"/>
      <c r="D889" s="55"/>
      <c r="E889" s="55"/>
      <c r="F889" s="55"/>
      <c r="G889" s="55"/>
      <c r="H889" s="55"/>
      <c r="I889" s="55"/>
      <c r="J889" s="55"/>
    </row>
    <row r="890">
      <c r="A890" s="43"/>
      <c r="B890" s="55"/>
      <c r="C890" s="55"/>
      <c r="D890" s="55"/>
      <c r="E890" s="55"/>
      <c r="F890" s="55"/>
      <c r="G890" s="55"/>
      <c r="H890" s="55"/>
      <c r="I890" s="55"/>
      <c r="J890" s="55"/>
    </row>
    <row r="891">
      <c r="A891" s="43"/>
      <c r="B891" s="55"/>
      <c r="C891" s="55"/>
      <c r="D891" s="55"/>
      <c r="E891" s="55"/>
      <c r="F891" s="55"/>
      <c r="G891" s="55"/>
      <c r="H891" s="55"/>
      <c r="I891" s="55"/>
      <c r="J891" s="55"/>
    </row>
    <row r="892">
      <c r="A892" s="43"/>
      <c r="B892" s="55"/>
      <c r="C892" s="55"/>
      <c r="D892" s="55"/>
      <c r="E892" s="55"/>
      <c r="F892" s="55"/>
      <c r="G892" s="55"/>
      <c r="H892" s="55"/>
      <c r="I892" s="55"/>
      <c r="J892" s="55"/>
    </row>
    <row r="893">
      <c r="A893" s="43"/>
      <c r="B893" s="55"/>
      <c r="C893" s="55"/>
      <c r="D893" s="55"/>
      <c r="E893" s="55"/>
      <c r="F893" s="55"/>
      <c r="G893" s="55"/>
      <c r="H893" s="55"/>
      <c r="I893" s="55"/>
      <c r="J893" s="55"/>
    </row>
    <row r="894">
      <c r="A894" s="43"/>
      <c r="B894" s="55"/>
      <c r="C894" s="55"/>
      <c r="D894" s="55"/>
      <c r="E894" s="55"/>
      <c r="F894" s="55"/>
      <c r="G894" s="55"/>
      <c r="H894" s="55"/>
      <c r="I894" s="55"/>
      <c r="J894" s="55"/>
    </row>
    <row r="895">
      <c r="A895" s="43"/>
      <c r="B895" s="55"/>
      <c r="C895" s="55"/>
      <c r="D895" s="55"/>
      <c r="E895" s="55"/>
      <c r="F895" s="55"/>
      <c r="G895" s="55"/>
      <c r="H895" s="55"/>
      <c r="I895" s="55"/>
      <c r="J895" s="55"/>
    </row>
    <row r="896">
      <c r="A896" s="43"/>
      <c r="B896" s="55"/>
      <c r="C896" s="55"/>
      <c r="D896" s="55"/>
      <c r="E896" s="55"/>
      <c r="F896" s="55"/>
      <c r="G896" s="55"/>
      <c r="H896" s="55"/>
      <c r="I896" s="55"/>
      <c r="J896" s="55"/>
    </row>
    <row r="897">
      <c r="A897" s="43"/>
      <c r="B897" s="55"/>
      <c r="C897" s="55"/>
      <c r="D897" s="55"/>
      <c r="E897" s="55"/>
      <c r="F897" s="55"/>
      <c r="G897" s="55"/>
      <c r="H897" s="55"/>
      <c r="I897" s="55"/>
      <c r="J897" s="55"/>
    </row>
    <row r="898">
      <c r="A898" s="43"/>
      <c r="B898" s="55"/>
      <c r="C898" s="55"/>
      <c r="D898" s="55"/>
      <c r="E898" s="55"/>
      <c r="F898" s="55"/>
      <c r="G898" s="55"/>
      <c r="H898" s="55"/>
      <c r="I898" s="55"/>
      <c r="J898" s="55"/>
    </row>
    <row r="899">
      <c r="A899" s="43"/>
      <c r="B899" s="55"/>
      <c r="C899" s="55"/>
      <c r="D899" s="55"/>
      <c r="E899" s="55"/>
      <c r="F899" s="55"/>
      <c r="G899" s="55"/>
      <c r="H899" s="55"/>
      <c r="I899" s="55"/>
      <c r="J899" s="55"/>
    </row>
    <row r="900">
      <c r="A900" s="43"/>
      <c r="B900" s="55"/>
      <c r="C900" s="55"/>
      <c r="D900" s="55"/>
      <c r="E900" s="55"/>
      <c r="F900" s="55"/>
      <c r="G900" s="55"/>
      <c r="H900" s="55"/>
      <c r="I900" s="55"/>
      <c r="J900" s="55"/>
    </row>
    <row r="901">
      <c r="A901" s="43"/>
      <c r="B901" s="55"/>
      <c r="C901" s="55"/>
      <c r="D901" s="55"/>
      <c r="E901" s="55"/>
      <c r="F901" s="55"/>
      <c r="G901" s="55"/>
      <c r="H901" s="55"/>
      <c r="I901" s="55"/>
      <c r="J901" s="55"/>
    </row>
    <row r="902">
      <c r="A902" s="43"/>
      <c r="B902" s="55"/>
      <c r="C902" s="55"/>
      <c r="D902" s="55"/>
      <c r="E902" s="55"/>
      <c r="F902" s="55"/>
      <c r="G902" s="55"/>
      <c r="H902" s="55"/>
      <c r="I902" s="55"/>
      <c r="J902" s="55"/>
    </row>
    <row r="903">
      <c r="A903" s="43"/>
      <c r="B903" s="55"/>
      <c r="C903" s="55"/>
      <c r="D903" s="55"/>
      <c r="E903" s="55"/>
      <c r="F903" s="55"/>
      <c r="G903" s="55"/>
      <c r="H903" s="55"/>
      <c r="I903" s="55"/>
      <c r="J903" s="55"/>
    </row>
    <row r="904">
      <c r="A904" s="43"/>
      <c r="B904" s="55"/>
      <c r="C904" s="55"/>
      <c r="D904" s="55"/>
      <c r="E904" s="55"/>
      <c r="F904" s="55"/>
      <c r="G904" s="55"/>
      <c r="H904" s="55"/>
      <c r="I904" s="55"/>
      <c r="J904" s="55"/>
    </row>
    <row r="905">
      <c r="A905" s="43"/>
      <c r="B905" s="55"/>
      <c r="C905" s="55"/>
      <c r="D905" s="55"/>
      <c r="E905" s="55"/>
      <c r="F905" s="55"/>
      <c r="G905" s="55"/>
      <c r="H905" s="55"/>
      <c r="I905" s="55"/>
      <c r="J905" s="55"/>
    </row>
    <row r="906">
      <c r="A906" s="43"/>
      <c r="B906" s="55"/>
      <c r="C906" s="55"/>
      <c r="D906" s="55"/>
      <c r="E906" s="55"/>
      <c r="F906" s="55"/>
      <c r="G906" s="55"/>
      <c r="H906" s="55"/>
      <c r="I906" s="55"/>
      <c r="J906" s="55"/>
    </row>
    <row r="907">
      <c r="A907" s="43"/>
      <c r="B907" s="55"/>
      <c r="C907" s="55"/>
      <c r="D907" s="55"/>
      <c r="E907" s="55"/>
      <c r="F907" s="55"/>
      <c r="G907" s="55"/>
      <c r="H907" s="55"/>
      <c r="I907" s="55"/>
      <c r="J907" s="55"/>
    </row>
    <row r="908">
      <c r="A908" s="43"/>
      <c r="B908" s="55"/>
      <c r="C908" s="55"/>
      <c r="D908" s="55"/>
      <c r="E908" s="55"/>
      <c r="F908" s="55"/>
      <c r="G908" s="55"/>
      <c r="H908" s="55"/>
      <c r="I908" s="55"/>
      <c r="J908" s="55"/>
    </row>
    <row r="909">
      <c r="A909" s="43"/>
      <c r="B909" s="55"/>
      <c r="C909" s="55"/>
      <c r="D909" s="55"/>
      <c r="E909" s="55"/>
      <c r="F909" s="55"/>
      <c r="G909" s="55"/>
      <c r="H909" s="55"/>
      <c r="I909" s="55"/>
      <c r="J909" s="55"/>
    </row>
    <row r="910">
      <c r="A910" s="43"/>
      <c r="B910" s="55"/>
      <c r="C910" s="55"/>
      <c r="D910" s="55"/>
      <c r="E910" s="55"/>
      <c r="F910" s="55"/>
      <c r="G910" s="55"/>
      <c r="H910" s="55"/>
      <c r="I910" s="55"/>
      <c r="J910" s="55"/>
    </row>
    <row r="911">
      <c r="A911" s="43"/>
      <c r="B911" s="55"/>
      <c r="C911" s="55"/>
      <c r="D911" s="55"/>
      <c r="E911" s="55"/>
      <c r="F911" s="55"/>
      <c r="G911" s="55"/>
      <c r="H911" s="55"/>
      <c r="I911" s="55"/>
      <c r="J911" s="55"/>
    </row>
    <row r="912">
      <c r="A912" s="43"/>
      <c r="B912" s="55"/>
      <c r="C912" s="55"/>
      <c r="D912" s="55"/>
      <c r="E912" s="55"/>
      <c r="F912" s="55"/>
      <c r="G912" s="55"/>
      <c r="H912" s="55"/>
      <c r="I912" s="55"/>
      <c r="J912" s="55"/>
    </row>
    <row r="913">
      <c r="A913" s="43"/>
      <c r="B913" s="55"/>
      <c r="C913" s="55"/>
      <c r="D913" s="55"/>
      <c r="E913" s="55"/>
      <c r="F913" s="55"/>
      <c r="G913" s="55"/>
      <c r="H913" s="55"/>
      <c r="I913" s="55"/>
      <c r="J913" s="55"/>
    </row>
    <row r="914">
      <c r="A914" s="43"/>
      <c r="B914" s="55"/>
      <c r="C914" s="55"/>
      <c r="D914" s="55"/>
      <c r="E914" s="55"/>
      <c r="F914" s="55"/>
      <c r="G914" s="55"/>
      <c r="H914" s="55"/>
      <c r="I914" s="55"/>
      <c r="J914" s="55"/>
    </row>
    <row r="915">
      <c r="A915" s="43"/>
      <c r="B915" s="55"/>
      <c r="C915" s="55"/>
      <c r="D915" s="55"/>
      <c r="E915" s="55"/>
      <c r="F915" s="55"/>
      <c r="G915" s="55"/>
      <c r="H915" s="55"/>
      <c r="I915" s="55"/>
      <c r="J915" s="55"/>
    </row>
    <row r="916">
      <c r="A916" s="43"/>
      <c r="B916" s="55"/>
      <c r="C916" s="55"/>
      <c r="D916" s="55"/>
      <c r="E916" s="55"/>
      <c r="F916" s="55"/>
      <c r="G916" s="55"/>
      <c r="H916" s="55"/>
      <c r="I916" s="55"/>
      <c r="J916" s="55"/>
    </row>
    <row r="917">
      <c r="A917" s="43"/>
      <c r="B917" s="55"/>
      <c r="C917" s="55"/>
      <c r="D917" s="55"/>
      <c r="E917" s="55"/>
      <c r="F917" s="55"/>
      <c r="G917" s="55"/>
      <c r="H917" s="55"/>
      <c r="I917" s="55"/>
      <c r="J917" s="55"/>
    </row>
    <row r="918">
      <c r="A918" s="43"/>
      <c r="B918" s="55"/>
      <c r="C918" s="55"/>
      <c r="D918" s="55"/>
      <c r="E918" s="55"/>
      <c r="F918" s="55"/>
      <c r="G918" s="55"/>
      <c r="H918" s="55"/>
      <c r="I918" s="55"/>
      <c r="J918" s="55"/>
    </row>
    <row r="919">
      <c r="A919" s="43"/>
      <c r="B919" s="55"/>
      <c r="C919" s="55"/>
      <c r="D919" s="55"/>
      <c r="E919" s="55"/>
      <c r="F919" s="55"/>
      <c r="G919" s="55"/>
      <c r="H919" s="55"/>
      <c r="I919" s="55"/>
      <c r="J919" s="55"/>
    </row>
    <row r="920">
      <c r="A920" s="43"/>
      <c r="B920" s="55"/>
      <c r="C920" s="55"/>
      <c r="D920" s="55"/>
      <c r="E920" s="55"/>
      <c r="F920" s="55"/>
      <c r="G920" s="55"/>
      <c r="H920" s="55"/>
      <c r="I920" s="55"/>
      <c r="J920" s="55"/>
    </row>
    <row r="921">
      <c r="A921" s="43"/>
      <c r="B921" s="55"/>
      <c r="C921" s="55"/>
      <c r="D921" s="55"/>
      <c r="E921" s="55"/>
      <c r="F921" s="55"/>
      <c r="G921" s="55"/>
      <c r="H921" s="55"/>
      <c r="I921" s="55"/>
      <c r="J921" s="55"/>
    </row>
    <row r="922">
      <c r="A922" s="43"/>
      <c r="B922" s="55"/>
      <c r="C922" s="55"/>
      <c r="D922" s="55"/>
      <c r="E922" s="55"/>
      <c r="F922" s="55"/>
      <c r="G922" s="55"/>
      <c r="H922" s="55"/>
      <c r="I922" s="55"/>
      <c r="J922" s="55"/>
    </row>
    <row r="923">
      <c r="A923" s="43"/>
      <c r="B923" s="55"/>
      <c r="C923" s="55"/>
      <c r="D923" s="55"/>
      <c r="E923" s="55"/>
      <c r="F923" s="55"/>
      <c r="G923" s="55"/>
      <c r="H923" s="55"/>
      <c r="I923" s="55"/>
      <c r="J923" s="55"/>
    </row>
    <row r="924">
      <c r="A924" s="43"/>
      <c r="B924" s="55"/>
      <c r="C924" s="55"/>
      <c r="D924" s="55"/>
      <c r="E924" s="55"/>
      <c r="F924" s="55"/>
      <c r="G924" s="55"/>
      <c r="H924" s="55"/>
      <c r="I924" s="55"/>
      <c r="J924" s="55"/>
    </row>
    <row r="925">
      <c r="A925" s="43"/>
      <c r="B925" s="55"/>
      <c r="C925" s="55"/>
      <c r="D925" s="55"/>
      <c r="E925" s="55"/>
      <c r="F925" s="55"/>
      <c r="G925" s="55"/>
      <c r="H925" s="55"/>
      <c r="I925" s="55"/>
      <c r="J925" s="55"/>
    </row>
    <row r="926">
      <c r="A926" s="43"/>
      <c r="B926" s="55"/>
      <c r="C926" s="55"/>
      <c r="D926" s="55"/>
      <c r="E926" s="55"/>
      <c r="F926" s="55"/>
      <c r="G926" s="55"/>
      <c r="H926" s="55"/>
      <c r="I926" s="55"/>
      <c r="J926" s="55"/>
    </row>
    <row r="927">
      <c r="A927" s="43"/>
      <c r="B927" s="55"/>
      <c r="C927" s="55"/>
      <c r="D927" s="55"/>
      <c r="E927" s="55"/>
      <c r="F927" s="55"/>
      <c r="G927" s="55"/>
      <c r="H927" s="55"/>
      <c r="I927" s="55"/>
      <c r="J927" s="55"/>
    </row>
    <row r="928">
      <c r="A928" s="43"/>
      <c r="B928" s="55"/>
      <c r="C928" s="55"/>
      <c r="D928" s="55"/>
      <c r="E928" s="55"/>
      <c r="F928" s="55"/>
      <c r="G928" s="55"/>
      <c r="H928" s="55"/>
      <c r="I928" s="55"/>
      <c r="J928" s="55"/>
    </row>
    <row r="929">
      <c r="A929" s="43"/>
      <c r="B929" s="55"/>
      <c r="C929" s="55"/>
      <c r="D929" s="55"/>
      <c r="E929" s="55"/>
      <c r="F929" s="55"/>
      <c r="G929" s="55"/>
      <c r="H929" s="55"/>
      <c r="I929" s="55"/>
      <c r="J929" s="55"/>
    </row>
    <row r="930">
      <c r="A930" s="43"/>
      <c r="B930" s="55"/>
      <c r="C930" s="55"/>
      <c r="D930" s="55"/>
      <c r="E930" s="55"/>
      <c r="F930" s="55"/>
      <c r="G930" s="55"/>
      <c r="H930" s="55"/>
      <c r="I930" s="55"/>
      <c r="J930" s="55"/>
    </row>
    <row r="931">
      <c r="A931" s="43"/>
      <c r="B931" s="55"/>
      <c r="C931" s="55"/>
      <c r="D931" s="55"/>
      <c r="E931" s="55"/>
      <c r="F931" s="55"/>
      <c r="G931" s="55"/>
      <c r="H931" s="55"/>
      <c r="I931" s="55"/>
      <c r="J931" s="55"/>
    </row>
    <row r="932">
      <c r="A932" s="43"/>
      <c r="B932" s="55"/>
      <c r="C932" s="55"/>
      <c r="D932" s="55"/>
      <c r="E932" s="55"/>
      <c r="F932" s="55"/>
      <c r="G932" s="55"/>
      <c r="H932" s="55"/>
      <c r="I932" s="55"/>
      <c r="J932" s="55"/>
    </row>
    <row r="933">
      <c r="A933" s="43"/>
      <c r="B933" s="55"/>
      <c r="C933" s="55"/>
      <c r="D933" s="55"/>
      <c r="E933" s="55"/>
      <c r="F933" s="55"/>
      <c r="G933" s="55"/>
      <c r="H933" s="55"/>
      <c r="I933" s="55"/>
      <c r="J933" s="55"/>
    </row>
    <row r="934">
      <c r="A934" s="43"/>
      <c r="B934" s="55"/>
      <c r="C934" s="55"/>
      <c r="D934" s="55"/>
      <c r="E934" s="55"/>
      <c r="F934" s="55"/>
      <c r="G934" s="55"/>
      <c r="H934" s="55"/>
      <c r="I934" s="55"/>
      <c r="J934" s="55"/>
    </row>
    <row r="935">
      <c r="A935" s="43"/>
      <c r="B935" s="55"/>
      <c r="C935" s="55"/>
      <c r="D935" s="55"/>
      <c r="E935" s="55"/>
      <c r="F935" s="55"/>
      <c r="G935" s="55"/>
      <c r="H935" s="55"/>
      <c r="I935" s="55"/>
      <c r="J935" s="55"/>
    </row>
    <row r="936">
      <c r="A936" s="43"/>
      <c r="B936" s="55"/>
      <c r="C936" s="55"/>
      <c r="D936" s="55"/>
      <c r="E936" s="55"/>
      <c r="F936" s="55"/>
      <c r="G936" s="55"/>
      <c r="H936" s="55"/>
      <c r="I936" s="55"/>
      <c r="J936" s="55"/>
    </row>
    <row r="937">
      <c r="A937" s="43"/>
      <c r="B937" s="55"/>
      <c r="C937" s="55"/>
      <c r="D937" s="55"/>
      <c r="E937" s="55"/>
      <c r="F937" s="55"/>
      <c r="G937" s="55"/>
      <c r="H937" s="55"/>
      <c r="I937" s="55"/>
      <c r="J937" s="55"/>
    </row>
    <row r="938">
      <c r="A938" s="43"/>
      <c r="B938" s="55"/>
      <c r="C938" s="55"/>
      <c r="D938" s="55"/>
      <c r="E938" s="55"/>
      <c r="F938" s="55"/>
      <c r="G938" s="55"/>
      <c r="H938" s="55"/>
      <c r="I938" s="55"/>
      <c r="J938" s="55"/>
    </row>
    <row r="939">
      <c r="A939" s="43"/>
      <c r="B939" s="55"/>
      <c r="C939" s="55"/>
      <c r="D939" s="55"/>
      <c r="E939" s="55"/>
      <c r="F939" s="55"/>
      <c r="G939" s="55"/>
      <c r="H939" s="55"/>
      <c r="I939" s="55"/>
      <c r="J939" s="55"/>
    </row>
    <row r="940">
      <c r="A940" s="43"/>
      <c r="B940" s="55"/>
      <c r="C940" s="55"/>
      <c r="D940" s="55"/>
      <c r="E940" s="55"/>
      <c r="F940" s="55"/>
      <c r="G940" s="55"/>
      <c r="H940" s="55"/>
      <c r="I940" s="55"/>
      <c r="J940" s="55"/>
    </row>
    <row r="941">
      <c r="A941" s="43"/>
      <c r="B941" s="55"/>
      <c r="C941" s="55"/>
      <c r="D941" s="55"/>
      <c r="E941" s="55"/>
      <c r="F941" s="55"/>
      <c r="G941" s="55"/>
      <c r="H941" s="55"/>
      <c r="I941" s="55"/>
      <c r="J941" s="55"/>
    </row>
    <row r="942">
      <c r="A942" s="43"/>
      <c r="B942" s="55"/>
      <c r="C942" s="55"/>
      <c r="D942" s="55"/>
      <c r="E942" s="55"/>
      <c r="F942" s="55"/>
      <c r="G942" s="55"/>
      <c r="H942" s="55"/>
      <c r="I942" s="55"/>
      <c r="J942" s="55"/>
    </row>
    <row r="943">
      <c r="A943" s="43"/>
      <c r="B943" s="55"/>
      <c r="C943" s="55"/>
      <c r="D943" s="55"/>
      <c r="E943" s="55"/>
      <c r="F943" s="55"/>
      <c r="G943" s="55"/>
      <c r="H943" s="55"/>
      <c r="I943" s="55"/>
      <c r="J943" s="55"/>
    </row>
    <row r="944">
      <c r="A944" s="43"/>
      <c r="B944" s="55"/>
      <c r="C944" s="55"/>
      <c r="D944" s="55"/>
      <c r="E944" s="55"/>
      <c r="F944" s="55"/>
      <c r="G944" s="55"/>
      <c r="H944" s="55"/>
      <c r="I944" s="55"/>
      <c r="J944" s="55"/>
    </row>
    <row r="945">
      <c r="A945" s="43"/>
      <c r="B945" s="55"/>
      <c r="C945" s="55"/>
      <c r="D945" s="55"/>
      <c r="E945" s="55"/>
      <c r="F945" s="55"/>
      <c r="G945" s="55"/>
      <c r="H945" s="55"/>
      <c r="I945" s="55"/>
      <c r="J945" s="55"/>
    </row>
    <row r="946">
      <c r="A946" s="43"/>
      <c r="B946" s="55"/>
      <c r="C946" s="55"/>
      <c r="D946" s="55"/>
      <c r="E946" s="55"/>
      <c r="F946" s="55"/>
      <c r="G946" s="55"/>
      <c r="H946" s="55"/>
      <c r="I946" s="55"/>
      <c r="J946" s="55"/>
    </row>
    <row r="947">
      <c r="A947" s="43"/>
      <c r="B947" s="55"/>
      <c r="C947" s="55"/>
      <c r="D947" s="55"/>
      <c r="E947" s="55"/>
      <c r="F947" s="55"/>
      <c r="G947" s="55"/>
      <c r="H947" s="55"/>
      <c r="I947" s="55"/>
      <c r="J947" s="55"/>
    </row>
    <row r="948">
      <c r="A948" s="43"/>
      <c r="B948" s="55"/>
      <c r="C948" s="55"/>
      <c r="D948" s="55"/>
      <c r="E948" s="55"/>
      <c r="F948" s="55"/>
      <c r="G948" s="55"/>
      <c r="H948" s="55"/>
      <c r="I948" s="55"/>
      <c r="J948" s="55"/>
    </row>
    <row r="949">
      <c r="A949" s="43"/>
      <c r="B949" s="55"/>
      <c r="C949" s="55"/>
      <c r="D949" s="55"/>
      <c r="E949" s="55"/>
      <c r="F949" s="55"/>
      <c r="G949" s="55"/>
      <c r="H949" s="55"/>
      <c r="I949" s="55"/>
      <c r="J949" s="55"/>
    </row>
    <row r="950">
      <c r="A950" s="43"/>
      <c r="B950" s="55"/>
      <c r="C950" s="55"/>
      <c r="D950" s="55"/>
      <c r="E950" s="55"/>
      <c r="F950" s="55"/>
      <c r="G950" s="55"/>
      <c r="H950" s="55"/>
      <c r="I950" s="55"/>
      <c r="J950" s="55"/>
    </row>
    <row r="951">
      <c r="A951" s="43"/>
      <c r="B951" s="55"/>
      <c r="C951" s="55"/>
      <c r="D951" s="55"/>
      <c r="E951" s="55"/>
      <c r="F951" s="55"/>
      <c r="G951" s="55"/>
      <c r="H951" s="55"/>
      <c r="I951" s="55"/>
      <c r="J951" s="55"/>
    </row>
    <row r="952">
      <c r="A952" s="43"/>
      <c r="B952" s="55"/>
      <c r="C952" s="55"/>
      <c r="D952" s="55"/>
      <c r="E952" s="55"/>
      <c r="F952" s="55"/>
      <c r="G952" s="55"/>
      <c r="H952" s="55"/>
      <c r="I952" s="55"/>
      <c r="J952" s="55"/>
    </row>
    <row r="953">
      <c r="A953" s="43"/>
      <c r="B953" s="55"/>
      <c r="C953" s="55"/>
      <c r="D953" s="55"/>
      <c r="E953" s="55"/>
      <c r="F953" s="55"/>
      <c r="G953" s="55"/>
      <c r="H953" s="55"/>
      <c r="I953" s="55"/>
      <c r="J953" s="55"/>
    </row>
    <row r="954">
      <c r="A954" s="43"/>
      <c r="B954" s="55"/>
      <c r="C954" s="55"/>
      <c r="D954" s="55"/>
      <c r="E954" s="55"/>
      <c r="F954" s="55"/>
      <c r="G954" s="55"/>
      <c r="H954" s="55"/>
      <c r="I954" s="55"/>
      <c r="J954" s="55"/>
    </row>
    <row r="955">
      <c r="A955" s="43"/>
      <c r="B955" s="55"/>
      <c r="C955" s="55"/>
      <c r="D955" s="55"/>
      <c r="E955" s="55"/>
      <c r="F955" s="55"/>
      <c r="G955" s="55"/>
      <c r="H955" s="55"/>
      <c r="I955" s="55"/>
      <c r="J955" s="55"/>
    </row>
    <row r="956">
      <c r="A956" s="43"/>
      <c r="B956" s="55"/>
      <c r="C956" s="55"/>
      <c r="D956" s="55"/>
      <c r="E956" s="55"/>
      <c r="F956" s="55"/>
      <c r="G956" s="55"/>
      <c r="H956" s="55"/>
      <c r="I956" s="55"/>
      <c r="J956" s="55"/>
    </row>
    <row r="957">
      <c r="A957" s="43"/>
      <c r="B957" s="55"/>
      <c r="C957" s="55"/>
      <c r="D957" s="55"/>
      <c r="E957" s="55"/>
      <c r="F957" s="55"/>
      <c r="G957" s="55"/>
      <c r="H957" s="55"/>
      <c r="I957" s="55"/>
      <c r="J957" s="55"/>
    </row>
    <row r="958">
      <c r="A958" s="43"/>
      <c r="B958" s="55"/>
      <c r="C958" s="55"/>
      <c r="D958" s="55"/>
      <c r="E958" s="55"/>
      <c r="F958" s="55"/>
      <c r="G958" s="55"/>
      <c r="H958" s="55"/>
      <c r="I958" s="55"/>
      <c r="J958" s="55"/>
    </row>
    <row r="959">
      <c r="A959" s="43"/>
      <c r="B959" s="55"/>
      <c r="C959" s="55"/>
      <c r="D959" s="55"/>
      <c r="E959" s="55"/>
      <c r="F959" s="55"/>
      <c r="G959" s="55"/>
      <c r="H959" s="55"/>
      <c r="I959" s="55"/>
      <c r="J959" s="55"/>
    </row>
    <row r="960">
      <c r="A960" s="43"/>
      <c r="B960" s="55"/>
      <c r="C960" s="55"/>
      <c r="D960" s="55"/>
      <c r="E960" s="55"/>
      <c r="F960" s="55"/>
      <c r="G960" s="55"/>
      <c r="H960" s="55"/>
      <c r="I960" s="55"/>
      <c r="J960" s="55"/>
    </row>
    <row r="961">
      <c r="A961" s="43"/>
      <c r="B961" s="55"/>
      <c r="C961" s="55"/>
      <c r="D961" s="55"/>
      <c r="E961" s="55"/>
      <c r="F961" s="55"/>
      <c r="G961" s="55"/>
      <c r="H961" s="55"/>
      <c r="I961" s="55"/>
      <c r="J961" s="55"/>
    </row>
    <row r="962">
      <c r="A962" s="43"/>
      <c r="B962" s="55"/>
      <c r="C962" s="55"/>
      <c r="D962" s="55"/>
      <c r="E962" s="55"/>
      <c r="F962" s="55"/>
      <c r="G962" s="55"/>
      <c r="H962" s="55"/>
      <c r="I962" s="55"/>
      <c r="J962" s="55"/>
    </row>
    <row r="963">
      <c r="A963" s="43"/>
      <c r="B963" s="55"/>
      <c r="C963" s="55"/>
      <c r="D963" s="55"/>
      <c r="E963" s="55"/>
      <c r="F963" s="55"/>
      <c r="G963" s="55"/>
      <c r="H963" s="55"/>
      <c r="I963" s="55"/>
      <c r="J963" s="55"/>
    </row>
    <row r="964">
      <c r="A964" s="43"/>
      <c r="B964" s="55"/>
      <c r="C964" s="55"/>
      <c r="D964" s="55"/>
      <c r="E964" s="55"/>
      <c r="F964" s="55"/>
      <c r="G964" s="55"/>
      <c r="H964" s="55"/>
      <c r="I964" s="55"/>
      <c r="J964" s="55"/>
    </row>
    <row r="965">
      <c r="A965" s="43"/>
      <c r="B965" s="55"/>
      <c r="C965" s="55"/>
      <c r="D965" s="55"/>
      <c r="E965" s="55"/>
      <c r="F965" s="55"/>
      <c r="G965" s="55"/>
      <c r="H965" s="55"/>
      <c r="I965" s="55"/>
      <c r="J965" s="55"/>
    </row>
    <row r="966">
      <c r="A966" s="43"/>
      <c r="B966" s="55"/>
      <c r="C966" s="55"/>
      <c r="D966" s="55"/>
      <c r="E966" s="55"/>
      <c r="F966" s="55"/>
      <c r="G966" s="55"/>
      <c r="H966" s="55"/>
      <c r="I966" s="55"/>
      <c r="J966" s="55"/>
    </row>
    <row r="967">
      <c r="A967" s="43"/>
      <c r="B967" s="55"/>
      <c r="C967" s="55"/>
      <c r="D967" s="55"/>
      <c r="E967" s="55"/>
      <c r="F967" s="55"/>
      <c r="G967" s="55"/>
      <c r="H967" s="55"/>
      <c r="I967" s="55"/>
      <c r="J967" s="55"/>
    </row>
  </sheetData>
  <mergeCells count="5">
    <mergeCell ref="B3:D3"/>
    <mergeCell ref="E3:G3"/>
    <mergeCell ref="H3:J3"/>
    <mergeCell ref="D67:E67"/>
    <mergeCell ref="D69:E6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8" width="17.29"/>
  </cols>
  <sheetData>
    <row r="1">
      <c r="A1" s="182" t="s">
        <v>127</v>
      </c>
      <c r="B1" s="183"/>
      <c r="C1" s="183"/>
      <c r="D1" s="183"/>
      <c r="E1" s="183"/>
      <c r="F1" s="183"/>
      <c r="G1" s="183"/>
      <c r="H1" s="184"/>
    </row>
    <row r="2">
      <c r="A2" s="122"/>
      <c r="B2" s="122"/>
      <c r="C2" s="122"/>
      <c r="D2" s="122"/>
      <c r="E2" s="122"/>
      <c r="F2" s="122"/>
      <c r="G2" s="122"/>
      <c r="H2" s="122"/>
    </row>
    <row r="3">
      <c r="A3" s="120" t="s">
        <v>53</v>
      </c>
      <c r="B3" s="120" t="s">
        <v>18</v>
      </c>
      <c r="C3" s="120" t="s">
        <v>19</v>
      </c>
      <c r="D3" s="120" t="s">
        <v>20</v>
      </c>
      <c r="E3" s="120" t="s">
        <v>21</v>
      </c>
      <c r="F3" s="120" t="s">
        <v>22</v>
      </c>
      <c r="G3" s="120" t="s">
        <v>23</v>
      </c>
      <c r="H3" s="120" t="s">
        <v>24</v>
      </c>
    </row>
    <row r="4">
      <c r="A4" s="122"/>
      <c r="B4" s="122"/>
      <c r="C4" s="122"/>
      <c r="D4" s="122"/>
      <c r="E4" s="122"/>
      <c r="F4" s="122"/>
      <c r="G4" s="122"/>
      <c r="H4" s="122"/>
    </row>
    <row r="5">
      <c r="A5" s="185" t="s">
        <v>54</v>
      </c>
      <c r="B5" s="122"/>
      <c r="C5" s="122"/>
      <c r="D5" s="122"/>
      <c r="E5" s="122"/>
      <c r="F5" s="122"/>
      <c r="G5" s="122"/>
      <c r="H5" s="122"/>
    </row>
    <row r="6">
      <c r="A6" s="125" t="s">
        <v>55</v>
      </c>
      <c r="B6" s="122"/>
      <c r="C6" s="122"/>
      <c r="D6" s="122"/>
      <c r="E6" s="122"/>
      <c r="F6" s="122"/>
      <c r="G6" s="122"/>
      <c r="H6" s="122"/>
    </row>
    <row r="7">
      <c r="A7" s="125" t="s">
        <v>56</v>
      </c>
      <c r="B7" s="125">
        <f t="array" ref="B7:H13">{
  COUNTIFS(LocationGrowth!$B$2:$B$68, "Acquisition", LocationGrowth!$A$2:$A$68, SEQUENCE(1, 7, 1, 1));
  COUNTIFS(LocationGrowth!$B$2:$B$68, "Acquisition", LocationGrowth!$A$2:$A$68, SEQUENCE(1, 7, 1, 1) - 1);
  COUNTIFS(LocationGrowth!$B$2:$B$68, "Acquisition", LocationGrowth!$A$2:$A$68, SEQUENCE(1, 7, 1, 1) - 2);
  COUNTIFS(LocationGrowth!$B$2:$B$68, "Acquisition", LocationGrowth!$A$2:$A$68, SEQUENCE(1, 7, 1, 1) - 3);
  COUNTIFS(LocationGrowth!$B$2:$B$68, "Acquisition", LocationGrowth!$A$2:$A$68, SEQUENCE(1, 7, 1, 1) - 4);
  COUNTIFS(LocationGrowth!$B$2:$B$68, "Acquisition", LocationGrowth!$A$2:$A$68, SEQUENCE(1, 7, 1, 1) - 5);
  COUNTIFS(LocationGrowth!$B$2:$B$68, "Acquisition", LocationGrowth!$A$2:$A$68, SEQUENCE(1, 7, 1, 1) - 6)
}</f>
        <v>2</v>
      </c>
      <c r="C7" s="125">
        <v>1.0</v>
      </c>
      <c r="D7" s="125">
        <v>1.0</v>
      </c>
      <c r="E7" s="125">
        <v>1.0</v>
      </c>
      <c r="F7" s="125">
        <v>2.0</v>
      </c>
      <c r="G7" s="125">
        <v>3.0</v>
      </c>
      <c r="H7" s="125">
        <v>3.0</v>
      </c>
    </row>
    <row r="8">
      <c r="A8" s="125" t="s">
        <v>57</v>
      </c>
      <c r="B8" s="125">
        <v>0.0</v>
      </c>
      <c r="C8" s="125">
        <v>2.0</v>
      </c>
      <c r="D8" s="125">
        <v>1.0</v>
      </c>
      <c r="E8" s="125">
        <v>1.0</v>
      </c>
      <c r="F8" s="125">
        <v>1.0</v>
      </c>
      <c r="G8" s="125">
        <v>2.0</v>
      </c>
      <c r="H8" s="125">
        <v>3.0</v>
      </c>
    </row>
    <row r="9">
      <c r="A9" s="125" t="s">
        <v>58</v>
      </c>
      <c r="B9" s="125">
        <v>0.0</v>
      </c>
      <c r="C9" s="125">
        <v>0.0</v>
      </c>
      <c r="D9" s="125">
        <v>2.0</v>
      </c>
      <c r="E9" s="125">
        <v>1.0</v>
      </c>
      <c r="F9" s="125">
        <v>1.0</v>
      </c>
      <c r="G9" s="125">
        <v>1.0</v>
      </c>
      <c r="H9" s="125">
        <v>2.0</v>
      </c>
    </row>
    <row r="10">
      <c r="A10" s="125" t="s">
        <v>59</v>
      </c>
      <c r="B10" s="125">
        <v>0.0</v>
      </c>
      <c r="C10" s="125">
        <v>0.0</v>
      </c>
      <c r="D10" s="125">
        <v>0.0</v>
      </c>
      <c r="E10" s="125">
        <v>2.0</v>
      </c>
      <c r="F10" s="125">
        <v>1.0</v>
      </c>
      <c r="G10" s="125">
        <v>1.0</v>
      </c>
      <c r="H10" s="125">
        <v>1.0</v>
      </c>
    </row>
    <row r="11">
      <c r="A11" s="125" t="s">
        <v>60</v>
      </c>
      <c r="B11" s="125">
        <v>0.0</v>
      </c>
      <c r="C11" s="125">
        <v>0.0</v>
      </c>
      <c r="D11" s="125">
        <v>0.0</v>
      </c>
      <c r="E11" s="125">
        <v>0.0</v>
      </c>
      <c r="F11" s="125">
        <v>2.0</v>
      </c>
      <c r="G11" s="125">
        <v>1.0</v>
      </c>
      <c r="H11" s="125">
        <v>1.0</v>
      </c>
    </row>
    <row r="12">
      <c r="A12" s="125" t="s">
        <v>61</v>
      </c>
      <c r="B12" s="125">
        <v>0.0</v>
      </c>
      <c r="C12" s="125">
        <v>0.0</v>
      </c>
      <c r="D12" s="125">
        <v>0.0</v>
      </c>
      <c r="E12" s="125">
        <v>0.0</v>
      </c>
      <c r="F12" s="125">
        <v>0.0</v>
      </c>
      <c r="G12" s="125">
        <v>2.0</v>
      </c>
      <c r="H12" s="125">
        <v>1.0</v>
      </c>
    </row>
    <row r="13">
      <c r="A13" s="125" t="s">
        <v>62</v>
      </c>
      <c r="B13" s="125">
        <v>0.0</v>
      </c>
      <c r="C13" s="125">
        <v>0.0</v>
      </c>
      <c r="D13" s="125">
        <v>0.0</v>
      </c>
      <c r="E13" s="125">
        <v>0.0</v>
      </c>
      <c r="F13" s="125">
        <v>0.0</v>
      </c>
      <c r="G13" s="125">
        <v>0.0</v>
      </c>
      <c r="H13" s="125">
        <v>2.0</v>
      </c>
    </row>
    <row r="14">
      <c r="A14" s="122"/>
      <c r="B14" s="125"/>
      <c r="C14" s="122"/>
      <c r="D14" s="122"/>
      <c r="E14" s="122"/>
      <c r="F14" s="122"/>
      <c r="G14" s="122"/>
      <c r="H14" s="122"/>
    </row>
    <row r="15">
      <c r="A15" s="125" t="s">
        <v>63</v>
      </c>
      <c r="B15" s="125"/>
      <c r="C15" s="122"/>
      <c r="D15" s="122"/>
      <c r="E15" s="122"/>
      <c r="F15" s="122"/>
      <c r="G15" s="122"/>
      <c r="H15" s="122"/>
    </row>
    <row r="16">
      <c r="A16" s="125" t="s">
        <v>56</v>
      </c>
      <c r="B16" s="125">
        <f t="array" ref="B16:H22">{
  COUNTIFS(LocationGrowth!$B$2:$B$68, "Organic", LocationGrowth!$A$2:$A$68, SEQUENCE(1, 7, 1, 1));
  COUNTIFS(LocationGrowth!$B$2:$B$68, "Organic", LocationGrowth!$A$2:$A$68, SEQUENCE(1, 7, 1, 1) - 1);
  COUNTIFS(LocationGrowth!$B$2:$B$68, "Organic", LocationGrowth!$A$2:$A$68, SEQUENCE(1, 7, 1, 1) - 2);
  COUNTIFS(LocationGrowth!$B$2:$B$68, "Organic", LocationGrowth!$A$2:$A$68, SEQUENCE(1, 7, 1, 1) - 3);
  COUNTIFS(LocationGrowth!$B$2:$B$68, "Organic", LocationGrowth!$A$2:$A$68, SEQUENCE(1, 7, 1, 1) - 4);
  COUNTIFS(LocationGrowth!$B$2:$B$68, "Organic", LocationGrowth!$A$2:$A$68, SEQUENCE(1, 7, 1, 1) - 5);
  COUNTIFS(LocationGrowth!$B$2:$B$68, "Organic", LocationGrowth!$A$2:$A$68, SEQUENCE(1, 7, 1, 1) - 6)
}</f>
        <v>0</v>
      </c>
      <c r="C16" s="125">
        <v>2.0</v>
      </c>
      <c r="D16" s="125">
        <v>2.0</v>
      </c>
      <c r="E16" s="125">
        <v>2.0</v>
      </c>
      <c r="F16" s="125">
        <v>3.0</v>
      </c>
      <c r="G16" s="125">
        <v>4.0</v>
      </c>
      <c r="H16" s="125">
        <v>5.0</v>
      </c>
    </row>
    <row r="17">
      <c r="A17" s="125" t="s">
        <v>57</v>
      </c>
      <c r="B17" s="125">
        <v>0.0</v>
      </c>
      <c r="C17" s="125">
        <v>0.0</v>
      </c>
      <c r="D17" s="125">
        <v>2.0</v>
      </c>
      <c r="E17" s="125">
        <v>2.0</v>
      </c>
      <c r="F17" s="125">
        <v>2.0</v>
      </c>
      <c r="G17" s="125">
        <v>3.0</v>
      </c>
      <c r="H17" s="125">
        <v>4.0</v>
      </c>
    </row>
    <row r="18">
      <c r="A18" s="125" t="s">
        <v>58</v>
      </c>
      <c r="B18" s="125">
        <v>0.0</v>
      </c>
      <c r="C18" s="125">
        <v>0.0</v>
      </c>
      <c r="D18" s="125">
        <v>0.0</v>
      </c>
      <c r="E18" s="125">
        <v>2.0</v>
      </c>
      <c r="F18" s="125">
        <v>2.0</v>
      </c>
      <c r="G18" s="125">
        <v>2.0</v>
      </c>
      <c r="H18" s="125">
        <v>3.0</v>
      </c>
    </row>
    <row r="19">
      <c r="A19" s="125" t="s">
        <v>59</v>
      </c>
      <c r="B19" s="125">
        <v>0.0</v>
      </c>
      <c r="C19" s="125">
        <v>0.0</v>
      </c>
      <c r="D19" s="125">
        <v>0.0</v>
      </c>
      <c r="E19" s="125">
        <v>0.0</v>
      </c>
      <c r="F19" s="125">
        <v>2.0</v>
      </c>
      <c r="G19" s="125">
        <v>2.0</v>
      </c>
      <c r="H19" s="125">
        <v>2.0</v>
      </c>
    </row>
    <row r="20">
      <c r="A20" s="125" t="s">
        <v>60</v>
      </c>
      <c r="B20" s="125">
        <v>0.0</v>
      </c>
      <c r="C20" s="125">
        <v>0.0</v>
      </c>
      <c r="D20" s="125">
        <v>0.0</v>
      </c>
      <c r="E20" s="125">
        <v>0.0</v>
      </c>
      <c r="F20" s="125">
        <v>0.0</v>
      </c>
      <c r="G20" s="125">
        <v>2.0</v>
      </c>
      <c r="H20" s="125">
        <v>2.0</v>
      </c>
    </row>
    <row r="21">
      <c r="A21" s="125" t="s">
        <v>61</v>
      </c>
      <c r="B21" s="125">
        <v>0.0</v>
      </c>
      <c r="C21" s="125">
        <v>0.0</v>
      </c>
      <c r="D21" s="125">
        <v>0.0</v>
      </c>
      <c r="E21" s="125">
        <v>0.0</v>
      </c>
      <c r="F21" s="125">
        <v>0.0</v>
      </c>
      <c r="G21" s="125">
        <v>0.0</v>
      </c>
      <c r="H21" s="125">
        <v>2.0</v>
      </c>
    </row>
    <row r="22">
      <c r="A22" s="125" t="s">
        <v>62</v>
      </c>
      <c r="B22" s="125">
        <v>0.0</v>
      </c>
      <c r="C22" s="125">
        <v>0.0</v>
      </c>
      <c r="D22" s="125">
        <v>0.0</v>
      </c>
      <c r="E22" s="125">
        <v>0.0</v>
      </c>
      <c r="F22" s="125">
        <v>0.0</v>
      </c>
      <c r="G22" s="125">
        <v>0.0</v>
      </c>
      <c r="H22" s="125">
        <v>0.0</v>
      </c>
    </row>
    <row r="23">
      <c r="A23" s="122"/>
      <c r="B23" s="122"/>
      <c r="C23" s="122"/>
      <c r="D23" s="122"/>
      <c r="E23" s="122"/>
      <c r="F23" s="122"/>
      <c r="G23" s="122"/>
      <c r="H23" s="122"/>
    </row>
    <row r="24">
      <c r="A24" s="185" t="s">
        <v>64</v>
      </c>
      <c r="B24" s="125">
        <f t="shared" ref="B24:H24" si="1">sum(B7:B22)</f>
        <v>2</v>
      </c>
      <c r="C24" s="125">
        <f t="shared" si="1"/>
        <v>5</v>
      </c>
      <c r="D24" s="125">
        <f t="shared" si="1"/>
        <v>8</v>
      </c>
      <c r="E24" s="125">
        <f t="shared" si="1"/>
        <v>11</v>
      </c>
      <c r="F24" s="125">
        <f t="shared" si="1"/>
        <v>16</v>
      </c>
      <c r="G24" s="125">
        <f t="shared" si="1"/>
        <v>23</v>
      </c>
      <c r="H24" s="125">
        <f t="shared" si="1"/>
        <v>31</v>
      </c>
    </row>
    <row r="25">
      <c r="A25" s="122"/>
      <c r="B25" s="186"/>
      <c r="C25" s="186"/>
      <c r="D25" s="186"/>
      <c r="E25" s="186"/>
      <c r="F25" s="186"/>
      <c r="G25" s="186"/>
      <c r="H25" s="186"/>
    </row>
    <row r="26">
      <c r="A26" s="151"/>
      <c r="B26" s="187"/>
      <c r="C26" s="187"/>
      <c r="D26" s="187"/>
      <c r="E26" s="187"/>
      <c r="F26" s="187"/>
      <c r="G26" s="187"/>
      <c r="H26" s="187"/>
    </row>
    <row r="27">
      <c r="A27" s="151"/>
      <c r="B27" s="187"/>
      <c r="C27" s="187"/>
      <c r="D27" s="187"/>
      <c r="E27" s="187"/>
      <c r="F27" s="187"/>
      <c r="G27" s="187"/>
      <c r="H27" s="187"/>
    </row>
    <row r="28">
      <c r="A28" s="151"/>
      <c r="B28" s="187"/>
      <c r="C28" s="187"/>
      <c r="D28" s="187"/>
      <c r="E28" s="187"/>
      <c r="F28" s="187"/>
      <c r="G28" s="187"/>
      <c r="H28" s="187"/>
    </row>
    <row r="29">
      <c r="A29" s="151"/>
      <c r="B29" s="187"/>
      <c r="C29" s="187"/>
      <c r="D29" s="187"/>
      <c r="E29" s="187"/>
      <c r="F29" s="187"/>
      <c r="G29" s="187"/>
      <c r="H29" s="187"/>
    </row>
    <row r="30">
      <c r="A30" s="151"/>
      <c r="B30" s="187"/>
      <c r="C30" s="187"/>
      <c r="D30" s="187"/>
      <c r="E30" s="187"/>
      <c r="F30" s="187"/>
      <c r="G30" s="187"/>
      <c r="H30" s="187"/>
    </row>
    <row r="31">
      <c r="A31" s="151"/>
      <c r="B31" s="187"/>
      <c r="C31" s="187"/>
      <c r="D31" s="187"/>
      <c r="E31" s="187"/>
      <c r="F31" s="187"/>
      <c r="G31" s="187"/>
      <c r="H31" s="187"/>
    </row>
    <row r="32">
      <c r="A32" s="151"/>
      <c r="B32" s="187"/>
      <c r="C32" s="187"/>
      <c r="D32" s="187"/>
      <c r="E32" s="187"/>
      <c r="F32" s="187"/>
      <c r="G32" s="187"/>
      <c r="H32" s="187"/>
    </row>
    <row r="33">
      <c r="A33" s="151"/>
      <c r="B33" s="187"/>
      <c r="C33" s="187"/>
      <c r="D33" s="187"/>
      <c r="E33" s="187"/>
      <c r="F33" s="187"/>
      <c r="G33" s="187"/>
      <c r="H33" s="187"/>
    </row>
    <row r="34">
      <c r="A34" s="151"/>
      <c r="B34" s="187"/>
      <c r="C34" s="187"/>
      <c r="D34" s="187"/>
      <c r="E34" s="187"/>
      <c r="F34" s="187"/>
      <c r="G34" s="187"/>
      <c r="H34" s="187"/>
    </row>
    <row r="35">
      <c r="A35" s="151"/>
      <c r="B35" s="187"/>
      <c r="C35" s="187"/>
      <c r="D35" s="187"/>
      <c r="E35" s="187"/>
      <c r="F35" s="187"/>
      <c r="G35" s="187"/>
      <c r="H35" s="187"/>
    </row>
    <row r="36">
      <c r="A36" s="151"/>
      <c r="B36" s="187"/>
      <c r="C36" s="187"/>
      <c r="D36" s="187"/>
      <c r="E36" s="187"/>
      <c r="F36" s="187"/>
      <c r="G36" s="187"/>
      <c r="H36" s="187"/>
    </row>
    <row r="37">
      <c r="A37" s="151"/>
      <c r="B37" s="187"/>
      <c r="C37" s="187"/>
      <c r="D37" s="187"/>
      <c r="E37" s="187"/>
      <c r="F37" s="187"/>
      <c r="G37" s="187"/>
      <c r="H37" s="187"/>
    </row>
    <row r="38">
      <c r="A38" s="151"/>
      <c r="B38" s="187"/>
      <c r="C38" s="187"/>
      <c r="D38" s="187"/>
      <c r="E38" s="187"/>
      <c r="F38" s="187"/>
      <c r="G38" s="187"/>
      <c r="H38" s="187"/>
    </row>
    <row r="39">
      <c r="A39" s="151"/>
      <c r="B39" s="187"/>
      <c r="C39" s="187"/>
      <c r="D39" s="187"/>
      <c r="E39" s="187"/>
      <c r="F39" s="187"/>
      <c r="G39" s="187"/>
      <c r="H39" s="187"/>
    </row>
    <row r="40">
      <c r="A40" s="151"/>
      <c r="B40" s="187"/>
      <c r="C40" s="187"/>
      <c r="D40" s="187"/>
      <c r="E40" s="187"/>
      <c r="F40" s="187"/>
      <c r="G40" s="187"/>
      <c r="H40" s="187"/>
    </row>
    <row r="41">
      <c r="A41" s="151"/>
      <c r="B41" s="187"/>
      <c r="C41" s="187"/>
      <c r="D41" s="187"/>
      <c r="E41" s="187"/>
      <c r="F41" s="187"/>
      <c r="G41" s="187"/>
      <c r="H41" s="187"/>
    </row>
    <row r="42">
      <c r="A42" s="151"/>
      <c r="B42" s="187"/>
      <c r="C42" s="187"/>
      <c r="D42" s="187"/>
      <c r="E42" s="187"/>
      <c r="F42" s="187"/>
      <c r="G42" s="187"/>
      <c r="H42" s="187"/>
    </row>
    <row r="43">
      <c r="A43" s="151"/>
      <c r="B43" s="187"/>
      <c r="C43" s="187"/>
      <c r="D43" s="187"/>
      <c r="E43" s="187"/>
      <c r="F43" s="187"/>
      <c r="G43" s="187"/>
      <c r="H43" s="187"/>
    </row>
    <row r="44">
      <c r="A44" s="151"/>
      <c r="B44" s="187"/>
      <c r="C44" s="187"/>
      <c r="D44" s="187"/>
      <c r="E44" s="187"/>
      <c r="F44" s="187"/>
      <c r="G44" s="187"/>
      <c r="H44" s="187"/>
    </row>
    <row r="45">
      <c r="A45" s="151"/>
      <c r="B45" s="187"/>
      <c r="C45" s="187"/>
      <c r="D45" s="187"/>
      <c r="E45" s="187"/>
      <c r="F45" s="187"/>
      <c r="G45" s="187"/>
      <c r="H45" s="187"/>
    </row>
    <row r="46">
      <c r="A46" s="151"/>
      <c r="B46" s="187"/>
      <c r="C46" s="187"/>
      <c r="D46" s="187"/>
      <c r="E46" s="187"/>
      <c r="F46" s="187"/>
      <c r="G46" s="187"/>
      <c r="H46" s="187"/>
    </row>
    <row r="47">
      <c r="A47" s="151"/>
      <c r="B47" s="187"/>
      <c r="C47" s="187"/>
      <c r="D47" s="187"/>
      <c r="E47" s="187"/>
      <c r="F47" s="187"/>
      <c r="G47" s="187"/>
      <c r="H47" s="187"/>
    </row>
    <row r="48">
      <c r="A48" s="151"/>
      <c r="B48" s="187"/>
      <c r="C48" s="187"/>
      <c r="D48" s="187"/>
      <c r="E48" s="187"/>
      <c r="F48" s="187"/>
      <c r="G48" s="187"/>
      <c r="H48" s="187"/>
    </row>
    <row r="49">
      <c r="A49" s="151"/>
      <c r="B49" s="187"/>
      <c r="C49" s="187"/>
      <c r="D49" s="187"/>
      <c r="E49" s="187"/>
      <c r="F49" s="187"/>
      <c r="G49" s="187"/>
      <c r="H49" s="187"/>
    </row>
    <row r="50">
      <c r="A50" s="151"/>
      <c r="B50" s="187"/>
      <c r="C50" s="187"/>
      <c r="D50" s="187"/>
      <c r="E50" s="187"/>
      <c r="F50" s="187"/>
      <c r="G50" s="187"/>
      <c r="H50" s="187"/>
    </row>
    <row r="51">
      <c r="A51" s="151"/>
      <c r="B51" s="187"/>
      <c r="C51" s="187"/>
      <c r="D51" s="187"/>
      <c r="E51" s="187"/>
      <c r="F51" s="187"/>
      <c r="G51" s="187"/>
      <c r="H51" s="187"/>
    </row>
    <row r="52">
      <c r="A52" s="151"/>
      <c r="B52" s="187"/>
      <c r="C52" s="187"/>
      <c r="D52" s="187"/>
      <c r="E52" s="187"/>
      <c r="F52" s="187"/>
      <c r="G52" s="187"/>
      <c r="H52" s="187"/>
    </row>
    <row r="53">
      <c r="A53" s="151"/>
      <c r="B53" s="187"/>
      <c r="C53" s="187"/>
      <c r="D53" s="187"/>
      <c r="E53" s="187"/>
      <c r="F53" s="187"/>
      <c r="G53" s="187"/>
      <c r="H53" s="187"/>
    </row>
    <row r="54">
      <c r="A54" s="151"/>
      <c r="B54" s="187"/>
      <c r="C54" s="187"/>
      <c r="D54" s="187"/>
      <c r="E54" s="187"/>
      <c r="F54" s="187"/>
      <c r="G54" s="187"/>
      <c r="H54" s="187"/>
    </row>
    <row r="55">
      <c r="A55" s="151"/>
      <c r="B55" s="187"/>
      <c r="C55" s="187"/>
      <c r="D55" s="187"/>
      <c r="E55" s="187"/>
      <c r="F55" s="187"/>
      <c r="G55" s="187"/>
      <c r="H55" s="187"/>
    </row>
    <row r="56">
      <c r="A56" s="151"/>
      <c r="B56" s="187"/>
      <c r="C56" s="187"/>
      <c r="D56" s="187"/>
      <c r="E56" s="187"/>
      <c r="F56" s="187"/>
      <c r="G56" s="187"/>
      <c r="H56" s="187"/>
    </row>
    <row r="57">
      <c r="A57" s="151"/>
      <c r="B57" s="187"/>
      <c r="C57" s="187"/>
      <c r="D57" s="187"/>
      <c r="E57" s="187"/>
      <c r="F57" s="187"/>
      <c r="G57" s="187"/>
      <c r="H57" s="187"/>
    </row>
    <row r="58">
      <c r="A58" s="151"/>
      <c r="B58" s="187"/>
      <c r="C58" s="187"/>
      <c r="D58" s="187"/>
      <c r="E58" s="187"/>
      <c r="F58" s="187"/>
      <c r="G58" s="187"/>
      <c r="H58" s="187"/>
    </row>
    <row r="59">
      <c r="A59" s="151"/>
      <c r="B59" s="187"/>
      <c r="C59" s="187"/>
      <c r="D59" s="187"/>
      <c r="E59" s="187"/>
      <c r="F59" s="187"/>
      <c r="G59" s="187"/>
      <c r="H59" s="187"/>
    </row>
    <row r="60">
      <c r="A60" s="151"/>
      <c r="B60" s="187"/>
      <c r="C60" s="187"/>
      <c r="D60" s="187"/>
      <c r="E60" s="187"/>
      <c r="F60" s="187"/>
      <c r="G60" s="187"/>
      <c r="H60" s="187"/>
    </row>
    <row r="61">
      <c r="A61" s="151"/>
      <c r="B61" s="187"/>
      <c r="C61" s="187"/>
      <c r="D61" s="187"/>
      <c r="E61" s="187"/>
      <c r="F61" s="187"/>
      <c r="G61" s="187"/>
      <c r="H61" s="187"/>
    </row>
    <row r="62">
      <c r="A62" s="151"/>
      <c r="B62" s="151"/>
      <c r="C62" s="151"/>
      <c r="D62" s="151"/>
      <c r="E62" s="151"/>
      <c r="F62" s="151"/>
      <c r="G62" s="151"/>
      <c r="H62" s="151"/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8" t="s">
        <v>53</v>
      </c>
      <c r="B1" s="188" t="s">
        <v>128</v>
      </c>
      <c r="C1" s="188" t="s">
        <v>129</v>
      </c>
      <c r="D1" s="188" t="s">
        <v>130</v>
      </c>
      <c r="E1" s="188" t="s">
        <v>131</v>
      </c>
      <c r="F1" s="188" t="s">
        <v>132</v>
      </c>
      <c r="G1" s="188" t="s">
        <v>133</v>
      </c>
    </row>
    <row r="2">
      <c r="A2" s="189">
        <v>1.0</v>
      </c>
      <c r="B2" s="190" t="s">
        <v>134</v>
      </c>
      <c r="C2" s="190" t="s">
        <v>135</v>
      </c>
      <c r="D2" s="190" t="s">
        <v>136</v>
      </c>
      <c r="E2" s="189">
        <v>1.15</v>
      </c>
      <c r="F2" s="190" t="s">
        <v>137</v>
      </c>
      <c r="G2" s="191" t="s">
        <v>138</v>
      </c>
    </row>
    <row r="3">
      <c r="A3" s="189">
        <v>1.0</v>
      </c>
      <c r="B3" s="190" t="s">
        <v>134</v>
      </c>
      <c r="C3" s="190" t="s">
        <v>139</v>
      </c>
      <c r="D3" s="190" t="s">
        <v>136</v>
      </c>
      <c r="E3" s="189">
        <v>1.2</v>
      </c>
      <c r="F3" s="190" t="s">
        <v>140</v>
      </c>
      <c r="G3" s="192" t="s">
        <v>141</v>
      </c>
    </row>
    <row r="4">
      <c r="A4" s="189">
        <v>2.0</v>
      </c>
      <c r="B4" s="190" t="s">
        <v>142</v>
      </c>
      <c r="C4" s="190" t="s">
        <v>143</v>
      </c>
      <c r="D4" s="190" t="s">
        <v>144</v>
      </c>
      <c r="E4" s="189">
        <v>1.15</v>
      </c>
      <c r="F4" s="190" t="s">
        <v>145</v>
      </c>
      <c r="G4" s="192" t="s">
        <v>146</v>
      </c>
    </row>
    <row r="5">
      <c r="A5" s="189">
        <v>2.0</v>
      </c>
      <c r="B5" s="190" t="s">
        <v>142</v>
      </c>
      <c r="C5" s="190" t="s">
        <v>147</v>
      </c>
      <c r="D5" s="190" t="s">
        <v>148</v>
      </c>
      <c r="E5" s="189">
        <v>1.0</v>
      </c>
      <c r="F5" s="190" t="s">
        <v>149</v>
      </c>
      <c r="G5" s="192" t="s">
        <v>150</v>
      </c>
    </row>
    <row r="6">
      <c r="A6" s="189">
        <v>2.0</v>
      </c>
      <c r="B6" s="190" t="s">
        <v>134</v>
      </c>
      <c r="C6" s="190" t="s">
        <v>151</v>
      </c>
      <c r="D6" s="190" t="s">
        <v>152</v>
      </c>
      <c r="E6" s="189">
        <v>1.0</v>
      </c>
      <c r="F6" s="190" t="s">
        <v>153</v>
      </c>
      <c r="G6" s="191" t="s">
        <v>154</v>
      </c>
    </row>
    <row r="7">
      <c r="A7" s="189">
        <v>3.0</v>
      </c>
      <c r="B7" s="190" t="s">
        <v>142</v>
      </c>
      <c r="C7" s="190" t="s">
        <v>155</v>
      </c>
      <c r="D7" s="190" t="s">
        <v>156</v>
      </c>
      <c r="E7" s="189">
        <v>1.1</v>
      </c>
      <c r="F7" s="190" t="s">
        <v>157</v>
      </c>
      <c r="G7" s="192" t="s">
        <v>158</v>
      </c>
    </row>
    <row r="8">
      <c r="A8" s="189">
        <v>3.0</v>
      </c>
      <c r="B8" s="190" t="s">
        <v>142</v>
      </c>
      <c r="C8" s="190" t="s">
        <v>159</v>
      </c>
      <c r="D8" s="190" t="s">
        <v>152</v>
      </c>
      <c r="E8" s="189">
        <v>1.05</v>
      </c>
      <c r="F8" s="190" t="s">
        <v>160</v>
      </c>
      <c r="G8" s="191" t="s">
        <v>161</v>
      </c>
    </row>
    <row r="9">
      <c r="A9" s="189">
        <v>3.0</v>
      </c>
      <c r="B9" s="190" t="s">
        <v>134</v>
      </c>
      <c r="C9" s="190" t="s">
        <v>162</v>
      </c>
      <c r="D9" s="190" t="s">
        <v>163</v>
      </c>
      <c r="E9" s="189">
        <v>1.05</v>
      </c>
      <c r="F9" s="190" t="s">
        <v>164</v>
      </c>
      <c r="G9" s="191" t="s">
        <v>165</v>
      </c>
    </row>
    <row r="10">
      <c r="A10" s="189">
        <v>4.0</v>
      </c>
      <c r="B10" s="190" t="s">
        <v>142</v>
      </c>
      <c r="C10" s="190" t="s">
        <v>166</v>
      </c>
      <c r="D10" s="190" t="s">
        <v>167</v>
      </c>
      <c r="E10" s="189">
        <v>0.99</v>
      </c>
      <c r="F10" s="190" t="s">
        <v>168</v>
      </c>
      <c r="G10" s="191" t="s">
        <v>169</v>
      </c>
    </row>
    <row r="11">
      <c r="A11" s="189">
        <v>4.0</v>
      </c>
      <c r="B11" s="190" t="s">
        <v>142</v>
      </c>
      <c r="C11" s="190" t="s">
        <v>170</v>
      </c>
      <c r="D11" s="190" t="s">
        <v>171</v>
      </c>
      <c r="E11" s="189">
        <v>1.11</v>
      </c>
      <c r="F11" s="190" t="s">
        <v>172</v>
      </c>
      <c r="G11" s="192" t="s">
        <v>173</v>
      </c>
    </row>
    <row r="12">
      <c r="A12" s="189">
        <v>4.0</v>
      </c>
      <c r="B12" s="190" t="s">
        <v>134</v>
      </c>
      <c r="C12" s="190" t="s">
        <v>174</v>
      </c>
      <c r="D12" s="190" t="s">
        <v>175</v>
      </c>
      <c r="E12" s="189">
        <v>1.1</v>
      </c>
      <c r="F12" s="190" t="s">
        <v>176</v>
      </c>
      <c r="G12" s="191" t="s">
        <v>177</v>
      </c>
    </row>
    <row r="13">
      <c r="A13" s="189">
        <v>5.0</v>
      </c>
      <c r="B13" s="190" t="s">
        <v>142</v>
      </c>
      <c r="C13" s="190" t="s">
        <v>178</v>
      </c>
      <c r="D13" s="190" t="s">
        <v>179</v>
      </c>
      <c r="E13" s="189">
        <v>1.1</v>
      </c>
      <c r="F13" s="190" t="s">
        <v>180</v>
      </c>
      <c r="G13" s="192" t="s">
        <v>181</v>
      </c>
    </row>
    <row r="14">
      <c r="A14" s="189">
        <v>5.0</v>
      </c>
      <c r="B14" s="190" t="s">
        <v>142</v>
      </c>
      <c r="C14" s="190" t="s">
        <v>182</v>
      </c>
      <c r="D14" s="190" t="s">
        <v>152</v>
      </c>
      <c r="E14" s="189">
        <v>1.0</v>
      </c>
      <c r="F14" s="190" t="s">
        <v>183</v>
      </c>
      <c r="G14" s="192" t="s">
        <v>184</v>
      </c>
    </row>
    <row r="15">
      <c r="A15" s="189">
        <v>5.0</v>
      </c>
      <c r="B15" s="190" t="s">
        <v>142</v>
      </c>
      <c r="C15" s="190" t="s">
        <v>185</v>
      </c>
      <c r="D15" s="190" t="s">
        <v>186</v>
      </c>
      <c r="E15" s="189">
        <v>0.95</v>
      </c>
      <c r="F15" s="190" t="s">
        <v>187</v>
      </c>
      <c r="G15" s="191"/>
    </row>
    <row r="16">
      <c r="A16" s="189">
        <v>5.0</v>
      </c>
      <c r="B16" s="190" t="s">
        <v>134</v>
      </c>
      <c r="C16" s="190" t="s">
        <v>188</v>
      </c>
      <c r="D16" s="190" t="s">
        <v>189</v>
      </c>
      <c r="E16" s="189">
        <v>1.15</v>
      </c>
      <c r="F16" s="190" t="s">
        <v>190</v>
      </c>
      <c r="G16" s="192" t="s">
        <v>191</v>
      </c>
    </row>
    <row r="17">
      <c r="A17" s="189">
        <v>5.0</v>
      </c>
      <c r="B17" s="190" t="s">
        <v>134</v>
      </c>
      <c r="C17" s="190" t="s">
        <v>192</v>
      </c>
      <c r="D17" s="190" t="s">
        <v>193</v>
      </c>
      <c r="E17" s="189">
        <v>0.99</v>
      </c>
      <c r="F17" s="190" t="s">
        <v>194</v>
      </c>
      <c r="G17" s="192" t="s">
        <v>195</v>
      </c>
    </row>
    <row r="18">
      <c r="A18" s="189">
        <v>6.0</v>
      </c>
      <c r="B18" s="190" t="s">
        <v>142</v>
      </c>
      <c r="C18" s="190" t="s">
        <v>196</v>
      </c>
      <c r="D18" s="190" t="s">
        <v>197</v>
      </c>
      <c r="E18" s="189">
        <v>0.97</v>
      </c>
      <c r="F18" s="190" t="s">
        <v>198</v>
      </c>
      <c r="G18" s="192" t="s">
        <v>199</v>
      </c>
    </row>
    <row r="19">
      <c r="A19" s="189">
        <v>6.0</v>
      </c>
      <c r="B19" s="190" t="s">
        <v>142</v>
      </c>
      <c r="C19" s="190" t="s">
        <v>200</v>
      </c>
      <c r="D19" s="190" t="s">
        <v>201</v>
      </c>
      <c r="E19" s="189">
        <v>1.04</v>
      </c>
      <c r="F19" s="190" t="s">
        <v>202</v>
      </c>
      <c r="G19" s="192" t="s">
        <v>203</v>
      </c>
    </row>
    <row r="20">
      <c r="A20" s="189">
        <v>6.0</v>
      </c>
      <c r="B20" s="190" t="s">
        <v>142</v>
      </c>
      <c r="C20" s="190" t="s">
        <v>204</v>
      </c>
      <c r="D20" s="190" t="s">
        <v>205</v>
      </c>
      <c r="E20" s="189">
        <v>0.98</v>
      </c>
      <c r="F20" s="190" t="s">
        <v>206</v>
      </c>
      <c r="G20" s="191"/>
    </row>
    <row r="21">
      <c r="A21" s="189">
        <v>6.0</v>
      </c>
      <c r="B21" s="190" t="s">
        <v>142</v>
      </c>
      <c r="C21" s="190" t="s">
        <v>207</v>
      </c>
      <c r="D21" s="190" t="s">
        <v>208</v>
      </c>
      <c r="E21" s="189">
        <v>0.97</v>
      </c>
      <c r="F21" s="190" t="s">
        <v>209</v>
      </c>
      <c r="G21" s="191"/>
    </row>
    <row r="22">
      <c r="A22" s="189">
        <v>6.0</v>
      </c>
      <c r="B22" s="190" t="s">
        <v>134</v>
      </c>
      <c r="C22" s="190" t="s">
        <v>210</v>
      </c>
      <c r="D22" s="190" t="s">
        <v>152</v>
      </c>
      <c r="E22" s="189">
        <v>1.0</v>
      </c>
      <c r="F22" s="190" t="s">
        <v>211</v>
      </c>
      <c r="G22" s="191"/>
    </row>
    <row r="23">
      <c r="A23" s="189">
        <v>6.0</v>
      </c>
      <c r="B23" s="190" t="s">
        <v>134</v>
      </c>
      <c r="C23" s="190" t="s">
        <v>212</v>
      </c>
      <c r="D23" s="190" t="s">
        <v>136</v>
      </c>
      <c r="E23" s="189">
        <v>1.15</v>
      </c>
      <c r="F23" s="190" t="s">
        <v>213</v>
      </c>
      <c r="G23" s="192" t="s">
        <v>214</v>
      </c>
    </row>
    <row r="24">
      <c r="A24" s="189">
        <v>6.0</v>
      </c>
      <c r="B24" s="190" t="s">
        <v>134</v>
      </c>
      <c r="C24" s="190" t="s">
        <v>215</v>
      </c>
      <c r="D24" s="190" t="s">
        <v>175</v>
      </c>
      <c r="E24" s="189">
        <v>0.95</v>
      </c>
      <c r="F24" s="190" t="s">
        <v>202</v>
      </c>
      <c r="G24" s="192" t="s">
        <v>216</v>
      </c>
    </row>
    <row r="25">
      <c r="A25" s="189">
        <v>7.0</v>
      </c>
      <c r="B25" s="190" t="s">
        <v>142</v>
      </c>
      <c r="C25" s="190" t="s">
        <v>217</v>
      </c>
      <c r="D25" s="190" t="s">
        <v>218</v>
      </c>
      <c r="E25" s="189">
        <v>1.05</v>
      </c>
      <c r="F25" s="190" t="s">
        <v>219</v>
      </c>
      <c r="G25" s="192" t="s">
        <v>220</v>
      </c>
    </row>
    <row r="26">
      <c r="A26" s="189">
        <v>7.0</v>
      </c>
      <c r="B26" s="190" t="s">
        <v>142</v>
      </c>
      <c r="C26" s="190" t="s">
        <v>221</v>
      </c>
      <c r="D26" s="190" t="s">
        <v>222</v>
      </c>
      <c r="E26" s="189">
        <v>0.95</v>
      </c>
      <c r="F26" s="190" t="s">
        <v>223</v>
      </c>
      <c r="G26" s="192" t="s">
        <v>224</v>
      </c>
    </row>
    <row r="27">
      <c r="A27" s="189">
        <v>7.0</v>
      </c>
      <c r="B27" s="190" t="s">
        <v>134</v>
      </c>
      <c r="C27" s="190" t="s">
        <v>225</v>
      </c>
      <c r="D27" s="190" t="s">
        <v>226</v>
      </c>
      <c r="E27" s="189">
        <v>0.95</v>
      </c>
      <c r="F27" s="190" t="s">
        <v>227</v>
      </c>
      <c r="G27" s="192" t="s">
        <v>228</v>
      </c>
    </row>
    <row r="28">
      <c r="A28" s="189">
        <v>7.0</v>
      </c>
      <c r="B28" s="190" t="s">
        <v>142</v>
      </c>
      <c r="C28" s="190" t="s">
        <v>229</v>
      </c>
      <c r="D28" s="190" t="s">
        <v>193</v>
      </c>
      <c r="E28" s="189">
        <v>0.97</v>
      </c>
      <c r="F28" s="190" t="s">
        <v>230</v>
      </c>
      <c r="G28" s="191"/>
    </row>
    <row r="29">
      <c r="A29" s="189">
        <v>7.0</v>
      </c>
      <c r="B29" s="190" t="s">
        <v>142</v>
      </c>
      <c r="C29" s="190" t="s">
        <v>231</v>
      </c>
      <c r="D29" s="190" t="s">
        <v>232</v>
      </c>
      <c r="E29" s="189">
        <v>0.96</v>
      </c>
      <c r="F29" s="190" t="s">
        <v>233</v>
      </c>
      <c r="G29" s="191"/>
    </row>
    <row r="30">
      <c r="A30" s="189">
        <v>7.0</v>
      </c>
      <c r="B30" s="190" t="s">
        <v>142</v>
      </c>
      <c r="C30" s="190" t="s">
        <v>234</v>
      </c>
      <c r="D30" s="190" t="s">
        <v>235</v>
      </c>
      <c r="E30" s="189">
        <v>0.99</v>
      </c>
      <c r="F30" s="190" t="s">
        <v>236</v>
      </c>
      <c r="G30" s="191"/>
    </row>
    <row r="31">
      <c r="A31" s="189">
        <v>7.0</v>
      </c>
      <c r="B31" s="190" t="s">
        <v>134</v>
      </c>
      <c r="C31" s="190" t="s">
        <v>237</v>
      </c>
      <c r="D31" s="190" t="s">
        <v>175</v>
      </c>
      <c r="E31" s="189">
        <v>0.98</v>
      </c>
      <c r="F31" s="190" t="s">
        <v>238</v>
      </c>
      <c r="G31" s="191"/>
    </row>
    <row r="32">
      <c r="A32" s="189">
        <v>7.0</v>
      </c>
      <c r="B32" s="190" t="s">
        <v>134</v>
      </c>
      <c r="C32" s="190" t="s">
        <v>239</v>
      </c>
      <c r="D32" s="190" t="s">
        <v>240</v>
      </c>
      <c r="E32" s="189">
        <v>0.95</v>
      </c>
      <c r="F32" s="190" t="s">
        <v>241</v>
      </c>
      <c r="G32" s="192" t="s">
        <v>242</v>
      </c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</row>
    <row r="38">
      <c r="A38" s="98" t="s">
        <v>243</v>
      </c>
      <c r="B38" s="162" t="s">
        <v>18</v>
      </c>
      <c r="C38" s="162" t="s">
        <v>19</v>
      </c>
      <c r="D38" s="162" t="s">
        <v>20</v>
      </c>
      <c r="E38" s="162" t="s">
        <v>22</v>
      </c>
      <c r="F38" s="162" t="s">
        <v>21</v>
      </c>
      <c r="G38" s="162" t="s">
        <v>23</v>
      </c>
      <c r="H38" s="193" t="s">
        <v>24</v>
      </c>
      <c r="I38" s="159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194" t="s">
        <v>142</v>
      </c>
      <c r="B39" s="43">
        <f t="array" ref="B39:H39">{
  COUNTIFS(A2:A37, 1, B2:B37, "Organic"),
  COUNTIFS(A2:A37, 2, B2:B37, "Organic"),
  COUNTIFS(A2:A37, 3, B2:B37, "Organic"),
  COUNTIFS(A2:A37, 4, B2:B37, "Organic"),
  COUNTIFS(A2:A37, 5, B2:B37, "Organic"),
  COUNTIFS(A2:A37, 6, B2:B37, "Organic"),
  COUNTIFS(A2:A37, 7, B2:B37, "Organic")
}</f>
        <v>0</v>
      </c>
      <c r="C39" s="43">
        <v>2.0</v>
      </c>
      <c r="D39" s="43">
        <v>2.0</v>
      </c>
      <c r="E39" s="43">
        <v>2.0</v>
      </c>
      <c r="F39" s="43">
        <v>3.0</v>
      </c>
      <c r="G39" s="43">
        <v>4.0</v>
      </c>
      <c r="H39" s="195">
        <v>5.0</v>
      </c>
      <c r="I39" s="43"/>
      <c r="J39" s="43"/>
      <c r="K39" s="43"/>
      <c r="L39" s="43"/>
      <c r="M39" s="43"/>
    </row>
    <row r="40">
      <c r="A40" s="194" t="s">
        <v>134</v>
      </c>
      <c r="B40" s="43">
        <f t="array" ref="B40:H40">{
  COUNTIFS(A2:A37, 1, B2:B37, "Acquisition"),
  COUNTIFS(A2:A37, 2, B2:B37, "Acquisition"),
  COUNTIFS(A2:A37, 3, B2:B37, "Acquisition"),
  COUNTIFS(A2:A37, 4, B2:B37, "Acquisition"),
  COUNTIFS(A2:A37, 5, B2:B37, "Acquisition"),
  COUNTIFS(A2:A37, 6, B2:B37, "Acquisition"),
  COUNTIFS(A2:A37, 7, B2:B37, "Acquisition")
}</f>
        <v>2</v>
      </c>
      <c r="C40" s="43">
        <v>1.0</v>
      </c>
      <c r="D40" s="43">
        <v>1.0</v>
      </c>
      <c r="E40" s="43">
        <v>1.0</v>
      </c>
      <c r="F40" s="43">
        <v>2.0</v>
      </c>
      <c r="G40" s="43">
        <v>3.0</v>
      </c>
      <c r="H40" s="195">
        <v>3.0</v>
      </c>
      <c r="I40" s="43"/>
      <c r="J40" s="43"/>
      <c r="K40" s="43"/>
      <c r="L40" s="43"/>
      <c r="M40" s="43"/>
    </row>
    <row r="41">
      <c r="A41" s="98" t="s">
        <v>244</v>
      </c>
      <c r="B41" s="196">
        <f t="shared" ref="B41:H41" si="1">SUM(B39:B40)</f>
        <v>2</v>
      </c>
      <c r="C41" s="196">
        <f t="shared" si="1"/>
        <v>3</v>
      </c>
      <c r="D41" s="196">
        <f t="shared" si="1"/>
        <v>3</v>
      </c>
      <c r="E41" s="196">
        <f t="shared" si="1"/>
        <v>3</v>
      </c>
      <c r="F41" s="196">
        <f t="shared" si="1"/>
        <v>5</v>
      </c>
      <c r="G41" s="196">
        <f t="shared" si="1"/>
        <v>7</v>
      </c>
      <c r="H41" s="197">
        <f t="shared" si="1"/>
        <v>8</v>
      </c>
      <c r="I41" s="43"/>
      <c r="J41" s="43"/>
      <c r="K41" s="43"/>
      <c r="L41" s="43"/>
      <c r="M41" s="43"/>
    </row>
    <row r="42">
      <c r="A42" s="198"/>
      <c r="B42" s="43"/>
      <c r="C42" s="43"/>
      <c r="D42" s="43"/>
      <c r="E42" s="43"/>
      <c r="F42" s="43"/>
      <c r="G42" s="43"/>
      <c r="H42" s="195"/>
      <c r="I42" s="43"/>
      <c r="J42" s="43"/>
      <c r="K42" s="43"/>
      <c r="L42" s="43"/>
      <c r="M42" s="43"/>
    </row>
    <row r="43">
      <c r="A43" s="98" t="s">
        <v>245</v>
      </c>
      <c r="B43" s="196">
        <f t="shared" ref="B43:D43" si="2">sum($B$41:B41)</f>
        <v>2</v>
      </c>
      <c r="C43" s="196">
        <f t="shared" si="2"/>
        <v>5</v>
      </c>
      <c r="D43" s="196">
        <f t="shared" si="2"/>
        <v>8</v>
      </c>
      <c r="E43" s="196">
        <f>sum($B$41:F41)</f>
        <v>16</v>
      </c>
      <c r="F43" s="196">
        <f t="shared" ref="F43:H43" si="3">sum($B$41:F41)</f>
        <v>16</v>
      </c>
      <c r="G43" s="196">
        <f t="shared" si="3"/>
        <v>23</v>
      </c>
      <c r="H43" s="197">
        <f t="shared" si="3"/>
        <v>31</v>
      </c>
      <c r="I43" s="43"/>
      <c r="J43" s="43"/>
      <c r="K43" s="43"/>
      <c r="L43" s="43"/>
      <c r="M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>
      <c r="A45" s="157" t="s">
        <v>246</v>
      </c>
      <c r="B45" s="199">
        <f>B40*InputVariables!$E$13</f>
        <v>6750000</v>
      </c>
      <c r="C45" s="199">
        <f>C40*InputVariables!$E$13</f>
        <v>3375000</v>
      </c>
      <c r="D45" s="199">
        <f>D40*InputVariables!$E$13</f>
        <v>3375000</v>
      </c>
      <c r="E45" s="199">
        <f>E40*InputVariables!$E$13</f>
        <v>3375000</v>
      </c>
      <c r="F45" s="199">
        <f>F40*InputVariables!$E$13</f>
        <v>6750000</v>
      </c>
      <c r="G45" s="199">
        <f>G40*InputVariables!$E$13</f>
        <v>10125000</v>
      </c>
      <c r="H45" s="199">
        <f>H40*InputVariables!$E$13</f>
        <v>10125000</v>
      </c>
      <c r="I45" s="43"/>
      <c r="J45" s="43"/>
      <c r="K45" s="43"/>
      <c r="L45" s="43"/>
      <c r="M45" s="43"/>
    </row>
    <row r="46">
      <c r="A46" s="157" t="s">
        <v>247</v>
      </c>
      <c r="B46" s="199">
        <f t="shared" ref="B46:D46" si="4">sum($B$45:B45)</f>
        <v>6750000</v>
      </c>
      <c r="C46" s="199">
        <f t="shared" si="4"/>
        <v>10125000</v>
      </c>
      <c r="D46" s="199">
        <f t="shared" si="4"/>
        <v>13500000</v>
      </c>
      <c r="E46" s="199">
        <f>sum($B$45:F45)</f>
        <v>23625000</v>
      </c>
      <c r="F46" s="199">
        <f t="shared" ref="F46:H46" si="5">sum($B$45:F45)</f>
        <v>23625000</v>
      </c>
      <c r="G46" s="199">
        <f t="shared" si="5"/>
        <v>33750000</v>
      </c>
      <c r="H46" s="199">
        <f t="shared" si="5"/>
        <v>43875000</v>
      </c>
      <c r="I46" s="43"/>
      <c r="J46" s="43"/>
      <c r="K46" s="43"/>
      <c r="L46" s="43"/>
      <c r="M46" s="43"/>
    </row>
    <row r="47">
      <c r="A47" s="157" t="s">
        <v>248</v>
      </c>
      <c r="B47" s="199">
        <f>B39*InputVariables!$E$15</f>
        <v>0</v>
      </c>
      <c r="C47" s="199">
        <f>C39*InputVariables!$E$15</f>
        <v>8000000</v>
      </c>
      <c r="D47" s="199">
        <f>D39*InputVariables!$E$15</f>
        <v>8000000</v>
      </c>
      <c r="E47" s="199">
        <f>E39*InputVariables!$E$15</f>
        <v>8000000</v>
      </c>
      <c r="F47" s="199">
        <f>F39*InputVariables!$E$15</f>
        <v>12000000</v>
      </c>
      <c r="G47" s="199">
        <f>G39*InputVariables!$E$15</f>
        <v>16000000</v>
      </c>
      <c r="H47" s="199">
        <f>H39*InputVariables!$E$15</f>
        <v>20000000</v>
      </c>
      <c r="I47" s="43"/>
      <c r="J47" s="43"/>
      <c r="K47" s="43"/>
      <c r="L47" s="43"/>
      <c r="M47" s="43"/>
    </row>
    <row r="48">
      <c r="A48" s="157" t="s">
        <v>249</v>
      </c>
      <c r="B48" s="199">
        <f t="shared" ref="B48:D48" si="6">sum($B$47:B47)</f>
        <v>0</v>
      </c>
      <c r="C48" s="199">
        <f t="shared" si="6"/>
        <v>8000000</v>
      </c>
      <c r="D48" s="199">
        <f t="shared" si="6"/>
        <v>16000000</v>
      </c>
      <c r="E48" s="199">
        <f>sum($B$47:F47)</f>
        <v>36000000</v>
      </c>
      <c r="F48" s="199">
        <f t="shared" ref="F48:H48" si="7">sum($B$47:F47)</f>
        <v>36000000</v>
      </c>
      <c r="G48" s="199">
        <f t="shared" si="7"/>
        <v>52000000</v>
      </c>
      <c r="H48" s="199">
        <f t="shared" si="7"/>
        <v>72000000</v>
      </c>
      <c r="I48" s="43"/>
      <c r="J48" s="43"/>
      <c r="K48" s="43"/>
      <c r="L48" s="43"/>
      <c r="M48" s="43"/>
    </row>
    <row r="49">
      <c r="A49" s="157" t="s">
        <v>250</v>
      </c>
      <c r="B49" s="199">
        <f t="shared" ref="B49:H49" si="8">SUM(B45,B47)</f>
        <v>6750000</v>
      </c>
      <c r="C49" s="199">
        <f t="shared" si="8"/>
        <v>11375000</v>
      </c>
      <c r="D49" s="199">
        <f t="shared" si="8"/>
        <v>11375000</v>
      </c>
      <c r="E49" s="199">
        <f t="shared" si="8"/>
        <v>11375000</v>
      </c>
      <c r="F49" s="199">
        <f t="shared" si="8"/>
        <v>18750000</v>
      </c>
      <c r="G49" s="199">
        <f t="shared" si="8"/>
        <v>26125000</v>
      </c>
      <c r="H49" s="199">
        <f t="shared" si="8"/>
        <v>30125000</v>
      </c>
      <c r="I49" s="43"/>
      <c r="J49" s="43"/>
      <c r="K49" s="43"/>
      <c r="L49" s="43"/>
      <c r="M49" s="43"/>
    </row>
    <row r="50">
      <c r="A50" s="157" t="s">
        <v>251</v>
      </c>
      <c r="B50" s="199">
        <f t="shared" ref="B50:H50" si="9">B46+B48</f>
        <v>6750000</v>
      </c>
      <c r="C50" s="199">
        <f t="shared" si="9"/>
        <v>18125000</v>
      </c>
      <c r="D50" s="199">
        <f t="shared" si="9"/>
        <v>29500000</v>
      </c>
      <c r="E50" s="199">
        <f t="shared" si="9"/>
        <v>59625000</v>
      </c>
      <c r="F50" s="199">
        <f t="shared" si="9"/>
        <v>59625000</v>
      </c>
      <c r="G50" s="199">
        <f t="shared" si="9"/>
        <v>85750000</v>
      </c>
      <c r="H50" s="199">
        <f t="shared" si="9"/>
        <v>115875000</v>
      </c>
      <c r="I50" s="43"/>
      <c r="J50" s="43"/>
      <c r="K50" s="43"/>
      <c r="L50" s="43"/>
      <c r="M50" s="43"/>
    </row>
    <row r="51">
      <c r="A51" s="157"/>
      <c r="B51" s="127"/>
      <c r="I51" s="43"/>
      <c r="J51" s="43"/>
      <c r="K51" s="43"/>
      <c r="L51" s="43"/>
      <c r="M51" s="43"/>
    </row>
    <row r="52">
      <c r="A52" s="157"/>
      <c r="B52" s="127"/>
      <c r="I52" s="43"/>
      <c r="J52" s="43"/>
      <c r="K52" s="43"/>
      <c r="L52" s="43"/>
      <c r="M52" s="43"/>
    </row>
    <row r="53">
      <c r="A53" s="159"/>
      <c r="B53" s="127"/>
      <c r="I53" s="43"/>
      <c r="J53" s="43"/>
      <c r="K53" s="43"/>
      <c r="L53" s="43"/>
      <c r="M53" s="43"/>
    </row>
    <row r="54">
      <c r="A54" s="96"/>
      <c r="B54" s="127"/>
      <c r="I54" s="43"/>
      <c r="J54" s="43"/>
      <c r="K54" s="43"/>
      <c r="L54" s="43"/>
      <c r="M54" s="43"/>
    </row>
    <row r="55">
      <c r="A55" s="96"/>
      <c r="B55" s="127"/>
      <c r="I55" s="43"/>
      <c r="J55" s="43"/>
      <c r="K55" s="43"/>
      <c r="L55" s="43"/>
      <c r="M55" s="43"/>
    </row>
    <row r="56">
      <c r="A56" s="96"/>
      <c r="B56" s="127"/>
      <c r="I56" s="43"/>
      <c r="J56" s="43"/>
      <c r="K56" s="43"/>
      <c r="L56" s="43"/>
      <c r="M56" s="43"/>
    </row>
    <row r="57">
      <c r="A57" s="96"/>
      <c r="B57" s="127"/>
      <c r="I57" s="43"/>
      <c r="J57" s="43"/>
      <c r="K57" s="43"/>
      <c r="L57" s="43"/>
      <c r="M57" s="43"/>
    </row>
    <row r="58">
      <c r="A58" s="96"/>
      <c r="I58" s="43"/>
      <c r="J58" s="43"/>
      <c r="K58" s="43"/>
      <c r="L58" s="43"/>
      <c r="M58" s="43"/>
    </row>
    <row r="59">
      <c r="A59" s="43"/>
      <c r="I59" s="43"/>
      <c r="J59" s="43"/>
      <c r="K59" s="43"/>
      <c r="L59" s="43"/>
      <c r="M59" s="43"/>
    </row>
    <row r="60">
      <c r="A60" s="159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</row>
  </sheetData>
  <hyperlinks>
    <hyperlink r:id="rId1" location=":~:text=The%20Bay%20Area%20is%20home,in%20the%20United%20States%2C%20with" ref="G3"/>
    <hyperlink r:id="rId2" location=":~:text=Violence%20and%20property%20crime%20are,year%20high.%20Reports%20of" ref="G4"/>
    <hyperlink r:id="rId3" location=":~:text=The%20city%20of%20Phoenix%20has,shows%20no%20signs%20of%20slowing" ref="G5"/>
    <hyperlink r:id="rId4" location=":~:text=Boulder%20County%20Protects%20Residents%20with,were%20destroyed%2C%20and%20thousands" ref="G7"/>
    <hyperlink r:id="rId5" location=":~:text=Washington,83%20%2462%2C428%20%2456%2C703" ref="G11"/>
    <hyperlink r:id="rId6" location=":~:text=%24%2091.17%20Boston,NH%20%28Metropolitan%20Statistical%20Area%29Suffolk%20MA" ref="G13"/>
    <hyperlink r:id="rId7" location=":~:text=Austin%20is%20rapidly%20becoming%20a,a%20high%20quality%20of%20life" ref="G14"/>
    <hyperlink r:id="rId8" location=":~:text=City%20Name%20Population%20New%20York,6%2C272%2C000%20%2026%205%2C861%2C000" ref="G16"/>
    <hyperlink r:id="rId9" location=":~:text=Philadelphia%20consistently%20ranks%20above%20the,of%20the%20Top%2010" ref="G17"/>
    <hyperlink r:id="rId10" location=":~:text=People%20Moving%20to%20Charlotte%20Region,and%20surpasses%20other%20notable" ref="G18"/>
    <hyperlink r:id="rId11" location=":~:text=Violent%20crime%20surged%20nearly%2017,state%20Bureau%20of%20Criminal%20Apprehension" ref="G19"/>
    <hyperlink r:id="rId12" location=":~:text=Metropolitan%20Area%20Real%20Value%20of,28%20%2485%2C136%20%2474%2C307" ref="G23"/>
    <hyperlink r:id="rId13" location=":~:text=San%20Diego%20%203%2C373%2C000%20,3%2C040%2C000%20%2035%203%2C039%2C000" ref="G24"/>
    <hyperlink r:id="rId14" location=":~:text=Oregon%27s%20governor%20on%20her%20state%27s,say%20they%20need%20twice" ref="G25"/>
    <hyperlink r:id="rId15" location=":~:text=Projections%20show%20the%20population%20of,percent%20from%202010%20to%202025" ref="G26"/>
    <hyperlink r:id="rId16" location=":~:text=Firm%20goldbergloren,theft%2C%20and%20vandalism%20are" ref="G27"/>
    <hyperlink r:id="rId17" location=":~:text=Fastest%20Growing%20States%202024%20,5" ref="G32"/>
  </hyperlinks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min="2" max="2" width="17.71"/>
    <col customWidth="1" min="3" max="3" width="15.86"/>
    <col customWidth="1" min="4" max="4" width="43.29"/>
    <col customWidth="1" min="5" max="5" width="10.71"/>
    <col customWidth="1" min="6" max="6" width="9.86"/>
    <col customWidth="1" min="7" max="7" width="18.29"/>
    <col customWidth="1" min="8" max="8" width="20.57"/>
    <col customWidth="1" min="9" max="9" width="9.86"/>
    <col customWidth="1" min="10" max="10" width="11.71"/>
    <col customWidth="1" min="11" max="11" width="52.71"/>
    <col customWidth="1" min="12" max="12" width="32.57"/>
    <col customWidth="1" min="13" max="27" width="9.86"/>
  </cols>
  <sheetData>
    <row r="1">
      <c r="A1" s="200" t="s">
        <v>252</v>
      </c>
      <c r="B1" s="200" t="s">
        <v>253</v>
      </c>
      <c r="C1" s="200" t="s">
        <v>254</v>
      </c>
      <c r="D1" s="200" t="s">
        <v>255</v>
      </c>
      <c r="E1" s="200" t="s">
        <v>256</v>
      </c>
      <c r="F1" s="201" t="s">
        <v>257</v>
      </c>
      <c r="G1" s="200" t="s">
        <v>9</v>
      </c>
      <c r="H1" s="200" t="s">
        <v>10</v>
      </c>
      <c r="I1" s="200" t="s">
        <v>11</v>
      </c>
      <c r="J1" s="201" t="s">
        <v>12</v>
      </c>
      <c r="K1" s="200" t="s">
        <v>133</v>
      </c>
      <c r="L1" s="202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>
      <c r="A2" s="203" t="s">
        <v>5</v>
      </c>
      <c r="B2" s="203" t="s">
        <v>6</v>
      </c>
      <c r="C2" s="203" t="s">
        <v>258</v>
      </c>
      <c r="D2" s="203" t="s">
        <v>259</v>
      </c>
      <c r="E2" s="204">
        <v>140.0</v>
      </c>
      <c r="F2" s="205">
        <v>3000.0</v>
      </c>
      <c r="G2" s="205">
        <f t="shared" ref="G2:G33" si="1">F2*E2</f>
        <v>420000</v>
      </c>
      <c r="H2" s="206">
        <f>G2 * (1 - VLOOKUP(C2, InputVariables!$A:$B, 2, FALSE))</f>
        <v>336000</v>
      </c>
      <c r="I2" s="203">
        <f>0.5*E2</f>
        <v>70</v>
      </c>
      <c r="J2" s="206">
        <f>I2*InputVariables!$E$2</f>
        <v>8750</v>
      </c>
      <c r="K2" s="203" t="s">
        <v>260</v>
      </c>
      <c r="L2" s="207"/>
    </row>
    <row r="3">
      <c r="A3" s="203" t="s">
        <v>5</v>
      </c>
      <c r="B3" s="203" t="s">
        <v>6</v>
      </c>
      <c r="C3" s="203" t="s">
        <v>258</v>
      </c>
      <c r="D3" s="203" t="s">
        <v>261</v>
      </c>
      <c r="E3" s="204">
        <v>6.0</v>
      </c>
      <c r="F3" s="205">
        <v>2000.0</v>
      </c>
      <c r="G3" s="205">
        <f t="shared" si="1"/>
        <v>12000</v>
      </c>
      <c r="H3" s="206">
        <f>G3 * (1 - VLOOKUP(C3, InputVariables!$A:$B, 2, FALSE))</f>
        <v>9600</v>
      </c>
      <c r="I3" s="203">
        <v>8.0</v>
      </c>
      <c r="J3" s="206">
        <f>I3*InputVariables!$E$2</f>
        <v>1000</v>
      </c>
      <c r="K3" s="203" t="s">
        <v>262</v>
      </c>
      <c r="L3" s="207"/>
    </row>
    <row r="4">
      <c r="A4" s="203" t="s">
        <v>5</v>
      </c>
      <c r="B4" s="203" t="s">
        <v>6</v>
      </c>
      <c r="C4" s="203" t="s">
        <v>258</v>
      </c>
      <c r="D4" s="203" t="s">
        <v>263</v>
      </c>
      <c r="E4" s="203">
        <v>2.0</v>
      </c>
      <c r="F4" s="205">
        <v>442.0</v>
      </c>
      <c r="G4" s="205">
        <f t="shared" si="1"/>
        <v>884</v>
      </c>
      <c r="H4" s="206">
        <f>G4 * (1 - VLOOKUP(C4, InputVariables!$A:$B, 2, FALSE))</f>
        <v>707.2</v>
      </c>
      <c r="I4" s="203">
        <v>4.0</v>
      </c>
      <c r="J4" s="206">
        <f>I4*InputVariables!$E$2</f>
        <v>500</v>
      </c>
      <c r="K4" s="203" t="s">
        <v>264</v>
      </c>
      <c r="L4" s="207"/>
    </row>
    <row r="5">
      <c r="A5" s="203" t="s">
        <v>5</v>
      </c>
      <c r="B5" s="203" t="s">
        <v>6</v>
      </c>
      <c r="C5" s="203" t="s">
        <v>265</v>
      </c>
      <c r="D5" s="203" t="s">
        <v>266</v>
      </c>
      <c r="E5" s="203">
        <v>4.0</v>
      </c>
      <c r="F5" s="205">
        <v>250.0</v>
      </c>
      <c r="G5" s="205">
        <f t="shared" si="1"/>
        <v>1000</v>
      </c>
      <c r="H5" s="206">
        <f>G5 * (1 - VLOOKUP(C5, InputVariables!$A:$B, 2, FALSE))</f>
        <v>850</v>
      </c>
      <c r="I5" s="203">
        <v>4.0</v>
      </c>
      <c r="J5" s="206">
        <f>I5*InputVariables!$E$2</f>
        <v>500</v>
      </c>
      <c r="K5" s="203" t="s">
        <v>267</v>
      </c>
      <c r="L5" s="207"/>
    </row>
    <row r="6">
      <c r="A6" s="203" t="s">
        <v>5</v>
      </c>
      <c r="B6" s="203" t="s">
        <v>6</v>
      </c>
      <c r="C6" s="203" t="s">
        <v>265</v>
      </c>
      <c r="D6" s="203" t="s">
        <v>268</v>
      </c>
      <c r="E6" s="203">
        <v>8.0</v>
      </c>
      <c r="F6" s="205">
        <v>50.0</v>
      </c>
      <c r="G6" s="205">
        <f t="shared" si="1"/>
        <v>400</v>
      </c>
      <c r="H6" s="206">
        <f>G6 * (1 - VLOOKUP(C6, InputVariables!$A:$B, 2, FALSE))</f>
        <v>340</v>
      </c>
      <c r="I6" s="203">
        <v>4.0</v>
      </c>
      <c r="J6" s="206">
        <f>I6*InputVariables!$E$2</f>
        <v>500</v>
      </c>
      <c r="K6" s="203" t="s">
        <v>269</v>
      </c>
      <c r="L6" s="207"/>
    </row>
    <row r="7">
      <c r="A7" s="203" t="s">
        <v>5</v>
      </c>
      <c r="B7" s="203" t="s">
        <v>6</v>
      </c>
      <c r="C7" s="203" t="s">
        <v>265</v>
      </c>
      <c r="D7" s="203" t="s">
        <v>270</v>
      </c>
      <c r="E7" s="203">
        <v>8.0</v>
      </c>
      <c r="F7" s="205">
        <v>100.0</v>
      </c>
      <c r="G7" s="205">
        <f t="shared" si="1"/>
        <v>800</v>
      </c>
      <c r="H7" s="206">
        <f>G7 * (1 - VLOOKUP(C7, InputVariables!$A:$B, 2, FALSE))</f>
        <v>680</v>
      </c>
      <c r="I7" s="203">
        <v>4.0</v>
      </c>
      <c r="J7" s="206">
        <f>I7*InputVariables!$E$2</f>
        <v>500</v>
      </c>
      <c r="K7" s="203" t="s">
        <v>271</v>
      </c>
      <c r="L7" s="207"/>
    </row>
    <row r="8">
      <c r="A8" s="203" t="s">
        <v>5</v>
      </c>
      <c r="B8" s="203" t="s">
        <v>6</v>
      </c>
      <c r="C8" s="203" t="s">
        <v>265</v>
      </c>
      <c r="D8" s="203" t="s">
        <v>272</v>
      </c>
      <c r="E8" s="204">
        <v>6.0</v>
      </c>
      <c r="F8" s="205">
        <v>500.0</v>
      </c>
      <c r="G8" s="205">
        <f t="shared" si="1"/>
        <v>3000</v>
      </c>
      <c r="H8" s="206">
        <f>G8 * (1 - VLOOKUP(C8, InputVariables!$A:$B, 2, FALSE))</f>
        <v>2550</v>
      </c>
      <c r="I8" s="203">
        <v>8.0</v>
      </c>
      <c r="J8" s="206">
        <f>I8*InputVariables!$E$2</f>
        <v>1000</v>
      </c>
      <c r="K8" s="203" t="s">
        <v>273</v>
      </c>
      <c r="L8" s="207"/>
    </row>
    <row r="9">
      <c r="A9" s="203" t="s">
        <v>5</v>
      </c>
      <c r="B9" s="203" t="s">
        <v>6</v>
      </c>
      <c r="C9" s="203" t="s">
        <v>265</v>
      </c>
      <c r="D9" s="203" t="s">
        <v>274</v>
      </c>
      <c r="E9" s="203">
        <v>4.0</v>
      </c>
      <c r="F9" s="205">
        <v>919.0</v>
      </c>
      <c r="G9" s="205">
        <f t="shared" si="1"/>
        <v>3676</v>
      </c>
      <c r="H9" s="206">
        <f>G9 * (1 - VLOOKUP(C9, InputVariables!$A:$B, 2, FALSE))</f>
        <v>3124.6</v>
      </c>
      <c r="I9" s="203">
        <v>40.0</v>
      </c>
      <c r="J9" s="206">
        <f>I9*InputVariables!$E$2</f>
        <v>5000</v>
      </c>
      <c r="K9" s="203"/>
      <c r="L9" s="207"/>
    </row>
    <row r="10">
      <c r="A10" s="203" t="s">
        <v>5</v>
      </c>
      <c r="B10" s="203" t="s">
        <v>6</v>
      </c>
      <c r="C10" s="203" t="s">
        <v>265</v>
      </c>
      <c r="D10" s="203" t="s">
        <v>275</v>
      </c>
      <c r="E10" s="203">
        <v>4.0</v>
      </c>
      <c r="F10" s="205">
        <v>1392.0</v>
      </c>
      <c r="G10" s="205">
        <f t="shared" si="1"/>
        <v>5568</v>
      </c>
      <c r="H10" s="206">
        <f>G10 * (1 - VLOOKUP(C10, InputVariables!$A:$B, 2, FALSE))</f>
        <v>4732.8</v>
      </c>
      <c r="I10" s="203">
        <v>20.0</v>
      </c>
      <c r="J10" s="206">
        <f>I10*InputVariables!$E$2</f>
        <v>2500</v>
      </c>
      <c r="K10" s="203"/>
      <c r="L10" s="207"/>
    </row>
    <row r="11">
      <c r="A11" s="203" t="s">
        <v>5</v>
      </c>
      <c r="B11" s="203" t="s">
        <v>6</v>
      </c>
      <c r="C11" s="203" t="s">
        <v>265</v>
      </c>
      <c r="D11" s="204" t="s">
        <v>276</v>
      </c>
      <c r="E11" s="203">
        <v>4.0</v>
      </c>
      <c r="F11" s="205">
        <v>561.0</v>
      </c>
      <c r="G11" s="205">
        <f t="shared" si="1"/>
        <v>2244</v>
      </c>
      <c r="H11" s="206">
        <f>G11 * (1 - VLOOKUP(C11, InputVariables!$A:$B, 2, FALSE))</f>
        <v>1907.4</v>
      </c>
      <c r="I11" s="203">
        <v>8.0</v>
      </c>
      <c r="J11" s="206">
        <f>I11*InputVariables!$E$2</f>
        <v>1000</v>
      </c>
      <c r="K11" s="203"/>
      <c r="L11" s="207"/>
    </row>
    <row r="12">
      <c r="A12" s="203" t="s">
        <v>5</v>
      </c>
      <c r="B12" s="203" t="s">
        <v>6</v>
      </c>
      <c r="C12" s="203" t="s">
        <v>265</v>
      </c>
      <c r="D12" s="203" t="s">
        <v>277</v>
      </c>
      <c r="E12" s="203">
        <v>4.0</v>
      </c>
      <c r="F12" s="205">
        <v>1300.0</v>
      </c>
      <c r="G12" s="205">
        <f t="shared" si="1"/>
        <v>5200</v>
      </c>
      <c r="H12" s="206">
        <f>G12 * (1 - VLOOKUP(C12, InputVariables!$A:$B, 2, FALSE))</f>
        <v>4420</v>
      </c>
      <c r="I12" s="203">
        <v>32.0</v>
      </c>
      <c r="J12" s="206">
        <f>I12*InputVariables!$E$2</f>
        <v>4000</v>
      </c>
      <c r="K12" s="203"/>
      <c r="L12" s="207"/>
    </row>
    <row r="13">
      <c r="A13" s="203" t="s">
        <v>5</v>
      </c>
      <c r="B13" s="203" t="s">
        <v>6</v>
      </c>
      <c r="C13" s="203" t="s">
        <v>265</v>
      </c>
      <c r="D13" s="203" t="s">
        <v>278</v>
      </c>
      <c r="E13" s="203">
        <v>10.0</v>
      </c>
      <c r="F13" s="205">
        <v>152.0</v>
      </c>
      <c r="G13" s="205">
        <f t="shared" si="1"/>
        <v>1520</v>
      </c>
      <c r="H13" s="206">
        <f>G13 * (1 - VLOOKUP(C13, InputVariables!$A:$B, 2, FALSE))</f>
        <v>1292</v>
      </c>
      <c r="I13" s="203">
        <v>10.0</v>
      </c>
      <c r="J13" s="206">
        <f>I13*InputVariables!$E$2</f>
        <v>1250</v>
      </c>
      <c r="K13" s="203"/>
      <c r="L13" s="207"/>
    </row>
    <row r="14">
      <c r="A14" s="203" t="s">
        <v>5</v>
      </c>
      <c r="B14" s="203" t="s">
        <v>6</v>
      </c>
      <c r="C14" s="203" t="s">
        <v>265</v>
      </c>
      <c r="D14" s="203" t="s">
        <v>279</v>
      </c>
      <c r="E14" s="203">
        <v>10.0</v>
      </c>
      <c r="F14" s="205">
        <v>10.0</v>
      </c>
      <c r="G14" s="205">
        <f t="shared" si="1"/>
        <v>100</v>
      </c>
      <c r="H14" s="206">
        <f>G14 * (1 - VLOOKUP(C14, InputVariables!$A:$B, 2, FALSE))</f>
        <v>85</v>
      </c>
      <c r="I14" s="203">
        <v>0.0</v>
      </c>
      <c r="J14" s="206">
        <f>I14*InputVariables!$E$2</f>
        <v>0</v>
      </c>
      <c r="K14" s="203"/>
      <c r="L14" s="207"/>
    </row>
    <row r="15">
      <c r="A15" s="203" t="s">
        <v>5</v>
      </c>
      <c r="B15" s="203" t="s">
        <v>6</v>
      </c>
      <c r="C15" s="203" t="s">
        <v>280</v>
      </c>
      <c r="D15" s="204" t="s">
        <v>281</v>
      </c>
      <c r="E15" s="204">
        <v>1.0</v>
      </c>
      <c r="F15" s="208">
        <v>103995.0</v>
      </c>
      <c r="G15" s="205">
        <f t="shared" si="1"/>
        <v>103995</v>
      </c>
      <c r="H15" s="206">
        <f>G15 * (1 - VLOOKUP(C15, InputVariables!$A:$B, 2, FALSE))</f>
        <v>77996.25</v>
      </c>
      <c r="I15" s="204">
        <v>10.0</v>
      </c>
      <c r="J15" s="206">
        <f>I15*InputVariables!$E$2</f>
        <v>1250</v>
      </c>
      <c r="K15" s="203"/>
      <c r="L15" s="207"/>
    </row>
    <row r="16">
      <c r="A16" s="203" t="s">
        <v>5</v>
      </c>
      <c r="B16" s="203" t="s">
        <v>6</v>
      </c>
      <c r="C16" s="203" t="s">
        <v>280</v>
      </c>
      <c r="D16" s="203" t="s">
        <v>282</v>
      </c>
      <c r="E16" s="203">
        <v>1.0</v>
      </c>
      <c r="F16" s="205">
        <v>26000.0</v>
      </c>
      <c r="G16" s="205">
        <f t="shared" si="1"/>
        <v>26000</v>
      </c>
      <c r="H16" s="206">
        <f>G16 * (1 - VLOOKUP(C16, InputVariables!$A:$B, 2, FALSE))</f>
        <v>19500</v>
      </c>
      <c r="I16" s="203">
        <v>5.0</v>
      </c>
      <c r="J16" s="206">
        <f>I16*InputVariables!$E$2</f>
        <v>625</v>
      </c>
      <c r="K16" s="203" t="s">
        <v>283</v>
      </c>
      <c r="L16" s="207"/>
    </row>
    <row r="17">
      <c r="A17" s="203" t="s">
        <v>5</v>
      </c>
      <c r="B17" s="203" t="s">
        <v>6</v>
      </c>
      <c r="C17" s="203" t="s">
        <v>280</v>
      </c>
      <c r="D17" s="203" t="s">
        <v>284</v>
      </c>
      <c r="E17" s="203">
        <v>1.0</v>
      </c>
      <c r="F17" s="205">
        <v>3036.0</v>
      </c>
      <c r="G17" s="205">
        <f t="shared" si="1"/>
        <v>3036</v>
      </c>
      <c r="H17" s="206">
        <f>G17 * (1 - VLOOKUP(C17, InputVariables!$A:$B, 2, FALSE))</f>
        <v>2277</v>
      </c>
      <c r="I17" s="203">
        <v>4.0</v>
      </c>
      <c r="J17" s="206">
        <f>I17*InputVariables!$E$2</f>
        <v>500</v>
      </c>
      <c r="K17" s="203" t="s">
        <v>285</v>
      </c>
      <c r="L17" s="207"/>
    </row>
    <row r="18">
      <c r="A18" s="203" t="s">
        <v>5</v>
      </c>
      <c r="B18" s="203" t="s">
        <v>6</v>
      </c>
      <c r="C18" s="203" t="s">
        <v>280</v>
      </c>
      <c r="D18" s="203" t="s">
        <v>286</v>
      </c>
      <c r="E18" s="203">
        <v>1.0</v>
      </c>
      <c r="F18" s="205">
        <v>6000.0</v>
      </c>
      <c r="G18" s="205">
        <f t="shared" si="1"/>
        <v>6000</v>
      </c>
      <c r="H18" s="206">
        <f>G18 * (1 - VLOOKUP(C18, InputVariables!$A:$B, 2, FALSE))</f>
        <v>4500</v>
      </c>
      <c r="I18" s="203">
        <v>20.0</v>
      </c>
      <c r="J18" s="206">
        <f>I18*InputVariables!$E$2</f>
        <v>2500</v>
      </c>
      <c r="K18" s="203" t="s">
        <v>287</v>
      </c>
      <c r="L18" s="207"/>
    </row>
    <row r="19">
      <c r="A19" s="203" t="s">
        <v>5</v>
      </c>
      <c r="B19" s="203" t="s">
        <v>6</v>
      </c>
      <c r="C19" s="203" t="s">
        <v>280</v>
      </c>
      <c r="D19" s="203" t="s">
        <v>288</v>
      </c>
      <c r="E19" s="203">
        <v>1.0</v>
      </c>
      <c r="F19" s="205">
        <v>5000.0</v>
      </c>
      <c r="G19" s="205">
        <f t="shared" si="1"/>
        <v>5000</v>
      </c>
      <c r="H19" s="206">
        <f>G19 * (1 - VLOOKUP(C19, InputVariables!$A:$B, 2, FALSE))</f>
        <v>3750</v>
      </c>
      <c r="I19" s="203">
        <v>2.0</v>
      </c>
      <c r="J19" s="206">
        <f>I19*InputVariables!$E$2</f>
        <v>250</v>
      </c>
      <c r="K19" s="203" t="s">
        <v>289</v>
      </c>
      <c r="L19" s="207"/>
    </row>
    <row r="20">
      <c r="A20" s="203" t="s">
        <v>5</v>
      </c>
      <c r="B20" s="203" t="s">
        <v>6</v>
      </c>
      <c r="C20" s="203" t="s">
        <v>280</v>
      </c>
      <c r="D20" s="203" t="s">
        <v>290</v>
      </c>
      <c r="E20" s="203">
        <v>5.0</v>
      </c>
      <c r="F20" s="205">
        <v>1500.0</v>
      </c>
      <c r="G20" s="205">
        <f t="shared" si="1"/>
        <v>7500</v>
      </c>
      <c r="H20" s="206">
        <f>G20 * (1 - VLOOKUP(C20, InputVariables!$A:$B, 2, FALSE))</f>
        <v>5625</v>
      </c>
      <c r="I20" s="203">
        <v>10.0</v>
      </c>
      <c r="J20" s="206">
        <f>I20*InputVariables!$E$2</f>
        <v>1250</v>
      </c>
      <c r="K20" s="203" t="s">
        <v>291</v>
      </c>
      <c r="L20" s="207"/>
    </row>
    <row r="21">
      <c r="A21" s="203" t="s">
        <v>5</v>
      </c>
      <c r="B21" s="203" t="s">
        <v>6</v>
      </c>
      <c r="C21" s="203" t="s">
        <v>292</v>
      </c>
      <c r="D21" s="203" t="s">
        <v>293</v>
      </c>
      <c r="E21" s="203">
        <v>10.0</v>
      </c>
      <c r="F21" s="205">
        <v>50.0</v>
      </c>
      <c r="G21" s="205">
        <f t="shared" si="1"/>
        <v>500</v>
      </c>
      <c r="H21" s="206">
        <f>G21 * (1 - VLOOKUP(C21, InputVariables!$A:$B, 2, FALSE))</f>
        <v>375</v>
      </c>
      <c r="I21" s="203">
        <v>5.0</v>
      </c>
      <c r="J21" s="206">
        <f>I21*InputVariables!$E$2</f>
        <v>625</v>
      </c>
      <c r="K21" s="203" t="s">
        <v>294</v>
      </c>
      <c r="L21" s="207"/>
    </row>
    <row r="22">
      <c r="A22" s="203" t="s">
        <v>5</v>
      </c>
      <c r="B22" s="203" t="s">
        <v>6</v>
      </c>
      <c r="C22" s="203" t="s">
        <v>292</v>
      </c>
      <c r="D22" s="203" t="s">
        <v>295</v>
      </c>
      <c r="E22" s="203">
        <v>1.0</v>
      </c>
      <c r="F22" s="205">
        <v>1000.0</v>
      </c>
      <c r="G22" s="205">
        <f t="shared" si="1"/>
        <v>1000</v>
      </c>
      <c r="H22" s="206">
        <f>G22 * (1 - VLOOKUP(C22, InputVariables!$A:$B, 2, FALSE))</f>
        <v>750</v>
      </c>
      <c r="I22" s="203">
        <v>3.0</v>
      </c>
      <c r="J22" s="206">
        <f>I22*InputVariables!$E$2</f>
        <v>375</v>
      </c>
      <c r="K22" s="203" t="s">
        <v>296</v>
      </c>
      <c r="L22" s="207"/>
    </row>
    <row r="23">
      <c r="A23" s="203" t="s">
        <v>5</v>
      </c>
      <c r="B23" s="203" t="s">
        <v>6</v>
      </c>
      <c r="C23" s="203" t="s">
        <v>292</v>
      </c>
      <c r="D23" s="203" t="s">
        <v>297</v>
      </c>
      <c r="E23" s="203">
        <v>1.0</v>
      </c>
      <c r="F23" s="205">
        <v>300.0</v>
      </c>
      <c r="G23" s="205">
        <f t="shared" si="1"/>
        <v>300</v>
      </c>
      <c r="H23" s="206">
        <f>G23 * (1 - VLOOKUP(C23, InputVariables!$A:$B, 2, FALSE))</f>
        <v>225</v>
      </c>
      <c r="I23" s="203">
        <v>2.0</v>
      </c>
      <c r="J23" s="206">
        <f>I23*InputVariables!$E$2</f>
        <v>250</v>
      </c>
      <c r="K23" s="203" t="s">
        <v>298</v>
      </c>
      <c r="L23" s="207"/>
    </row>
    <row r="24">
      <c r="A24" s="203" t="s">
        <v>5</v>
      </c>
      <c r="B24" s="203" t="s">
        <v>6</v>
      </c>
      <c r="C24" s="203" t="s">
        <v>292</v>
      </c>
      <c r="D24" s="203" t="s">
        <v>299</v>
      </c>
      <c r="E24" s="203">
        <v>1.0</v>
      </c>
      <c r="F24" s="205">
        <v>1500.0</v>
      </c>
      <c r="G24" s="205">
        <f t="shared" si="1"/>
        <v>1500</v>
      </c>
      <c r="H24" s="206">
        <f>G24 * (1 - VLOOKUP(C24, InputVariables!$A:$B, 2, FALSE))</f>
        <v>1125</v>
      </c>
      <c r="I24" s="203">
        <v>2.0</v>
      </c>
      <c r="J24" s="206">
        <f>I24*InputVariables!$E$2</f>
        <v>250</v>
      </c>
      <c r="K24" s="203" t="s">
        <v>300</v>
      </c>
      <c r="L24" s="207"/>
    </row>
    <row r="25">
      <c r="A25" s="203" t="s">
        <v>5</v>
      </c>
      <c r="B25" s="203" t="s">
        <v>6</v>
      </c>
      <c r="C25" s="203" t="s">
        <v>301</v>
      </c>
      <c r="D25" s="203" t="s">
        <v>302</v>
      </c>
      <c r="E25" s="203">
        <v>1.0</v>
      </c>
      <c r="F25" s="205">
        <v>800.0</v>
      </c>
      <c r="G25" s="205">
        <f t="shared" si="1"/>
        <v>800</v>
      </c>
      <c r="H25" s="206">
        <f>G25 * (1 - VLOOKUP(C25, InputVariables!$A:$B, 2, FALSE))</f>
        <v>640</v>
      </c>
      <c r="I25" s="203">
        <v>1.0</v>
      </c>
      <c r="J25" s="206">
        <f>I25*InputVariables!$E$2</f>
        <v>125</v>
      </c>
      <c r="K25" s="203" t="s">
        <v>303</v>
      </c>
      <c r="L25" s="207"/>
    </row>
    <row r="26">
      <c r="A26" s="203" t="s">
        <v>5</v>
      </c>
      <c r="B26" s="203" t="s">
        <v>6</v>
      </c>
      <c r="C26" s="203" t="s">
        <v>301</v>
      </c>
      <c r="D26" s="203" t="s">
        <v>304</v>
      </c>
      <c r="E26" s="204">
        <v>140.0</v>
      </c>
      <c r="F26" s="205">
        <v>200.0</v>
      </c>
      <c r="G26" s="205">
        <f t="shared" si="1"/>
        <v>28000</v>
      </c>
      <c r="H26" s="206">
        <f>G26 * (1 - VLOOKUP(C26, InputVariables!$A:$B, 2, FALSE))</f>
        <v>22400</v>
      </c>
      <c r="I26" s="203">
        <v>35.0</v>
      </c>
      <c r="J26" s="206">
        <f>I26*InputVariables!$E$2</f>
        <v>4375</v>
      </c>
      <c r="K26" s="203" t="s">
        <v>305</v>
      </c>
      <c r="L26" s="207"/>
    </row>
    <row r="27">
      <c r="A27" s="203" t="s">
        <v>5</v>
      </c>
      <c r="B27" s="203" t="s">
        <v>6</v>
      </c>
      <c r="C27" s="203" t="s">
        <v>301</v>
      </c>
      <c r="D27" s="203" t="s">
        <v>306</v>
      </c>
      <c r="E27" s="204">
        <v>12.0</v>
      </c>
      <c r="F27" s="205">
        <v>300.0</v>
      </c>
      <c r="G27" s="205">
        <f t="shared" si="1"/>
        <v>3600</v>
      </c>
      <c r="H27" s="206">
        <f>G27 * (1 - VLOOKUP(C27, InputVariables!$A:$B, 2, FALSE))</f>
        <v>2880</v>
      </c>
      <c r="I27" s="203">
        <v>8.0</v>
      </c>
      <c r="J27" s="206">
        <f>I27*InputVariables!$E$2</f>
        <v>1000</v>
      </c>
      <c r="K27" s="203" t="s">
        <v>307</v>
      </c>
      <c r="L27" s="207"/>
    </row>
    <row r="28">
      <c r="A28" s="203" t="s">
        <v>5</v>
      </c>
      <c r="B28" s="203" t="s">
        <v>6</v>
      </c>
      <c r="C28" s="127" t="s">
        <v>308</v>
      </c>
      <c r="D28" s="203" t="s">
        <v>309</v>
      </c>
      <c r="E28" s="203">
        <v>10.0</v>
      </c>
      <c r="F28" s="205">
        <v>104.0</v>
      </c>
      <c r="G28" s="205">
        <f t="shared" si="1"/>
        <v>1040</v>
      </c>
      <c r="H28" s="206">
        <f>G28 * (1 - VLOOKUP(C28, InputVariables!$A:$B, 2, FALSE))</f>
        <v>863.2</v>
      </c>
      <c r="I28" s="203">
        <v>5.0</v>
      </c>
      <c r="J28" s="206">
        <f>I28*InputVariables!$E$2</f>
        <v>625</v>
      </c>
      <c r="K28" s="203" t="s">
        <v>310</v>
      </c>
      <c r="L28" s="207"/>
    </row>
    <row r="29">
      <c r="A29" s="203" t="s">
        <v>5</v>
      </c>
      <c r="B29" s="203" t="s">
        <v>6</v>
      </c>
      <c r="C29" s="127" t="s">
        <v>308</v>
      </c>
      <c r="D29" s="204" t="s">
        <v>311</v>
      </c>
      <c r="E29" s="203">
        <v>50.0</v>
      </c>
      <c r="F29" s="205">
        <v>30.0</v>
      </c>
      <c r="G29" s="205">
        <f t="shared" si="1"/>
        <v>1500</v>
      </c>
      <c r="H29" s="206">
        <f>G29 * (1 - VLOOKUP(C29, InputVariables!$A:$B, 2, FALSE))</f>
        <v>1245</v>
      </c>
      <c r="I29" s="203">
        <v>50.0</v>
      </c>
      <c r="J29" s="206">
        <f>I29*InputVariables!$E$2</f>
        <v>6250</v>
      </c>
      <c r="K29" s="203" t="s">
        <v>312</v>
      </c>
      <c r="L29" s="207"/>
    </row>
    <row r="30">
      <c r="A30" s="203" t="s">
        <v>5</v>
      </c>
      <c r="B30" s="203" t="s">
        <v>6</v>
      </c>
      <c r="C30" s="203" t="s">
        <v>308</v>
      </c>
      <c r="D30" s="203" t="s">
        <v>313</v>
      </c>
      <c r="E30" s="203">
        <v>2.0</v>
      </c>
      <c r="F30" s="205">
        <v>243.0</v>
      </c>
      <c r="G30" s="205">
        <f t="shared" si="1"/>
        <v>486</v>
      </c>
      <c r="H30" s="206">
        <f>G30 * (1 - VLOOKUP(C30, InputVariables!$A:$B, 2, FALSE))</f>
        <v>403.38</v>
      </c>
      <c r="I30" s="203">
        <v>4.0</v>
      </c>
      <c r="J30" s="206">
        <f>I30*InputVariables!$E$2</f>
        <v>500</v>
      </c>
      <c r="K30" s="203" t="s">
        <v>314</v>
      </c>
      <c r="L30" s="207"/>
    </row>
    <row r="31">
      <c r="A31" s="203" t="s">
        <v>5</v>
      </c>
      <c r="B31" s="203" t="s">
        <v>6</v>
      </c>
      <c r="C31" s="203" t="s">
        <v>308</v>
      </c>
      <c r="D31" s="203" t="s">
        <v>315</v>
      </c>
      <c r="E31" s="203">
        <v>10.0</v>
      </c>
      <c r="F31" s="205">
        <v>49.0</v>
      </c>
      <c r="G31" s="205">
        <f t="shared" si="1"/>
        <v>490</v>
      </c>
      <c r="H31" s="206">
        <f>G31 * (1 - VLOOKUP(C31, InputVariables!$A:$B, 2, FALSE))</f>
        <v>406.7</v>
      </c>
      <c r="I31" s="203">
        <v>10.0</v>
      </c>
      <c r="J31" s="206">
        <f>I31*InputVariables!$E$2</f>
        <v>1250</v>
      </c>
      <c r="K31" s="203" t="s">
        <v>316</v>
      </c>
      <c r="L31" s="207"/>
    </row>
    <row r="32">
      <c r="A32" s="203" t="s">
        <v>5</v>
      </c>
      <c r="B32" s="203" t="s">
        <v>6</v>
      </c>
      <c r="C32" s="203" t="s">
        <v>308</v>
      </c>
      <c r="D32" s="203" t="s">
        <v>317</v>
      </c>
      <c r="E32" s="203">
        <v>40.0</v>
      </c>
      <c r="F32" s="205">
        <v>17.0</v>
      </c>
      <c r="G32" s="205">
        <f t="shared" si="1"/>
        <v>680</v>
      </c>
      <c r="H32" s="206">
        <f>G32 * (1 - VLOOKUP(C32, InputVariables!$A:$B, 2, FALSE))</f>
        <v>564.4</v>
      </c>
      <c r="I32" s="203">
        <v>40.0</v>
      </c>
      <c r="J32" s="206">
        <f>I32*InputVariables!$E$2</f>
        <v>5000</v>
      </c>
      <c r="K32" s="203" t="s">
        <v>318</v>
      </c>
      <c r="L32" s="207"/>
    </row>
    <row r="33">
      <c r="A33" s="203" t="s">
        <v>5</v>
      </c>
      <c r="B33" s="203" t="s">
        <v>6</v>
      </c>
      <c r="C33" s="203" t="s">
        <v>308</v>
      </c>
      <c r="D33" s="203" t="s">
        <v>319</v>
      </c>
      <c r="E33" s="203">
        <v>1.0</v>
      </c>
      <c r="F33" s="205">
        <v>100.0</v>
      </c>
      <c r="G33" s="205">
        <f t="shared" si="1"/>
        <v>100</v>
      </c>
      <c r="H33" s="206">
        <f>G33 * (1 - VLOOKUP(C33, InputVariables!$A:$B, 2, FALSE))</f>
        <v>83</v>
      </c>
      <c r="I33" s="203">
        <v>1.0</v>
      </c>
      <c r="J33" s="206">
        <f>I33*InputVariables!$E$2</f>
        <v>125</v>
      </c>
      <c r="K33" s="203" t="s">
        <v>320</v>
      </c>
      <c r="L33" s="207"/>
    </row>
    <row r="34">
      <c r="A34" s="209" t="s">
        <v>3</v>
      </c>
      <c r="B34" s="209" t="s">
        <v>6</v>
      </c>
      <c r="C34" s="209" t="s">
        <v>321</v>
      </c>
      <c r="D34" s="209" t="s">
        <v>322</v>
      </c>
      <c r="E34" s="207"/>
      <c r="F34" s="207"/>
      <c r="G34" s="210">
        <v>70.0</v>
      </c>
      <c r="H34" s="206">
        <f>G34 * (1 - VLOOKUP(C34, InputVariables!$A:$B, 2, FALSE))</f>
        <v>58.1</v>
      </c>
      <c r="I34" s="209">
        <v>3.0</v>
      </c>
      <c r="J34" s="206">
        <f>I34*InputVariables!$E$2</f>
        <v>375</v>
      </c>
      <c r="K34" s="209" t="s">
        <v>323</v>
      </c>
      <c r="L34" s="209" t="s">
        <v>324</v>
      </c>
    </row>
    <row r="35">
      <c r="A35" s="209" t="s">
        <v>3</v>
      </c>
      <c r="B35" s="209" t="s">
        <v>6</v>
      </c>
      <c r="C35" s="209" t="s">
        <v>308</v>
      </c>
      <c r="D35" s="211" t="s">
        <v>325</v>
      </c>
      <c r="E35" s="212">
        <v>0.18</v>
      </c>
      <c r="F35" s="212"/>
      <c r="G35" s="213">
        <v>1.44</v>
      </c>
      <c r="H35" s="206">
        <f>G35 * (1 - VLOOKUP(C35, InputVariables!$A:$B, 2, FALSE))</f>
        <v>1.1952</v>
      </c>
      <c r="I35" s="209">
        <v>15.0</v>
      </c>
      <c r="J35" s="206">
        <f>I35*InputVariables!$E$2</f>
        <v>1875</v>
      </c>
      <c r="K35" s="209" t="s">
        <v>326</v>
      </c>
      <c r="L35" s="209" t="s">
        <v>327</v>
      </c>
    </row>
    <row r="36">
      <c r="A36" s="209" t="s">
        <v>3</v>
      </c>
      <c r="B36" s="209" t="s">
        <v>6</v>
      </c>
      <c r="C36" s="209" t="s">
        <v>308</v>
      </c>
      <c r="D36" s="211" t="s">
        <v>328</v>
      </c>
      <c r="E36" s="207"/>
      <c r="F36" s="207"/>
      <c r="G36" s="210"/>
      <c r="H36" s="206">
        <f>G36 * (1 - VLOOKUP(C36, InputVariables!$A:$B, 2, FALSE))</f>
        <v>0</v>
      </c>
      <c r="I36" s="209"/>
      <c r="J36" s="206">
        <f>I36*InputVariables!$E$2</f>
        <v>0</v>
      </c>
      <c r="K36" s="209"/>
      <c r="L36" s="209"/>
    </row>
    <row r="37">
      <c r="A37" s="209" t="s">
        <v>3</v>
      </c>
      <c r="B37" s="209" t="s">
        <v>6</v>
      </c>
      <c r="C37" s="209" t="s">
        <v>308</v>
      </c>
      <c r="D37" s="211" t="s">
        <v>329</v>
      </c>
      <c r="E37" s="207"/>
      <c r="F37" s="207"/>
      <c r="G37" s="213">
        <v>650.0</v>
      </c>
      <c r="H37" s="206">
        <f>G37 * (1 - VLOOKUP(C37, InputVariables!$A:$B, 2, FALSE))</f>
        <v>539.5</v>
      </c>
      <c r="I37" s="209"/>
      <c r="J37" s="206">
        <f>I37*InputVariables!$E$2</f>
        <v>0</v>
      </c>
      <c r="K37" s="209"/>
      <c r="L37" s="209"/>
    </row>
    <row r="38">
      <c r="A38" s="209" t="s">
        <v>3</v>
      </c>
      <c r="B38" s="209" t="s">
        <v>6</v>
      </c>
      <c r="C38" s="209" t="s">
        <v>330</v>
      </c>
      <c r="D38" s="211" t="s">
        <v>331</v>
      </c>
      <c r="E38" s="207"/>
      <c r="F38" s="207"/>
      <c r="G38" s="213">
        <v>650.0</v>
      </c>
      <c r="H38" s="206">
        <f>G38 * (1 - VLOOKUP(C38, InputVariables!$A:$B, 2, FALSE))</f>
        <v>539.5</v>
      </c>
      <c r="I38" s="209">
        <v>2.5</v>
      </c>
      <c r="J38" s="206">
        <f>I38*InputVariables!$E$2</f>
        <v>312.5</v>
      </c>
      <c r="K38" s="209" t="s">
        <v>332</v>
      </c>
      <c r="L38" s="209" t="s">
        <v>333</v>
      </c>
    </row>
    <row r="39">
      <c r="A39" s="209" t="s">
        <v>3</v>
      </c>
      <c r="B39" s="209" t="s">
        <v>6</v>
      </c>
      <c r="C39" s="209" t="s">
        <v>330</v>
      </c>
      <c r="D39" s="211" t="s">
        <v>334</v>
      </c>
      <c r="E39" s="207"/>
      <c r="F39" s="207"/>
      <c r="G39" s="213">
        <v>650.0</v>
      </c>
      <c r="H39" s="206">
        <f>G39 * (1 - VLOOKUP(C39, InputVariables!$A:$B, 2, FALSE))</f>
        <v>539.5</v>
      </c>
      <c r="I39" s="209">
        <v>2.5</v>
      </c>
      <c r="J39" s="206">
        <f>I39*InputVariables!$E$2</f>
        <v>312.5</v>
      </c>
      <c r="K39" s="209" t="s">
        <v>332</v>
      </c>
      <c r="L39" s="209" t="s">
        <v>333</v>
      </c>
    </row>
    <row r="40">
      <c r="A40" s="209" t="s">
        <v>3</v>
      </c>
      <c r="B40" s="209" t="s">
        <v>6</v>
      </c>
      <c r="C40" s="209" t="s">
        <v>330</v>
      </c>
      <c r="D40" s="211" t="s">
        <v>335</v>
      </c>
      <c r="E40" s="207"/>
      <c r="F40" s="207"/>
      <c r="G40" s="213">
        <v>650.0</v>
      </c>
      <c r="H40" s="206">
        <f>G40 * (1 - VLOOKUP(C40, InputVariables!$A:$B, 2, FALSE))</f>
        <v>539.5</v>
      </c>
      <c r="I40" s="209">
        <v>2.5</v>
      </c>
      <c r="J40" s="206">
        <f>I40*InputVariables!$E$2</f>
        <v>312.5</v>
      </c>
      <c r="K40" s="209" t="s">
        <v>332</v>
      </c>
      <c r="L40" s="209" t="s">
        <v>333</v>
      </c>
    </row>
    <row r="41">
      <c r="A41" s="209" t="s">
        <v>3</v>
      </c>
      <c r="B41" s="209" t="s">
        <v>6</v>
      </c>
      <c r="C41" s="209" t="s">
        <v>336</v>
      </c>
      <c r="D41" s="209" t="s">
        <v>337</v>
      </c>
      <c r="E41" s="207"/>
      <c r="F41" s="207"/>
      <c r="G41" s="210">
        <v>2700.0</v>
      </c>
      <c r="H41" s="206">
        <f>G41 * (1 - VLOOKUP(C41, InputVariables!$A:$B, 2, FALSE))</f>
        <v>2241</v>
      </c>
      <c r="I41" s="209">
        <v>2.0</v>
      </c>
      <c r="J41" s="206">
        <f>I41*InputVariables!$E$2</f>
        <v>250</v>
      </c>
      <c r="K41" s="209" t="s">
        <v>338</v>
      </c>
      <c r="L41" s="209" t="s">
        <v>339</v>
      </c>
    </row>
    <row r="42">
      <c r="A42" s="209" t="s">
        <v>3</v>
      </c>
      <c r="B42" s="209" t="s">
        <v>6</v>
      </c>
      <c r="C42" s="209" t="s">
        <v>280</v>
      </c>
      <c r="D42" s="209" t="s">
        <v>340</v>
      </c>
      <c r="E42" s="207"/>
      <c r="F42" s="207"/>
      <c r="G42" s="210">
        <v>850.0</v>
      </c>
      <c r="H42" s="206">
        <f>G42 * (1 - VLOOKUP(C42, InputVariables!$A:$B, 2, FALSE))</f>
        <v>637.5</v>
      </c>
      <c r="I42" s="209">
        <v>2.5</v>
      </c>
      <c r="J42" s="206">
        <f>I42*InputVariables!$E$2</f>
        <v>312.5</v>
      </c>
      <c r="K42" s="209" t="s">
        <v>341</v>
      </c>
      <c r="L42" s="209" t="s">
        <v>342</v>
      </c>
    </row>
    <row r="43">
      <c r="A43" s="209" t="s">
        <v>3</v>
      </c>
      <c r="B43" s="209" t="s">
        <v>6</v>
      </c>
      <c r="C43" s="209" t="s">
        <v>343</v>
      </c>
      <c r="D43" s="209" t="s">
        <v>344</v>
      </c>
      <c r="E43" s="207"/>
      <c r="F43" s="207"/>
      <c r="G43" s="210">
        <v>250.0</v>
      </c>
      <c r="H43" s="206">
        <f>G43 * (1 - VLOOKUP(C43, InputVariables!$A:$B, 2, FALSE))</f>
        <v>207.5</v>
      </c>
      <c r="I43" s="209">
        <v>3.0</v>
      </c>
      <c r="J43" s="206">
        <f>I43*InputVariables!$E$2</f>
        <v>375</v>
      </c>
      <c r="K43" s="209" t="s">
        <v>345</v>
      </c>
      <c r="L43" s="209" t="s">
        <v>346</v>
      </c>
    </row>
    <row r="44">
      <c r="A44" s="209" t="s">
        <v>3</v>
      </c>
      <c r="B44" s="209" t="s">
        <v>6</v>
      </c>
      <c r="C44" s="209" t="s">
        <v>347</v>
      </c>
      <c r="D44" s="209" t="s">
        <v>348</v>
      </c>
      <c r="E44" s="207"/>
      <c r="F44" s="207"/>
      <c r="G44" s="210">
        <v>350.0</v>
      </c>
      <c r="H44" s="206">
        <f>G44 * (1 - VLOOKUP(C44, InputVariables!$A:$B, 2, FALSE))</f>
        <v>290.5</v>
      </c>
      <c r="I44" s="209">
        <v>2.0</v>
      </c>
      <c r="J44" s="206">
        <f>I44*InputVariables!$E$2</f>
        <v>250</v>
      </c>
      <c r="K44" s="209" t="s">
        <v>349</v>
      </c>
      <c r="L44" s="209" t="s">
        <v>350</v>
      </c>
    </row>
    <row r="45">
      <c r="A45" s="209" t="s">
        <v>3</v>
      </c>
      <c r="B45" s="209" t="s">
        <v>6</v>
      </c>
      <c r="C45" s="209" t="s">
        <v>351</v>
      </c>
      <c r="D45" s="209" t="s">
        <v>352</v>
      </c>
      <c r="E45" s="207"/>
      <c r="F45" s="207"/>
      <c r="G45" s="210">
        <v>400.0</v>
      </c>
      <c r="H45" s="206">
        <f>G45 * (1 - VLOOKUP(C45, InputVariables!$A:$B, 2, FALSE))</f>
        <v>332</v>
      </c>
      <c r="I45" s="209">
        <v>2.0</v>
      </c>
      <c r="J45" s="206">
        <f>I45*InputVariables!$E$2</f>
        <v>250</v>
      </c>
      <c r="K45" s="209" t="s">
        <v>353</v>
      </c>
      <c r="L45" s="209" t="s">
        <v>354</v>
      </c>
    </row>
    <row r="46">
      <c r="A46" s="209" t="s">
        <v>3</v>
      </c>
      <c r="B46" s="209" t="s">
        <v>6</v>
      </c>
      <c r="C46" s="209" t="s">
        <v>355</v>
      </c>
      <c r="D46" s="209" t="s">
        <v>356</v>
      </c>
      <c r="E46" s="207"/>
      <c r="F46" s="207"/>
      <c r="G46" s="210">
        <v>150.0</v>
      </c>
      <c r="H46" s="206">
        <f>G46 * (1 - VLOOKUP(C46, InputVariables!$A:$B, 2, FALSE))</f>
        <v>124.5</v>
      </c>
      <c r="I46" s="209">
        <v>0.5</v>
      </c>
      <c r="J46" s="206">
        <f>I46*InputVariables!$E$2</f>
        <v>62.5</v>
      </c>
      <c r="K46" s="209" t="s">
        <v>357</v>
      </c>
      <c r="L46" s="209" t="s">
        <v>358</v>
      </c>
    </row>
    <row r="47">
      <c r="A47" s="209" t="s">
        <v>3</v>
      </c>
      <c r="B47" s="209" t="s">
        <v>6</v>
      </c>
      <c r="C47" s="209" t="s">
        <v>359</v>
      </c>
      <c r="D47" s="209" t="s">
        <v>360</v>
      </c>
      <c r="E47" s="207"/>
      <c r="F47" s="207"/>
      <c r="G47" s="210">
        <v>180.0</v>
      </c>
      <c r="H47" s="206">
        <f>G47 * (1 - VLOOKUP(C47, InputVariables!$A:$B, 2, FALSE))</f>
        <v>149.4</v>
      </c>
      <c r="I47" s="209">
        <v>1.0</v>
      </c>
      <c r="J47" s="206">
        <f>I47*InputVariables!$E$2</f>
        <v>125</v>
      </c>
      <c r="K47" s="209" t="s">
        <v>361</v>
      </c>
      <c r="L47" s="209" t="s">
        <v>362</v>
      </c>
    </row>
    <row r="48">
      <c r="A48" s="209" t="s">
        <v>3</v>
      </c>
      <c r="B48" s="209" t="s">
        <v>6</v>
      </c>
      <c r="C48" s="209" t="s">
        <v>363</v>
      </c>
      <c r="D48" s="209" t="s">
        <v>364</v>
      </c>
      <c r="E48" s="207"/>
      <c r="F48" s="207"/>
      <c r="G48" s="210">
        <v>90.0</v>
      </c>
      <c r="H48" s="206">
        <f>G48 * (1 - VLOOKUP(C48, InputVariables!$A:$B, 2, FALSE))</f>
        <v>74.7</v>
      </c>
      <c r="I48" s="209">
        <v>1.0</v>
      </c>
      <c r="J48" s="206">
        <f>I48*InputVariables!$E$2</f>
        <v>125</v>
      </c>
      <c r="K48" s="209" t="s">
        <v>365</v>
      </c>
      <c r="L48" s="209" t="s">
        <v>366</v>
      </c>
    </row>
    <row r="49">
      <c r="A49" s="209" t="s">
        <v>3</v>
      </c>
      <c r="B49" s="209" t="s">
        <v>6</v>
      </c>
      <c r="C49" s="209" t="s">
        <v>301</v>
      </c>
      <c r="D49" s="209" t="s">
        <v>367</v>
      </c>
      <c r="E49" s="207"/>
      <c r="F49" s="207"/>
      <c r="G49" s="210">
        <v>600.0</v>
      </c>
      <c r="H49" s="206">
        <f>G49 * (1 - VLOOKUP(C49, InputVariables!$A:$B, 2, FALSE))</f>
        <v>480</v>
      </c>
      <c r="I49" s="209">
        <v>4.0</v>
      </c>
      <c r="J49" s="206">
        <f>I49*InputVariables!$E$2</f>
        <v>500</v>
      </c>
      <c r="K49" s="209" t="s">
        <v>368</v>
      </c>
      <c r="L49" s="209" t="s">
        <v>369</v>
      </c>
    </row>
    <row r="50">
      <c r="A50" s="209" t="s">
        <v>3</v>
      </c>
      <c r="B50" s="209" t="s">
        <v>6</v>
      </c>
      <c r="C50" s="209" t="s">
        <v>370</v>
      </c>
      <c r="D50" s="209" t="s">
        <v>371</v>
      </c>
      <c r="E50" s="207"/>
      <c r="F50" s="207"/>
      <c r="G50" s="210">
        <v>169.0</v>
      </c>
      <c r="H50" s="206">
        <f>G50 * (1 - VLOOKUP(C50, InputVariables!$A:$B, 2, FALSE))</f>
        <v>140.27</v>
      </c>
      <c r="I50" s="209">
        <v>1.0</v>
      </c>
      <c r="J50" s="206">
        <f>I50*InputVariables!$E$2</f>
        <v>125</v>
      </c>
      <c r="K50" s="209" t="s">
        <v>372</v>
      </c>
      <c r="L50" s="209" t="s">
        <v>373</v>
      </c>
    </row>
    <row r="51">
      <c r="A51" s="209" t="s">
        <v>3</v>
      </c>
      <c r="B51" s="209" t="s">
        <v>6</v>
      </c>
      <c r="C51" s="209" t="s">
        <v>374</v>
      </c>
      <c r="D51" s="209" t="s">
        <v>375</v>
      </c>
      <c r="E51" s="207"/>
      <c r="F51" s="207"/>
      <c r="G51" s="214">
        <v>50.0</v>
      </c>
      <c r="H51" s="206">
        <f>G51 * (1 - VLOOKUP(C51, InputVariables!$A:$B, 2, FALSE))</f>
        <v>41.5</v>
      </c>
      <c r="I51" s="209">
        <v>0.0</v>
      </c>
      <c r="J51" s="206">
        <f>I51*InputVariables!$E$2</f>
        <v>0</v>
      </c>
      <c r="K51" s="209" t="s">
        <v>376</v>
      </c>
      <c r="L51" s="209" t="s">
        <v>377</v>
      </c>
    </row>
    <row r="52">
      <c r="A52" s="209" t="s">
        <v>3</v>
      </c>
      <c r="B52" s="209" t="s">
        <v>6</v>
      </c>
      <c r="C52" s="209" t="s">
        <v>378</v>
      </c>
      <c r="D52" s="209" t="s">
        <v>379</v>
      </c>
      <c r="E52" s="207"/>
      <c r="F52" s="207"/>
      <c r="G52" s="210">
        <v>150.0</v>
      </c>
      <c r="H52" s="206">
        <f>G52 * (1 - VLOOKUP(C52, InputVariables!$A:$B, 2, FALSE))</f>
        <v>124.5</v>
      </c>
      <c r="I52" s="209">
        <v>1.0</v>
      </c>
      <c r="J52" s="206">
        <f>I52*InputVariables!$E$2</f>
        <v>125</v>
      </c>
      <c r="K52" s="209" t="s">
        <v>380</v>
      </c>
      <c r="L52" s="209" t="s">
        <v>381</v>
      </c>
    </row>
    <row r="53">
      <c r="A53" s="209" t="s">
        <v>3</v>
      </c>
      <c r="B53" s="209" t="s">
        <v>7</v>
      </c>
      <c r="C53" s="209" t="s">
        <v>321</v>
      </c>
      <c r="D53" s="209" t="s">
        <v>382</v>
      </c>
      <c r="E53" s="207"/>
      <c r="F53" s="207"/>
      <c r="G53" s="210">
        <v>60.0</v>
      </c>
      <c r="H53" s="206">
        <f>G53 * (1 - VLOOKUP(C53, InputVariables!$A:$B, 2, FALSE))</f>
        <v>49.8</v>
      </c>
      <c r="I53" s="215">
        <v>1.5</v>
      </c>
      <c r="J53" s="206">
        <f>I53*InputVariables!$E$2</f>
        <v>187.5</v>
      </c>
      <c r="K53" s="209" t="s">
        <v>383</v>
      </c>
      <c r="L53" s="209" t="s">
        <v>384</v>
      </c>
    </row>
    <row r="54">
      <c r="A54" s="209" t="s">
        <v>3</v>
      </c>
      <c r="B54" s="209" t="s">
        <v>7</v>
      </c>
      <c r="C54" s="209" t="s">
        <v>308</v>
      </c>
      <c r="D54" s="209" t="s">
        <v>385</v>
      </c>
      <c r="E54" s="207"/>
      <c r="F54" s="207"/>
      <c r="G54" s="216">
        <v>22.5</v>
      </c>
      <c r="H54" s="206">
        <f>G54 * (1 - VLOOKUP(C54, InputVariables!$A:$B, 2, FALSE))</f>
        <v>18.675</v>
      </c>
      <c r="I54" s="215">
        <v>5.0</v>
      </c>
      <c r="J54" s="206">
        <f>I54*InputVariables!$E$2</f>
        <v>625</v>
      </c>
      <c r="K54" s="209" t="s">
        <v>386</v>
      </c>
      <c r="L54" s="209" t="s">
        <v>387</v>
      </c>
    </row>
    <row r="55">
      <c r="A55" s="209" t="s">
        <v>3</v>
      </c>
      <c r="B55" s="209" t="s">
        <v>7</v>
      </c>
      <c r="C55" s="209" t="s">
        <v>330</v>
      </c>
      <c r="D55" s="209" t="s">
        <v>388</v>
      </c>
      <c r="E55" s="207"/>
      <c r="F55" s="207"/>
      <c r="G55" s="210">
        <v>307.0</v>
      </c>
      <c r="H55" s="206">
        <f>G55 * (1 - VLOOKUP(C55, InputVariables!$A:$B, 2, FALSE))</f>
        <v>254.81</v>
      </c>
      <c r="I55" s="215">
        <v>4.0</v>
      </c>
      <c r="J55" s="206">
        <f>I55*InputVariables!$E$2</f>
        <v>500</v>
      </c>
      <c r="K55" s="209" t="s">
        <v>389</v>
      </c>
      <c r="L55" s="209" t="s">
        <v>390</v>
      </c>
    </row>
    <row r="56">
      <c r="A56" s="209" t="s">
        <v>3</v>
      </c>
      <c r="B56" s="209" t="s">
        <v>7</v>
      </c>
      <c r="C56" s="209" t="s">
        <v>336</v>
      </c>
      <c r="D56" s="209" t="s">
        <v>391</v>
      </c>
      <c r="E56" s="207"/>
      <c r="F56" s="207"/>
      <c r="G56" s="210">
        <v>1450.0</v>
      </c>
      <c r="H56" s="206">
        <f>G56 * (1 - VLOOKUP(C56, InputVariables!$A:$B, 2, FALSE))</f>
        <v>1203.5</v>
      </c>
      <c r="I56" s="215">
        <v>5.0</v>
      </c>
      <c r="J56" s="206">
        <f>I56*InputVariables!$E$2</f>
        <v>625</v>
      </c>
      <c r="K56" s="209" t="s">
        <v>392</v>
      </c>
      <c r="L56" s="209" t="s">
        <v>393</v>
      </c>
    </row>
    <row r="57">
      <c r="A57" s="209" t="s">
        <v>3</v>
      </c>
      <c r="B57" s="209" t="s">
        <v>7</v>
      </c>
      <c r="C57" s="209" t="s">
        <v>280</v>
      </c>
      <c r="D57" s="209" t="s">
        <v>394</v>
      </c>
      <c r="E57" s="207"/>
      <c r="F57" s="207"/>
      <c r="G57" s="210">
        <v>900.0</v>
      </c>
      <c r="H57" s="206">
        <f>G57 * (1 - VLOOKUP(C57, InputVariables!$A:$B, 2, FALSE))</f>
        <v>675</v>
      </c>
      <c r="I57" s="215">
        <v>7.0</v>
      </c>
      <c r="J57" s="206">
        <f>I57*InputVariables!$E$2</f>
        <v>875</v>
      </c>
      <c r="K57" s="209" t="s">
        <v>395</v>
      </c>
      <c r="L57" s="209" t="s">
        <v>396</v>
      </c>
    </row>
    <row r="58">
      <c r="A58" s="209" t="s">
        <v>3</v>
      </c>
      <c r="B58" s="209" t="s">
        <v>7</v>
      </c>
      <c r="C58" s="209" t="s">
        <v>343</v>
      </c>
      <c r="D58" s="209" t="s">
        <v>397</v>
      </c>
      <c r="E58" s="207"/>
      <c r="F58" s="207"/>
      <c r="G58" s="210">
        <v>240.0</v>
      </c>
      <c r="H58" s="206">
        <f>G58 * (1 - VLOOKUP(C58, InputVariables!$A:$B, 2, FALSE))</f>
        <v>199.2</v>
      </c>
      <c r="I58" s="215">
        <v>3.5</v>
      </c>
      <c r="J58" s="206">
        <f>I58*InputVariables!$E$2</f>
        <v>437.5</v>
      </c>
      <c r="K58" s="209" t="s">
        <v>398</v>
      </c>
      <c r="L58" s="209" t="s">
        <v>399</v>
      </c>
    </row>
    <row r="59">
      <c r="A59" s="209" t="s">
        <v>3</v>
      </c>
      <c r="B59" s="209" t="s">
        <v>7</v>
      </c>
      <c r="C59" s="209" t="s">
        <v>347</v>
      </c>
      <c r="D59" s="209" t="s">
        <v>400</v>
      </c>
      <c r="E59" s="207"/>
      <c r="F59" s="207"/>
      <c r="G59" s="210">
        <v>330.0</v>
      </c>
      <c r="H59" s="206">
        <f>G59 * (1 - VLOOKUP(C59, InputVariables!$A:$B, 2, FALSE))</f>
        <v>273.9</v>
      </c>
      <c r="I59" s="215">
        <v>5.0</v>
      </c>
      <c r="J59" s="206">
        <f>I59*InputVariables!$E$2</f>
        <v>625</v>
      </c>
      <c r="K59" s="209" t="s">
        <v>401</v>
      </c>
      <c r="L59" s="209" t="s">
        <v>402</v>
      </c>
    </row>
    <row r="60">
      <c r="A60" s="209" t="s">
        <v>3</v>
      </c>
      <c r="B60" s="209" t="s">
        <v>7</v>
      </c>
      <c r="C60" s="209" t="s">
        <v>351</v>
      </c>
      <c r="D60" s="209" t="s">
        <v>403</v>
      </c>
      <c r="E60" s="207"/>
      <c r="F60" s="207"/>
      <c r="G60" s="210">
        <v>260.0</v>
      </c>
      <c r="H60" s="206">
        <f>G60 * (1 - VLOOKUP(C60, InputVariables!$A:$B, 2, FALSE))</f>
        <v>215.8</v>
      </c>
      <c r="I60" s="215">
        <v>3.0</v>
      </c>
      <c r="J60" s="206">
        <f>I60*InputVariables!$E$2</f>
        <v>375</v>
      </c>
      <c r="K60" s="209" t="s">
        <v>404</v>
      </c>
      <c r="L60" s="209" t="s">
        <v>405</v>
      </c>
    </row>
    <row r="61">
      <c r="A61" s="209" t="s">
        <v>3</v>
      </c>
      <c r="B61" s="209" t="s">
        <v>7</v>
      </c>
      <c r="C61" s="209" t="s">
        <v>355</v>
      </c>
      <c r="D61" s="209" t="s">
        <v>406</v>
      </c>
      <c r="E61" s="207"/>
      <c r="F61" s="207"/>
      <c r="G61" s="210">
        <v>100.0</v>
      </c>
      <c r="H61" s="206">
        <f>G61 * (1 - VLOOKUP(C61, InputVariables!$A:$B, 2, FALSE))</f>
        <v>83</v>
      </c>
      <c r="I61" s="215">
        <v>1.0</v>
      </c>
      <c r="J61" s="206">
        <f>I61*InputVariables!$E$2</f>
        <v>125</v>
      </c>
      <c r="K61" s="209" t="s">
        <v>407</v>
      </c>
      <c r="L61" s="209" t="s">
        <v>408</v>
      </c>
    </row>
    <row r="62">
      <c r="A62" s="209" t="s">
        <v>3</v>
      </c>
      <c r="B62" s="209" t="s">
        <v>7</v>
      </c>
      <c r="C62" s="209" t="s">
        <v>359</v>
      </c>
      <c r="D62" s="209" t="s">
        <v>409</v>
      </c>
      <c r="E62" s="207"/>
      <c r="F62" s="207"/>
      <c r="G62" s="210">
        <v>240.0</v>
      </c>
      <c r="H62" s="206">
        <f>G62 * (1 - VLOOKUP(C62, InputVariables!$A:$B, 2, FALSE))</f>
        <v>199.2</v>
      </c>
      <c r="I62" s="215">
        <v>2.0</v>
      </c>
      <c r="J62" s="206">
        <f>I62*InputVariables!$E$2</f>
        <v>250</v>
      </c>
      <c r="K62" s="209" t="s">
        <v>410</v>
      </c>
      <c r="L62" s="209" t="s">
        <v>411</v>
      </c>
    </row>
    <row r="63">
      <c r="A63" s="209" t="s">
        <v>3</v>
      </c>
      <c r="B63" s="209" t="s">
        <v>7</v>
      </c>
      <c r="C63" s="209" t="s">
        <v>292</v>
      </c>
      <c r="D63" s="209" t="s">
        <v>412</v>
      </c>
      <c r="E63" s="207"/>
      <c r="F63" s="207"/>
      <c r="G63" s="210">
        <v>200.0</v>
      </c>
      <c r="H63" s="206">
        <f>G63 * (1 - VLOOKUP(C63, InputVariables!$A:$B, 2, FALSE))</f>
        <v>150</v>
      </c>
      <c r="I63" s="215">
        <v>1.0</v>
      </c>
      <c r="J63" s="206">
        <f>I63*InputVariables!$E$2</f>
        <v>125</v>
      </c>
      <c r="K63" s="209" t="s">
        <v>413</v>
      </c>
      <c r="L63" s="209" t="s">
        <v>414</v>
      </c>
    </row>
    <row r="64">
      <c r="A64" s="209" t="s">
        <v>3</v>
      </c>
      <c r="B64" s="209" t="s">
        <v>7</v>
      </c>
      <c r="C64" s="209" t="s">
        <v>301</v>
      </c>
      <c r="D64" s="209" t="s">
        <v>415</v>
      </c>
      <c r="E64" s="207"/>
      <c r="F64" s="207"/>
      <c r="G64" s="210">
        <v>420.0</v>
      </c>
      <c r="H64" s="206">
        <f>G64 * (1 - VLOOKUP(C64, InputVariables!$A:$B, 2, FALSE))</f>
        <v>336</v>
      </c>
      <c r="I64" s="215">
        <v>4.0</v>
      </c>
      <c r="J64" s="206">
        <f>I64*InputVariables!$E$2</f>
        <v>500</v>
      </c>
      <c r="K64" s="209" t="s">
        <v>416</v>
      </c>
      <c r="L64" s="209" t="s">
        <v>417</v>
      </c>
    </row>
    <row r="65">
      <c r="A65" s="209" t="s">
        <v>3</v>
      </c>
      <c r="B65" s="209" t="s">
        <v>7</v>
      </c>
      <c r="C65" s="209" t="s">
        <v>265</v>
      </c>
      <c r="D65" s="209" t="s">
        <v>418</v>
      </c>
      <c r="E65" s="207"/>
      <c r="F65" s="207"/>
      <c r="G65" s="210">
        <v>220.0</v>
      </c>
      <c r="H65" s="206">
        <f>G65 * (1 - VLOOKUP(C65, InputVariables!$A:$B, 2, FALSE))</f>
        <v>187</v>
      </c>
      <c r="I65" s="215">
        <v>2.0</v>
      </c>
      <c r="J65" s="206">
        <f>I65*InputVariables!$E$2</f>
        <v>250</v>
      </c>
      <c r="K65" s="209" t="s">
        <v>419</v>
      </c>
      <c r="L65" s="209" t="s">
        <v>420</v>
      </c>
    </row>
    <row r="66">
      <c r="A66" s="209" t="s">
        <v>3</v>
      </c>
      <c r="B66" s="209" t="s">
        <v>7</v>
      </c>
      <c r="C66" s="209" t="s">
        <v>374</v>
      </c>
      <c r="D66" s="209" t="s">
        <v>421</v>
      </c>
      <c r="E66" s="207"/>
      <c r="F66" s="207"/>
      <c r="G66" s="210">
        <v>150.0</v>
      </c>
      <c r="H66" s="206">
        <f>G66 * (1 - VLOOKUP(C66, InputVariables!$A:$B, 2, FALSE))</f>
        <v>124.5</v>
      </c>
      <c r="I66" s="215">
        <v>1.5</v>
      </c>
      <c r="J66" s="206">
        <f>I66*InputVariables!$E$2</f>
        <v>187.5</v>
      </c>
      <c r="K66" s="209" t="s">
        <v>422</v>
      </c>
      <c r="L66" s="209" t="s">
        <v>423</v>
      </c>
    </row>
    <row r="67">
      <c r="A67" s="209" t="s">
        <v>3</v>
      </c>
      <c r="B67" s="209" t="s">
        <v>7</v>
      </c>
      <c r="C67" s="209" t="s">
        <v>378</v>
      </c>
      <c r="D67" s="209" t="s">
        <v>424</v>
      </c>
      <c r="E67" s="207"/>
      <c r="F67" s="207"/>
      <c r="G67" s="210">
        <v>200.0</v>
      </c>
      <c r="H67" s="206">
        <f>G67 * (1 - VLOOKUP(C67, InputVariables!$A:$B, 2, FALSE))</f>
        <v>166</v>
      </c>
      <c r="I67" s="215">
        <v>2.5</v>
      </c>
      <c r="J67" s="206">
        <f>I67*InputVariables!$E$2</f>
        <v>312.5</v>
      </c>
      <c r="K67" s="209" t="s">
        <v>425</v>
      </c>
      <c r="L67" s="209" t="s">
        <v>426</v>
      </c>
    </row>
    <row r="68">
      <c r="A68" s="209" t="s">
        <v>3</v>
      </c>
      <c r="B68" s="209" t="s">
        <v>8</v>
      </c>
      <c r="C68" s="209" t="s">
        <v>321</v>
      </c>
      <c r="D68" s="209" t="s">
        <v>427</v>
      </c>
      <c r="E68" s="207"/>
      <c r="F68" s="207"/>
      <c r="G68" s="216">
        <v>84.99</v>
      </c>
      <c r="H68" s="206">
        <f>G68 * (1 - VLOOKUP(C68, InputVariables!$A:$B, 2, FALSE))</f>
        <v>70.5417</v>
      </c>
      <c r="I68" s="215">
        <v>2.16</v>
      </c>
      <c r="J68" s="206">
        <f>I68*InputVariables!$E$2</f>
        <v>270</v>
      </c>
      <c r="K68" s="209" t="s">
        <v>428</v>
      </c>
      <c r="L68" s="209" t="s">
        <v>429</v>
      </c>
    </row>
    <row r="69">
      <c r="A69" s="209" t="s">
        <v>3</v>
      </c>
      <c r="B69" s="209" t="s">
        <v>8</v>
      </c>
      <c r="C69" s="209" t="s">
        <v>343</v>
      </c>
      <c r="D69" s="209" t="s">
        <v>430</v>
      </c>
      <c r="E69" s="207"/>
      <c r="F69" s="207"/>
      <c r="G69" s="210">
        <v>60.0</v>
      </c>
      <c r="H69" s="206">
        <f>G69 * (1 - VLOOKUP(C69, InputVariables!$A:$B, 2, FALSE))</f>
        <v>49.8</v>
      </c>
      <c r="I69" s="215">
        <v>2.16</v>
      </c>
      <c r="J69" s="206">
        <f>I69*InputVariables!$E$2</f>
        <v>270</v>
      </c>
      <c r="K69" s="209" t="s">
        <v>431</v>
      </c>
      <c r="L69" s="209" t="s">
        <v>432</v>
      </c>
    </row>
    <row r="70">
      <c r="A70" s="209" t="s">
        <v>3</v>
      </c>
      <c r="B70" s="209" t="s">
        <v>8</v>
      </c>
      <c r="C70" s="209" t="s">
        <v>347</v>
      </c>
      <c r="D70" s="209" t="s">
        <v>433</v>
      </c>
      <c r="E70" s="207"/>
      <c r="F70" s="207"/>
      <c r="G70" s="216">
        <v>219.98</v>
      </c>
      <c r="H70" s="206">
        <f>G70 * (1 - VLOOKUP(C70, InputVariables!$A:$B, 2, FALSE))</f>
        <v>182.5834</v>
      </c>
      <c r="I70" s="215">
        <v>2.88</v>
      </c>
      <c r="J70" s="206">
        <f>I70*InputVariables!$E$2</f>
        <v>360</v>
      </c>
      <c r="K70" s="209" t="s">
        <v>434</v>
      </c>
      <c r="L70" s="209" t="s">
        <v>435</v>
      </c>
    </row>
    <row r="71">
      <c r="A71" s="209" t="s">
        <v>3</v>
      </c>
      <c r="B71" s="209" t="s">
        <v>8</v>
      </c>
      <c r="C71" s="209" t="s">
        <v>301</v>
      </c>
      <c r="D71" s="209" t="s">
        <v>436</v>
      </c>
      <c r="E71" s="207"/>
      <c r="F71" s="207"/>
      <c r="G71" s="216">
        <v>99.96</v>
      </c>
      <c r="H71" s="206">
        <f>G71 * (1 - VLOOKUP(C71, InputVariables!$A:$B, 2, FALSE))</f>
        <v>79.968</v>
      </c>
      <c r="I71" s="215">
        <v>2.16</v>
      </c>
      <c r="J71" s="206">
        <f>I71*InputVariables!$E$2</f>
        <v>270</v>
      </c>
      <c r="K71" s="209" t="s">
        <v>437</v>
      </c>
      <c r="L71" s="209" t="s">
        <v>438</v>
      </c>
    </row>
    <row r="72">
      <c r="A72" s="209" t="s">
        <v>4</v>
      </c>
      <c r="B72" s="209" t="s">
        <v>6</v>
      </c>
      <c r="C72" s="209" t="s">
        <v>321</v>
      </c>
      <c r="D72" s="209" t="s">
        <v>439</v>
      </c>
      <c r="E72" s="207"/>
      <c r="F72" s="207"/>
      <c r="G72" s="210">
        <v>515.0</v>
      </c>
      <c r="H72" s="206">
        <f>G72 * (1 - VLOOKUP(C72, InputVariables!$A:$B, 2, FALSE))</f>
        <v>427.45</v>
      </c>
      <c r="I72" s="215">
        <v>2.4</v>
      </c>
      <c r="J72" s="206">
        <f>I72*InputVariables!$E$2</f>
        <v>300</v>
      </c>
      <c r="K72" s="209" t="s">
        <v>440</v>
      </c>
      <c r="L72" s="209" t="s">
        <v>441</v>
      </c>
    </row>
    <row r="73">
      <c r="A73" s="209" t="s">
        <v>4</v>
      </c>
      <c r="B73" s="209" t="s">
        <v>6</v>
      </c>
      <c r="C73" s="209" t="s">
        <v>308</v>
      </c>
      <c r="D73" s="209" t="s">
        <v>442</v>
      </c>
      <c r="E73" s="207"/>
      <c r="F73" s="207"/>
      <c r="G73" s="210">
        <v>775.0</v>
      </c>
      <c r="H73" s="206">
        <f>G73 * (1 - VLOOKUP(C73, InputVariables!$A:$B, 2, FALSE))</f>
        <v>643.25</v>
      </c>
      <c r="I73" s="215">
        <v>32.0</v>
      </c>
      <c r="J73" s="206">
        <f>I73*InputVariables!$E$2</f>
        <v>4000</v>
      </c>
      <c r="K73" s="209" t="s">
        <v>443</v>
      </c>
      <c r="L73" s="209" t="s">
        <v>444</v>
      </c>
    </row>
    <row r="74">
      <c r="A74" s="209" t="s">
        <v>4</v>
      </c>
      <c r="B74" s="209" t="s">
        <v>6</v>
      </c>
      <c r="C74" s="209" t="s">
        <v>330</v>
      </c>
      <c r="D74" s="209" t="s">
        <v>445</v>
      </c>
      <c r="E74" s="207"/>
      <c r="F74" s="207"/>
      <c r="G74" s="210">
        <v>2678.0</v>
      </c>
      <c r="H74" s="206">
        <f>G74 * (1 - VLOOKUP(C74, InputVariables!$A:$B, 2, FALSE))</f>
        <v>2222.74</v>
      </c>
      <c r="I74" s="215">
        <v>8.0</v>
      </c>
      <c r="J74" s="206">
        <f>I74*InputVariables!$E$2</f>
        <v>1000</v>
      </c>
      <c r="K74" s="209" t="s">
        <v>446</v>
      </c>
      <c r="L74" s="209" t="s">
        <v>447</v>
      </c>
    </row>
    <row r="75">
      <c r="A75" s="209" t="s">
        <v>4</v>
      </c>
      <c r="B75" s="209" t="s">
        <v>6</v>
      </c>
      <c r="C75" s="209" t="s">
        <v>336</v>
      </c>
      <c r="D75" s="209" t="s">
        <v>448</v>
      </c>
      <c r="E75" s="207"/>
      <c r="F75" s="207"/>
      <c r="G75" s="210">
        <v>3900.0</v>
      </c>
      <c r="H75" s="206">
        <f>G75 * (1 - VLOOKUP(C75, InputVariables!$A:$B, 2, FALSE))</f>
        <v>3237</v>
      </c>
      <c r="I75" s="215">
        <v>20.0</v>
      </c>
      <c r="J75" s="206">
        <f>I75*InputVariables!$E$2</f>
        <v>2500</v>
      </c>
      <c r="K75" s="209" t="s">
        <v>449</v>
      </c>
      <c r="L75" s="209" t="s">
        <v>450</v>
      </c>
    </row>
    <row r="76">
      <c r="A76" s="209" t="s">
        <v>4</v>
      </c>
      <c r="B76" s="209" t="s">
        <v>6</v>
      </c>
      <c r="C76" s="209" t="s">
        <v>280</v>
      </c>
      <c r="D76" s="209" t="s">
        <v>451</v>
      </c>
      <c r="E76" s="207"/>
      <c r="F76" s="207"/>
      <c r="G76" s="210">
        <v>12620.0</v>
      </c>
      <c r="H76" s="206">
        <f>G76 * (1 - VLOOKUP(C76, InputVariables!$A:$B, 2, FALSE))</f>
        <v>9465</v>
      </c>
      <c r="I76" s="215">
        <v>48.0</v>
      </c>
      <c r="J76" s="206">
        <f>I76*InputVariables!$E$2</f>
        <v>6000</v>
      </c>
      <c r="K76" s="209" t="s">
        <v>452</v>
      </c>
      <c r="L76" s="209" t="s">
        <v>453</v>
      </c>
    </row>
    <row r="77">
      <c r="A77" s="209" t="s">
        <v>4</v>
      </c>
      <c r="B77" s="209" t="s">
        <v>6</v>
      </c>
      <c r="C77" s="209" t="s">
        <v>343</v>
      </c>
      <c r="D77" s="209" t="s">
        <v>454</v>
      </c>
      <c r="E77" s="207"/>
      <c r="F77" s="207"/>
      <c r="G77" s="210">
        <v>720.0</v>
      </c>
      <c r="H77" s="206">
        <f>G77 * (1 - VLOOKUP(C77, InputVariables!$A:$B, 2, FALSE))</f>
        <v>597.6</v>
      </c>
      <c r="I77" s="215">
        <v>9.6</v>
      </c>
      <c r="J77" s="206">
        <f>I77*InputVariables!$E$2</f>
        <v>1200</v>
      </c>
      <c r="K77" s="209" t="s">
        <v>455</v>
      </c>
      <c r="L77" s="209" t="s">
        <v>456</v>
      </c>
    </row>
    <row r="78">
      <c r="A78" s="209" t="s">
        <v>4</v>
      </c>
      <c r="B78" s="209" t="s">
        <v>6</v>
      </c>
      <c r="C78" s="209" t="s">
        <v>347</v>
      </c>
      <c r="D78" s="209" t="s">
        <v>457</v>
      </c>
      <c r="E78" s="207"/>
      <c r="F78" s="207"/>
      <c r="G78" s="210">
        <v>1750.0</v>
      </c>
      <c r="H78" s="206">
        <f>G78 * (1 - VLOOKUP(C78, InputVariables!$A:$B, 2, FALSE))</f>
        <v>1452.5</v>
      </c>
      <c r="I78" s="215">
        <v>16.0</v>
      </c>
      <c r="J78" s="206">
        <f>I78*InputVariables!$E$2</f>
        <v>2000</v>
      </c>
      <c r="K78" s="209" t="s">
        <v>458</v>
      </c>
      <c r="L78" s="209" t="s">
        <v>459</v>
      </c>
    </row>
    <row r="79">
      <c r="A79" s="209" t="s">
        <v>4</v>
      </c>
      <c r="B79" s="209" t="s">
        <v>6</v>
      </c>
      <c r="C79" s="209" t="s">
        <v>351</v>
      </c>
      <c r="D79" s="209" t="s">
        <v>460</v>
      </c>
      <c r="E79" s="207"/>
      <c r="F79" s="207"/>
      <c r="G79" s="210">
        <v>1070.0</v>
      </c>
      <c r="H79" s="206">
        <f>G79 * (1 - VLOOKUP(C79, InputVariables!$A:$B, 2, FALSE))</f>
        <v>888.1</v>
      </c>
      <c r="I79" s="215">
        <v>6.4</v>
      </c>
      <c r="J79" s="206">
        <f>I79*InputVariables!$E$2</f>
        <v>800</v>
      </c>
      <c r="K79" s="209" t="s">
        <v>461</v>
      </c>
      <c r="L79" s="209" t="s">
        <v>462</v>
      </c>
    </row>
    <row r="80">
      <c r="A80" s="209" t="s">
        <v>4</v>
      </c>
      <c r="B80" s="209" t="s">
        <v>6</v>
      </c>
      <c r="C80" s="209" t="s">
        <v>355</v>
      </c>
      <c r="D80" s="209" t="s">
        <v>463</v>
      </c>
      <c r="E80" s="207"/>
      <c r="F80" s="207"/>
      <c r="G80" s="210">
        <v>2100.0</v>
      </c>
      <c r="H80" s="206">
        <f>G80 * (1 - VLOOKUP(C80, InputVariables!$A:$B, 2, FALSE))</f>
        <v>1743</v>
      </c>
      <c r="I80" s="215">
        <v>20.0</v>
      </c>
      <c r="J80" s="206">
        <f>I80*InputVariables!$E$2</f>
        <v>2500</v>
      </c>
      <c r="K80" s="209" t="s">
        <v>464</v>
      </c>
      <c r="L80" s="209" t="s">
        <v>465</v>
      </c>
    </row>
    <row r="81">
      <c r="A81" s="209" t="s">
        <v>4</v>
      </c>
      <c r="B81" s="209" t="s">
        <v>6</v>
      </c>
      <c r="C81" s="209" t="s">
        <v>359</v>
      </c>
      <c r="D81" s="209" t="s">
        <v>466</v>
      </c>
      <c r="E81" s="207"/>
      <c r="F81" s="207"/>
      <c r="G81" s="210">
        <v>540.0</v>
      </c>
      <c r="H81" s="206">
        <f>G81 * (1 - VLOOKUP(C81, InputVariables!$A:$B, 2, FALSE))</f>
        <v>448.2</v>
      </c>
      <c r="I81" s="215">
        <v>8.0</v>
      </c>
      <c r="J81" s="206">
        <f>I81*InputVariables!$E$2</f>
        <v>1000</v>
      </c>
      <c r="K81" s="209" t="s">
        <v>467</v>
      </c>
      <c r="L81" s="209" t="s">
        <v>468</v>
      </c>
    </row>
    <row r="82">
      <c r="A82" s="209" t="s">
        <v>4</v>
      </c>
      <c r="B82" s="209" t="s">
        <v>6</v>
      </c>
      <c r="C82" s="209" t="s">
        <v>292</v>
      </c>
      <c r="D82" s="209" t="s">
        <v>469</v>
      </c>
      <c r="E82" s="207"/>
      <c r="F82" s="207"/>
      <c r="G82" s="210">
        <v>1050.0</v>
      </c>
      <c r="H82" s="206">
        <f>G82 * (1 - VLOOKUP(C82, InputVariables!$A:$B, 2, FALSE))</f>
        <v>787.5</v>
      </c>
      <c r="I82" s="215">
        <v>4.8</v>
      </c>
      <c r="J82" s="206">
        <f>I82*InputVariables!$E$2</f>
        <v>600</v>
      </c>
      <c r="K82" s="209" t="s">
        <v>470</v>
      </c>
      <c r="L82" s="209" t="s">
        <v>471</v>
      </c>
    </row>
    <row r="83">
      <c r="A83" s="209" t="s">
        <v>4</v>
      </c>
      <c r="B83" s="209" t="s">
        <v>6</v>
      </c>
      <c r="C83" s="209" t="s">
        <v>301</v>
      </c>
      <c r="D83" s="209" t="s">
        <v>472</v>
      </c>
      <c r="E83" s="207"/>
      <c r="F83" s="207"/>
      <c r="G83" s="210">
        <v>2650.0</v>
      </c>
      <c r="H83" s="206">
        <f>G83 * (1 - VLOOKUP(C83, InputVariables!$A:$B, 2, FALSE))</f>
        <v>2120</v>
      </c>
      <c r="I83" s="215">
        <v>24.0</v>
      </c>
      <c r="J83" s="206">
        <f>I83*InputVariables!$E$2</f>
        <v>3000</v>
      </c>
      <c r="K83" s="209" t="s">
        <v>473</v>
      </c>
      <c r="L83" s="209" t="s">
        <v>474</v>
      </c>
    </row>
    <row r="84">
      <c r="A84" s="209" t="s">
        <v>4</v>
      </c>
      <c r="B84" s="209" t="s">
        <v>6</v>
      </c>
      <c r="C84" s="209" t="s">
        <v>301</v>
      </c>
      <c r="D84" s="211" t="s">
        <v>475</v>
      </c>
      <c r="E84" s="204">
        <v>84.0</v>
      </c>
      <c r="F84" s="204">
        <v>59.0</v>
      </c>
      <c r="G84" s="210">
        <f t="shared" ref="G84:G86" si="2">E84*F84</f>
        <v>4956</v>
      </c>
      <c r="H84" s="206">
        <f>G84 * (1 - VLOOKUP(C84, InputVariables!$A:$B, 2, FALSE))</f>
        <v>3964.8</v>
      </c>
      <c r="I84" s="215">
        <f>0.5*E84</f>
        <v>42</v>
      </c>
      <c r="J84" s="206">
        <f>I84*InputVariables!$E$2</f>
        <v>5250</v>
      </c>
      <c r="K84" s="209"/>
      <c r="L84" s="209"/>
    </row>
    <row r="85">
      <c r="A85" s="209" t="s">
        <v>4</v>
      </c>
      <c r="B85" s="209" t="s">
        <v>6</v>
      </c>
      <c r="C85" s="209" t="s">
        <v>301</v>
      </c>
      <c r="D85" s="211" t="s">
        <v>476</v>
      </c>
      <c r="E85" s="204">
        <v>6.0</v>
      </c>
      <c r="F85" s="204">
        <v>130.0</v>
      </c>
      <c r="G85" s="210">
        <f t="shared" si="2"/>
        <v>780</v>
      </c>
      <c r="H85" s="206">
        <f>G85 * (1 - VLOOKUP(C85, InputVariables!$A:$B, 2, FALSE))</f>
        <v>624</v>
      </c>
      <c r="I85" s="215">
        <f t="shared" ref="I85:I86" si="3">1*E85</f>
        <v>6</v>
      </c>
      <c r="J85" s="206">
        <f>I85*InputVariables!$E$2</f>
        <v>750</v>
      </c>
      <c r="K85" s="209"/>
      <c r="L85" s="209"/>
    </row>
    <row r="86">
      <c r="A86" s="209" t="s">
        <v>4</v>
      </c>
      <c r="B86" s="209" t="s">
        <v>6</v>
      </c>
      <c r="C86" s="209" t="s">
        <v>301</v>
      </c>
      <c r="D86" s="211" t="s">
        <v>477</v>
      </c>
      <c r="E86" s="204">
        <v>10.0</v>
      </c>
      <c r="F86" s="204">
        <v>40.0</v>
      </c>
      <c r="G86" s="210">
        <f t="shared" si="2"/>
        <v>400</v>
      </c>
      <c r="H86" s="206">
        <f>G86 * (1 - VLOOKUP(C86, InputVariables!$A:$B, 2, FALSE))</f>
        <v>320</v>
      </c>
      <c r="I86" s="215">
        <f t="shared" si="3"/>
        <v>10</v>
      </c>
      <c r="J86" s="206">
        <f>I86*InputVariables!$E$2</f>
        <v>1250</v>
      </c>
      <c r="K86" s="209"/>
      <c r="L86" s="209"/>
    </row>
    <row r="87">
      <c r="A87" s="209" t="s">
        <v>4</v>
      </c>
      <c r="B87" s="209" t="s">
        <v>6</v>
      </c>
      <c r="C87" s="209" t="s">
        <v>265</v>
      </c>
      <c r="D87" s="209" t="s">
        <v>478</v>
      </c>
      <c r="E87" s="207"/>
      <c r="F87" s="207"/>
      <c r="G87" s="210">
        <v>1080.0</v>
      </c>
      <c r="H87" s="206">
        <f>G87 * (1 - VLOOKUP(C87, InputVariables!$A:$B, 2, FALSE))</f>
        <v>918</v>
      </c>
      <c r="I87" s="215">
        <v>4.8</v>
      </c>
      <c r="J87" s="206">
        <f>I87*InputVariables!$E$2</f>
        <v>600</v>
      </c>
      <c r="K87" s="209" t="s">
        <v>479</v>
      </c>
      <c r="L87" s="209" t="s">
        <v>480</v>
      </c>
    </row>
    <row r="88">
      <c r="A88" s="209" t="s">
        <v>4</v>
      </c>
      <c r="B88" s="209" t="s">
        <v>6</v>
      </c>
      <c r="C88" s="209" t="s">
        <v>258</v>
      </c>
      <c r="D88" s="209" t="s">
        <v>481</v>
      </c>
      <c r="E88" s="207"/>
      <c r="F88" s="207"/>
      <c r="G88" s="210">
        <v>2500.0</v>
      </c>
      <c r="H88" s="206">
        <f>G88 * (1 - VLOOKUP(C88, InputVariables!$A:$B, 2, FALSE))</f>
        <v>2000</v>
      </c>
      <c r="I88" s="215">
        <v>9.6</v>
      </c>
      <c r="J88" s="206">
        <f>I88*InputVariables!$E$2</f>
        <v>1200</v>
      </c>
      <c r="K88" s="209" t="s">
        <v>482</v>
      </c>
      <c r="L88" s="209" t="s">
        <v>483</v>
      </c>
    </row>
    <row r="89">
      <c r="A89" s="209" t="s">
        <v>4</v>
      </c>
      <c r="B89" s="209" t="s">
        <v>6</v>
      </c>
      <c r="C89" s="209" t="s">
        <v>378</v>
      </c>
      <c r="D89" s="209" t="s">
        <v>484</v>
      </c>
      <c r="E89" s="207"/>
      <c r="F89" s="207"/>
      <c r="G89" s="210">
        <v>450.0</v>
      </c>
      <c r="H89" s="206">
        <f>G89 * (1 - VLOOKUP(C89, InputVariables!$A:$B, 2, FALSE))</f>
        <v>373.5</v>
      </c>
      <c r="I89" s="215">
        <v>4.8</v>
      </c>
      <c r="J89" s="206">
        <f>I89*InputVariables!$E$2</f>
        <v>600</v>
      </c>
      <c r="K89" s="209" t="s">
        <v>485</v>
      </c>
      <c r="L89" s="209" t="s">
        <v>486</v>
      </c>
    </row>
    <row r="90">
      <c r="A90" s="209" t="s">
        <v>4</v>
      </c>
      <c r="B90" s="209" t="s">
        <v>6</v>
      </c>
      <c r="C90" s="209" t="s">
        <v>280</v>
      </c>
      <c r="D90" s="211" t="s">
        <v>487</v>
      </c>
      <c r="E90" s="204">
        <v>1.0</v>
      </c>
      <c r="F90" s="204">
        <v>679.0</v>
      </c>
      <c r="G90" s="210">
        <f t="shared" ref="G90:G91" si="4">E90*F90</f>
        <v>679</v>
      </c>
      <c r="H90" s="206">
        <f>G90 * (1 - VLOOKUP(C90, InputVariables!$A:$B, 2, FALSE))</f>
        <v>509.25</v>
      </c>
      <c r="I90" s="217">
        <v>6.0</v>
      </c>
      <c r="J90" s="206">
        <f>I90*InputVariables!$E$2</f>
        <v>750</v>
      </c>
      <c r="K90" s="209"/>
      <c r="L90" s="209"/>
    </row>
    <row r="91">
      <c r="A91" s="209" t="s">
        <v>4</v>
      </c>
      <c r="B91" s="209" t="s">
        <v>7</v>
      </c>
      <c r="C91" s="209" t="s">
        <v>280</v>
      </c>
      <c r="D91" s="211" t="s">
        <v>487</v>
      </c>
      <c r="E91" s="204">
        <v>1.0</v>
      </c>
      <c r="F91" s="204">
        <v>679.0</v>
      </c>
      <c r="G91" s="210">
        <f t="shared" si="4"/>
        <v>679</v>
      </c>
      <c r="H91" s="206">
        <f>G91 * (1 - VLOOKUP(C91, InputVariables!$A:$B, 2, FALSE))</f>
        <v>509.25</v>
      </c>
      <c r="I91" s="217">
        <v>6.0</v>
      </c>
      <c r="J91" s="206">
        <f>I91*InputVariables!$E$2</f>
        <v>750</v>
      </c>
      <c r="K91" s="209"/>
      <c r="L91" s="209"/>
    </row>
    <row r="92">
      <c r="A92" s="209" t="s">
        <v>4</v>
      </c>
      <c r="B92" s="209" t="s">
        <v>7</v>
      </c>
      <c r="C92" s="209" t="s">
        <v>308</v>
      </c>
      <c r="D92" s="209" t="s">
        <v>488</v>
      </c>
      <c r="E92" s="207"/>
      <c r="F92" s="207"/>
      <c r="G92" s="210">
        <v>60.0</v>
      </c>
      <c r="H92" s="206">
        <f>G92 * (1 - VLOOKUP(C92, InputVariables!$A:$B, 2, FALSE))</f>
        <v>49.8</v>
      </c>
      <c r="I92" s="215">
        <v>12.0</v>
      </c>
      <c r="J92" s="206">
        <f>I92*InputVariables!$E$2</f>
        <v>1500</v>
      </c>
      <c r="K92" s="209" t="s">
        <v>489</v>
      </c>
      <c r="L92" s="209" t="s">
        <v>490</v>
      </c>
    </row>
    <row r="93">
      <c r="A93" s="209" t="s">
        <v>4</v>
      </c>
      <c r="B93" s="209" t="s">
        <v>7</v>
      </c>
      <c r="C93" s="209" t="s">
        <v>330</v>
      </c>
      <c r="D93" s="209" t="s">
        <v>491</v>
      </c>
      <c r="E93" s="207"/>
      <c r="F93" s="207"/>
      <c r="G93" s="210">
        <v>1035.0</v>
      </c>
      <c r="H93" s="206">
        <f>G93 * (1 - VLOOKUP(C93, InputVariables!$A:$B, 2, FALSE))</f>
        <v>859.05</v>
      </c>
      <c r="I93" s="215">
        <v>5.0</v>
      </c>
      <c r="J93" s="206">
        <f>I93*InputVariables!$E$2</f>
        <v>625</v>
      </c>
      <c r="K93" s="209" t="s">
        <v>492</v>
      </c>
      <c r="L93" s="209" t="s">
        <v>493</v>
      </c>
    </row>
    <row r="94">
      <c r="A94" s="209" t="s">
        <v>4</v>
      </c>
      <c r="B94" s="209" t="s">
        <v>7</v>
      </c>
      <c r="C94" s="209" t="s">
        <v>336</v>
      </c>
      <c r="D94" s="209" t="s">
        <v>494</v>
      </c>
      <c r="E94" s="207"/>
      <c r="F94" s="207"/>
      <c r="G94" s="210">
        <v>600.0</v>
      </c>
      <c r="H94" s="206">
        <f>G94 * (1 - VLOOKUP(C94, InputVariables!$A:$B, 2, FALSE))</f>
        <v>498</v>
      </c>
      <c r="I94" s="215">
        <v>3.0</v>
      </c>
      <c r="J94" s="206">
        <f>I94*InputVariables!$E$2</f>
        <v>375</v>
      </c>
      <c r="K94" s="209" t="s">
        <v>495</v>
      </c>
      <c r="L94" s="209" t="s">
        <v>496</v>
      </c>
    </row>
    <row r="95">
      <c r="A95" s="209" t="s">
        <v>4</v>
      </c>
      <c r="B95" s="209" t="s">
        <v>7</v>
      </c>
      <c r="C95" s="209" t="s">
        <v>280</v>
      </c>
      <c r="D95" s="209" t="s">
        <v>497</v>
      </c>
      <c r="E95" s="207"/>
      <c r="F95" s="207"/>
      <c r="G95" s="210">
        <v>5500.0</v>
      </c>
      <c r="H95" s="206">
        <f>G95 * (1 - VLOOKUP(C95, InputVariables!$A:$B, 2, FALSE))</f>
        <v>4125</v>
      </c>
      <c r="I95" s="215">
        <v>6.0</v>
      </c>
      <c r="J95" s="206">
        <f>I95*InputVariables!$E$2</f>
        <v>750</v>
      </c>
      <c r="K95" s="209" t="s">
        <v>498</v>
      </c>
      <c r="L95" s="209" t="s">
        <v>499</v>
      </c>
    </row>
    <row r="96">
      <c r="A96" s="209" t="s">
        <v>4</v>
      </c>
      <c r="B96" s="209" t="s">
        <v>7</v>
      </c>
      <c r="C96" s="209" t="s">
        <v>343</v>
      </c>
      <c r="D96" s="209" t="s">
        <v>500</v>
      </c>
      <c r="E96" s="207"/>
      <c r="F96" s="207"/>
      <c r="G96" s="210">
        <v>450.0</v>
      </c>
      <c r="H96" s="206">
        <f>G96 * (1 - VLOOKUP(C96, InputVariables!$A:$B, 2, FALSE))</f>
        <v>373.5</v>
      </c>
      <c r="I96" s="215">
        <v>4.0</v>
      </c>
      <c r="J96" s="206">
        <f>I96*InputVariables!$E$2</f>
        <v>500</v>
      </c>
      <c r="K96" s="209" t="s">
        <v>501</v>
      </c>
      <c r="L96" s="209" t="s">
        <v>502</v>
      </c>
    </row>
    <row r="97">
      <c r="A97" s="209" t="s">
        <v>4</v>
      </c>
      <c r="B97" s="209" t="s">
        <v>7</v>
      </c>
      <c r="C97" s="209" t="s">
        <v>347</v>
      </c>
      <c r="D97" s="209" t="s">
        <v>503</v>
      </c>
      <c r="E97" s="207"/>
      <c r="F97" s="207"/>
      <c r="G97" s="210">
        <v>800.0</v>
      </c>
      <c r="H97" s="206">
        <f>G97 * (1 - VLOOKUP(C97, InputVariables!$A:$B, 2, FALSE))</f>
        <v>664</v>
      </c>
      <c r="I97" s="215">
        <v>3.0</v>
      </c>
      <c r="J97" s="206">
        <f>I97*InputVariables!$E$2</f>
        <v>375</v>
      </c>
      <c r="K97" s="209" t="s">
        <v>504</v>
      </c>
      <c r="L97" s="209" t="s">
        <v>505</v>
      </c>
    </row>
    <row r="98">
      <c r="A98" s="209" t="s">
        <v>4</v>
      </c>
      <c r="B98" s="209" t="s">
        <v>7</v>
      </c>
      <c r="C98" s="209" t="s">
        <v>351</v>
      </c>
      <c r="D98" s="209" t="s">
        <v>506</v>
      </c>
      <c r="E98" s="207"/>
      <c r="F98" s="207"/>
      <c r="G98" s="210">
        <v>875.0</v>
      </c>
      <c r="H98" s="206">
        <f>G98 * (1 - VLOOKUP(C98, InputVariables!$A:$B, 2, FALSE))</f>
        <v>726.25</v>
      </c>
      <c r="I98" s="215">
        <v>4.0</v>
      </c>
      <c r="J98" s="206">
        <f>I98*InputVariables!$E$2</f>
        <v>500</v>
      </c>
      <c r="K98" s="209" t="s">
        <v>507</v>
      </c>
      <c r="L98" s="209" t="s">
        <v>508</v>
      </c>
    </row>
    <row r="99">
      <c r="A99" s="209" t="s">
        <v>4</v>
      </c>
      <c r="B99" s="209" t="s">
        <v>7</v>
      </c>
      <c r="C99" s="209" t="s">
        <v>355</v>
      </c>
      <c r="D99" s="209" t="s">
        <v>509</v>
      </c>
      <c r="E99" s="207"/>
      <c r="F99" s="207"/>
      <c r="G99" s="210">
        <v>650.0</v>
      </c>
      <c r="H99" s="206">
        <f>G99 * (1 - VLOOKUP(C99, InputVariables!$A:$B, 2, FALSE))</f>
        <v>539.5</v>
      </c>
      <c r="I99" s="215">
        <v>5.0</v>
      </c>
      <c r="J99" s="206">
        <f>I99*InputVariables!$E$2</f>
        <v>625</v>
      </c>
      <c r="K99" s="209" t="s">
        <v>510</v>
      </c>
      <c r="L99" s="209" t="s">
        <v>511</v>
      </c>
    </row>
    <row r="100">
      <c r="A100" s="209" t="s">
        <v>4</v>
      </c>
      <c r="B100" s="209" t="s">
        <v>7</v>
      </c>
      <c r="C100" s="209" t="s">
        <v>359</v>
      </c>
      <c r="D100" s="209" t="s">
        <v>360</v>
      </c>
      <c r="E100" s="207"/>
      <c r="F100" s="207"/>
      <c r="G100" s="210">
        <v>300.0</v>
      </c>
      <c r="H100" s="206">
        <f>G100 * (1 - VLOOKUP(C100, InputVariables!$A:$B, 2, FALSE))</f>
        <v>249</v>
      </c>
      <c r="I100" s="215">
        <v>2.0</v>
      </c>
      <c r="J100" s="206">
        <f>I100*InputVariables!$E$2</f>
        <v>250</v>
      </c>
      <c r="K100" s="209" t="s">
        <v>512</v>
      </c>
      <c r="L100" s="209" t="s">
        <v>513</v>
      </c>
    </row>
    <row r="101">
      <c r="A101" s="209" t="s">
        <v>4</v>
      </c>
      <c r="B101" s="209" t="s">
        <v>7</v>
      </c>
      <c r="C101" s="209" t="s">
        <v>292</v>
      </c>
      <c r="D101" s="209" t="s">
        <v>514</v>
      </c>
      <c r="E101" s="207"/>
      <c r="F101" s="207"/>
      <c r="G101" s="210">
        <v>400.0</v>
      </c>
      <c r="H101" s="206">
        <f>G101 * (1 - VLOOKUP(C101, InputVariables!$A:$B, 2, FALSE))</f>
        <v>300</v>
      </c>
      <c r="I101" s="215">
        <v>3.0</v>
      </c>
      <c r="J101" s="206">
        <f>I101*InputVariables!$E$2</f>
        <v>375</v>
      </c>
      <c r="K101" s="209" t="s">
        <v>515</v>
      </c>
      <c r="L101" s="209" t="s">
        <v>516</v>
      </c>
    </row>
    <row r="102">
      <c r="A102" s="209" t="s">
        <v>4</v>
      </c>
      <c r="B102" s="209" t="s">
        <v>7</v>
      </c>
      <c r="C102" s="209" t="s">
        <v>301</v>
      </c>
      <c r="D102" s="209" t="s">
        <v>517</v>
      </c>
      <c r="E102" s="207"/>
      <c r="F102" s="207"/>
      <c r="G102" s="210">
        <v>3475.0</v>
      </c>
      <c r="H102" s="206">
        <f>G102 * (1 - VLOOKUP(C102, InputVariables!$A:$B, 2, FALSE))</f>
        <v>2780</v>
      </c>
      <c r="I102" s="215">
        <v>8.0</v>
      </c>
      <c r="J102" s="206">
        <f>I102*InputVariables!$E$2</f>
        <v>1000</v>
      </c>
      <c r="K102" s="209" t="s">
        <v>518</v>
      </c>
      <c r="L102" s="209" t="s">
        <v>519</v>
      </c>
    </row>
    <row r="103">
      <c r="A103" s="209" t="s">
        <v>4</v>
      </c>
      <c r="B103" s="209" t="s">
        <v>7</v>
      </c>
      <c r="C103" s="209" t="s">
        <v>370</v>
      </c>
      <c r="D103" s="209" t="s">
        <v>520</v>
      </c>
      <c r="E103" s="207"/>
      <c r="F103" s="207"/>
      <c r="G103" s="210">
        <v>450.0</v>
      </c>
      <c r="H103" s="206">
        <f>G103 * (1 - VLOOKUP(C103, InputVariables!$A:$B, 2, FALSE))</f>
        <v>373.5</v>
      </c>
      <c r="I103" s="215">
        <v>3.0</v>
      </c>
      <c r="J103" s="206">
        <f>I103*InputVariables!$E$2</f>
        <v>375</v>
      </c>
      <c r="K103" s="209" t="s">
        <v>521</v>
      </c>
      <c r="L103" s="209" t="s">
        <v>522</v>
      </c>
    </row>
    <row r="104">
      <c r="A104" s="209" t="s">
        <v>4</v>
      </c>
      <c r="B104" s="209" t="s">
        <v>7</v>
      </c>
      <c r="C104" s="209" t="s">
        <v>258</v>
      </c>
      <c r="D104" s="209" t="s">
        <v>523</v>
      </c>
      <c r="E104" s="207"/>
      <c r="F104" s="207"/>
      <c r="G104" s="210">
        <v>1200.0</v>
      </c>
      <c r="H104" s="206">
        <f>G104 * (1 - VLOOKUP(C104, InputVariables!$A:$B, 2, FALSE))</f>
        <v>960</v>
      </c>
      <c r="I104" s="215">
        <v>4.0</v>
      </c>
      <c r="J104" s="206">
        <f>I104*InputVariables!$E$2</f>
        <v>500</v>
      </c>
      <c r="K104" s="209" t="s">
        <v>524</v>
      </c>
      <c r="L104" s="209" t="s">
        <v>525</v>
      </c>
    </row>
    <row r="105">
      <c r="A105" s="209" t="s">
        <v>4</v>
      </c>
      <c r="B105" s="209" t="s">
        <v>7</v>
      </c>
      <c r="C105" s="209" t="s">
        <v>378</v>
      </c>
      <c r="D105" s="209" t="s">
        <v>526</v>
      </c>
      <c r="E105" s="207"/>
      <c r="F105" s="207"/>
      <c r="G105" s="210">
        <v>400.0</v>
      </c>
      <c r="H105" s="206">
        <f>G105 * (1 - VLOOKUP(C105, InputVariables!$A:$B, 2, FALSE))</f>
        <v>332</v>
      </c>
      <c r="I105" s="215">
        <v>3.0</v>
      </c>
      <c r="J105" s="206">
        <f>I105*InputVariables!$E$2</f>
        <v>375</v>
      </c>
      <c r="K105" s="209" t="s">
        <v>527</v>
      </c>
      <c r="L105" s="209" t="s">
        <v>528</v>
      </c>
    </row>
    <row r="106">
      <c r="A106" s="209" t="s">
        <v>4</v>
      </c>
      <c r="B106" s="209" t="s">
        <v>8</v>
      </c>
      <c r="C106" s="209" t="s">
        <v>321</v>
      </c>
      <c r="D106" s="209" t="s">
        <v>529</v>
      </c>
      <c r="E106" s="207"/>
      <c r="F106" s="207"/>
      <c r="G106" s="210">
        <v>160.0</v>
      </c>
      <c r="H106" s="206">
        <f>G106 * (1 - VLOOKUP(C106, InputVariables!$A:$B, 2, FALSE))</f>
        <v>132.8</v>
      </c>
      <c r="I106" s="215">
        <v>1.5</v>
      </c>
      <c r="J106" s="206">
        <f>I106*InputVariables!$E$2</f>
        <v>187.5</v>
      </c>
      <c r="K106" s="209" t="s">
        <v>530</v>
      </c>
      <c r="L106" s="209" t="s">
        <v>384</v>
      </c>
    </row>
    <row r="107">
      <c r="A107" s="209" t="s">
        <v>4</v>
      </c>
      <c r="B107" s="209" t="s">
        <v>8</v>
      </c>
      <c r="C107" s="209" t="s">
        <v>308</v>
      </c>
      <c r="D107" s="209" t="s">
        <v>531</v>
      </c>
      <c r="E107" s="207"/>
      <c r="F107" s="207"/>
      <c r="G107" s="216">
        <v>7.5</v>
      </c>
      <c r="H107" s="206">
        <f>G107 * (1 - VLOOKUP(C107, InputVariables!$A:$B, 2, FALSE))</f>
        <v>6.225</v>
      </c>
      <c r="I107" s="215">
        <v>2.5</v>
      </c>
      <c r="J107" s="206">
        <f>I107*InputVariables!$E$2</f>
        <v>312.5</v>
      </c>
      <c r="K107" s="209" t="s">
        <v>532</v>
      </c>
      <c r="L107" s="209" t="s">
        <v>533</v>
      </c>
    </row>
    <row r="108">
      <c r="A108" s="209" t="s">
        <v>4</v>
      </c>
      <c r="B108" s="209" t="s">
        <v>8</v>
      </c>
      <c r="C108" s="209" t="s">
        <v>330</v>
      </c>
      <c r="D108" s="209" t="s">
        <v>534</v>
      </c>
      <c r="E108" s="207"/>
      <c r="F108" s="207"/>
      <c r="G108" s="210">
        <v>298.0</v>
      </c>
      <c r="H108" s="206">
        <f>G108 * (1 - VLOOKUP(C108, InputVariables!$A:$B, 2, FALSE))</f>
        <v>247.34</v>
      </c>
      <c r="I108" s="215">
        <v>4.0</v>
      </c>
      <c r="J108" s="206">
        <f>I108*InputVariables!$E$2</f>
        <v>500</v>
      </c>
      <c r="K108" s="209" t="s">
        <v>535</v>
      </c>
      <c r="L108" s="209" t="s">
        <v>536</v>
      </c>
    </row>
    <row r="109">
      <c r="A109" s="209" t="s">
        <v>4</v>
      </c>
      <c r="B109" s="209" t="s">
        <v>8</v>
      </c>
      <c r="C109" s="209" t="s">
        <v>336</v>
      </c>
      <c r="D109" s="209" t="s">
        <v>537</v>
      </c>
      <c r="E109" s="207"/>
      <c r="F109" s="207"/>
      <c r="G109" s="210">
        <v>498.0</v>
      </c>
      <c r="H109" s="206">
        <f>G109 * (1 - VLOOKUP(C109, InputVariables!$A:$B, 2, FALSE))</f>
        <v>413.34</v>
      </c>
      <c r="I109" s="215">
        <v>2.5</v>
      </c>
      <c r="J109" s="206">
        <f>I109*InputVariables!$E$2</f>
        <v>312.5</v>
      </c>
      <c r="K109" s="209" t="s">
        <v>538</v>
      </c>
      <c r="L109" s="209" t="s">
        <v>539</v>
      </c>
    </row>
    <row r="110">
      <c r="A110" s="209" t="s">
        <v>4</v>
      </c>
      <c r="B110" s="209" t="s">
        <v>8</v>
      </c>
      <c r="C110" s="209" t="s">
        <v>280</v>
      </c>
      <c r="D110" s="209" t="s">
        <v>540</v>
      </c>
      <c r="E110" s="207"/>
      <c r="F110" s="207"/>
      <c r="G110" s="210">
        <v>1949.0</v>
      </c>
      <c r="H110" s="206">
        <f>G110 * (1 - VLOOKUP(C110, InputVariables!$A:$B, 2, FALSE))</f>
        <v>1461.75</v>
      </c>
      <c r="I110" s="215">
        <v>7.0</v>
      </c>
      <c r="J110" s="206">
        <f>I110*InputVariables!$E$2</f>
        <v>875</v>
      </c>
      <c r="K110" s="209" t="s">
        <v>541</v>
      </c>
      <c r="L110" s="209" t="s">
        <v>542</v>
      </c>
    </row>
    <row r="111">
      <c r="A111" s="209" t="s">
        <v>4</v>
      </c>
      <c r="B111" s="209" t="s">
        <v>8</v>
      </c>
      <c r="C111" s="209" t="s">
        <v>343</v>
      </c>
      <c r="D111" s="209" t="s">
        <v>543</v>
      </c>
      <c r="E111" s="207"/>
      <c r="F111" s="207"/>
      <c r="G111" s="210">
        <v>150.0</v>
      </c>
      <c r="H111" s="206">
        <f>G111 * (1 - VLOOKUP(C111, InputVariables!$A:$B, 2, FALSE))</f>
        <v>124.5</v>
      </c>
      <c r="I111" s="215">
        <v>3.5</v>
      </c>
      <c r="J111" s="206">
        <f>I111*InputVariables!$E$2</f>
        <v>437.5</v>
      </c>
      <c r="K111" s="209" t="s">
        <v>544</v>
      </c>
      <c r="L111" s="209" t="s">
        <v>545</v>
      </c>
    </row>
    <row r="112">
      <c r="A112" s="209" t="s">
        <v>4</v>
      </c>
      <c r="B112" s="209" t="s">
        <v>8</v>
      </c>
      <c r="C112" s="209" t="s">
        <v>347</v>
      </c>
      <c r="D112" s="209" t="s">
        <v>546</v>
      </c>
      <c r="E112" s="207"/>
      <c r="F112" s="207"/>
      <c r="G112" s="210">
        <v>398.0</v>
      </c>
      <c r="H112" s="206">
        <f>G112 * (1 - VLOOKUP(C112, InputVariables!$A:$B, 2, FALSE))</f>
        <v>330.34</v>
      </c>
      <c r="I112" s="215">
        <v>5.0</v>
      </c>
      <c r="J112" s="206">
        <f>I112*InputVariables!$E$2</f>
        <v>625</v>
      </c>
      <c r="K112" s="209" t="s">
        <v>547</v>
      </c>
      <c r="L112" s="209" t="s">
        <v>548</v>
      </c>
    </row>
    <row r="113">
      <c r="A113" s="209" t="s">
        <v>4</v>
      </c>
      <c r="B113" s="209" t="s">
        <v>8</v>
      </c>
      <c r="C113" s="209" t="s">
        <v>355</v>
      </c>
      <c r="D113" s="209" t="s">
        <v>549</v>
      </c>
      <c r="E113" s="207"/>
      <c r="F113" s="207"/>
      <c r="G113" s="210">
        <v>299.0</v>
      </c>
      <c r="H113" s="206">
        <f>G113 * (1 - VLOOKUP(C113, InputVariables!$A:$B, 2, FALSE))</f>
        <v>248.17</v>
      </c>
      <c r="I113" s="215">
        <v>1.0</v>
      </c>
      <c r="J113" s="206">
        <f>I113*InputVariables!$E$2</f>
        <v>125</v>
      </c>
      <c r="K113" s="209" t="s">
        <v>550</v>
      </c>
      <c r="L113" s="209" t="s">
        <v>551</v>
      </c>
    </row>
    <row r="114">
      <c r="A114" s="209" t="s">
        <v>4</v>
      </c>
      <c r="B114" s="209" t="s">
        <v>8</v>
      </c>
      <c r="C114" s="209" t="s">
        <v>301</v>
      </c>
      <c r="D114" s="209" t="s">
        <v>552</v>
      </c>
      <c r="E114" s="207"/>
      <c r="F114" s="207"/>
      <c r="G114" s="210">
        <v>370.0</v>
      </c>
      <c r="H114" s="206">
        <f>G114 * (1 - VLOOKUP(C114, InputVariables!$A:$B, 2, FALSE))</f>
        <v>296</v>
      </c>
      <c r="I114" s="215">
        <v>4.0</v>
      </c>
      <c r="J114" s="206">
        <f>I114*InputVariables!$E$2</f>
        <v>500</v>
      </c>
      <c r="K114" s="209" t="s">
        <v>553</v>
      </c>
      <c r="L114" s="209" t="s">
        <v>554</v>
      </c>
    </row>
    <row r="115">
      <c r="A115" s="209" t="s">
        <v>4</v>
      </c>
      <c r="B115" s="209" t="s">
        <v>8</v>
      </c>
      <c r="C115" s="209" t="s">
        <v>265</v>
      </c>
      <c r="D115" s="209" t="s">
        <v>418</v>
      </c>
      <c r="E115" s="207"/>
      <c r="F115" s="207"/>
      <c r="G115" s="210">
        <v>220.0</v>
      </c>
      <c r="H115" s="206">
        <f>G115 * (1 - VLOOKUP(C115, InputVariables!$A:$B, 2, FALSE))</f>
        <v>187</v>
      </c>
      <c r="I115" s="215">
        <v>2.0</v>
      </c>
      <c r="J115" s="206">
        <f>I115*InputVariables!$E$2</f>
        <v>250</v>
      </c>
      <c r="K115" s="209" t="s">
        <v>555</v>
      </c>
      <c r="L115" s="209" t="s">
        <v>556</v>
      </c>
    </row>
    <row r="116">
      <c r="A116" s="209" t="s">
        <v>4</v>
      </c>
      <c r="B116" s="209" t="s">
        <v>8</v>
      </c>
      <c r="C116" s="209" t="s">
        <v>374</v>
      </c>
      <c r="D116" s="209" t="s">
        <v>421</v>
      </c>
      <c r="E116" s="207"/>
      <c r="F116" s="207"/>
      <c r="G116" s="210">
        <v>150.0</v>
      </c>
      <c r="H116" s="206">
        <f>G116 * (1 - VLOOKUP(C116, InputVariables!$A:$B, 2, FALSE))</f>
        <v>124.5</v>
      </c>
      <c r="I116" s="215">
        <v>1.5</v>
      </c>
      <c r="J116" s="206">
        <f>I116*InputVariables!$E$2</f>
        <v>187.5</v>
      </c>
      <c r="K116" s="209" t="s">
        <v>557</v>
      </c>
      <c r="L116" s="209" t="s">
        <v>423</v>
      </c>
    </row>
    <row r="117">
      <c r="A117" s="209" t="s">
        <v>4</v>
      </c>
      <c r="B117" s="209" t="s">
        <v>8</v>
      </c>
      <c r="C117" s="209" t="s">
        <v>378</v>
      </c>
      <c r="D117" s="209" t="s">
        <v>424</v>
      </c>
      <c r="E117" s="207"/>
      <c r="F117" s="207"/>
      <c r="G117" s="210">
        <v>300.0</v>
      </c>
      <c r="H117" s="206">
        <f>G117 * (1 - VLOOKUP(C117, InputVariables!$A:$B, 2, FALSE))</f>
        <v>249</v>
      </c>
      <c r="I117" s="215">
        <v>2.5</v>
      </c>
      <c r="J117" s="206">
        <f>I117*InputVariables!$E$2</f>
        <v>312.5</v>
      </c>
      <c r="K117" s="209" t="s">
        <v>558</v>
      </c>
      <c r="L117" s="209" t="s">
        <v>426</v>
      </c>
    </row>
    <row r="118">
      <c r="A118" s="209" t="s">
        <v>5</v>
      </c>
      <c r="B118" s="209" t="s">
        <v>7</v>
      </c>
      <c r="C118" s="209" t="s">
        <v>308</v>
      </c>
      <c r="D118" s="209" t="s">
        <v>559</v>
      </c>
      <c r="E118" s="207"/>
      <c r="F118" s="207"/>
      <c r="G118" s="210">
        <v>300.0</v>
      </c>
      <c r="H118" s="206">
        <f>G118 * (1 - VLOOKUP(C118, InputVariables!$A:$B, 2, FALSE))</f>
        <v>249</v>
      </c>
      <c r="I118" s="215">
        <v>60.0</v>
      </c>
      <c r="J118" s="206">
        <f>I118*InputVariables!$E$2</f>
        <v>7500</v>
      </c>
      <c r="K118" s="209" t="s">
        <v>560</v>
      </c>
      <c r="L118" s="209" t="s">
        <v>561</v>
      </c>
    </row>
    <row r="119">
      <c r="A119" s="209" t="s">
        <v>5</v>
      </c>
      <c r="B119" s="209" t="s">
        <v>7</v>
      </c>
      <c r="C119" s="209" t="s">
        <v>330</v>
      </c>
      <c r="D119" s="209" t="s">
        <v>562</v>
      </c>
      <c r="E119" s="207"/>
      <c r="F119" s="207"/>
      <c r="G119" s="210">
        <v>6380.0</v>
      </c>
      <c r="H119" s="206">
        <f>G119 * (1 - VLOOKUP(C119, InputVariables!$A:$B, 2, FALSE))</f>
        <v>5295.4</v>
      </c>
      <c r="I119" s="215">
        <v>30.0</v>
      </c>
      <c r="J119" s="206">
        <f>I119*InputVariables!$E$2</f>
        <v>3750</v>
      </c>
      <c r="K119" s="209" t="s">
        <v>563</v>
      </c>
      <c r="L119" s="209" t="s">
        <v>564</v>
      </c>
    </row>
    <row r="120">
      <c r="A120" s="209" t="s">
        <v>5</v>
      </c>
      <c r="B120" s="209" t="s">
        <v>7</v>
      </c>
      <c r="C120" s="209" t="s">
        <v>336</v>
      </c>
      <c r="D120" s="209" t="s">
        <v>565</v>
      </c>
      <c r="E120" s="207"/>
      <c r="F120" s="207"/>
      <c r="G120" s="210">
        <v>4098.0</v>
      </c>
      <c r="H120" s="206">
        <f>G120 * (1 - VLOOKUP(C120, InputVariables!$A:$B, 2, FALSE))</f>
        <v>3401.34</v>
      </c>
      <c r="I120" s="215">
        <v>24.0</v>
      </c>
      <c r="J120" s="206">
        <f>I120*InputVariables!$E$2</f>
        <v>3000</v>
      </c>
      <c r="K120" s="209" t="s">
        <v>566</v>
      </c>
      <c r="L120" s="209" t="s">
        <v>567</v>
      </c>
    </row>
    <row r="121">
      <c r="A121" s="209" t="s">
        <v>5</v>
      </c>
      <c r="B121" s="209" t="s">
        <v>7</v>
      </c>
      <c r="C121" s="209" t="s">
        <v>280</v>
      </c>
      <c r="D121" s="209" t="s">
        <v>568</v>
      </c>
      <c r="E121" s="207"/>
      <c r="F121" s="207"/>
      <c r="G121" s="210">
        <v>10860.0</v>
      </c>
      <c r="H121" s="206">
        <f>G121 * (1 - VLOOKUP(C121, InputVariables!$A:$B, 2, FALSE))</f>
        <v>8145</v>
      </c>
      <c r="I121" s="215">
        <v>42.0</v>
      </c>
      <c r="J121" s="206">
        <f>I121*InputVariables!$E$2</f>
        <v>5250</v>
      </c>
      <c r="K121" s="209" t="s">
        <v>569</v>
      </c>
      <c r="L121" s="209" t="s">
        <v>570</v>
      </c>
    </row>
    <row r="122">
      <c r="A122" s="209" t="s">
        <v>5</v>
      </c>
      <c r="B122" s="209" t="s">
        <v>7</v>
      </c>
      <c r="C122" s="209" t="s">
        <v>343</v>
      </c>
      <c r="D122" s="209" t="s">
        <v>571</v>
      </c>
      <c r="E122" s="207"/>
      <c r="F122" s="207"/>
      <c r="G122" s="210">
        <v>1030.0</v>
      </c>
      <c r="H122" s="206">
        <f>G122 * (1 - VLOOKUP(C122, InputVariables!$A:$B, 2, FALSE))</f>
        <v>854.9</v>
      </c>
      <c r="I122" s="215">
        <v>8.4</v>
      </c>
      <c r="J122" s="206">
        <f>I122*InputVariables!$E$2</f>
        <v>1050</v>
      </c>
      <c r="K122" s="209" t="s">
        <v>572</v>
      </c>
      <c r="L122" s="209" t="s">
        <v>573</v>
      </c>
    </row>
    <row r="123">
      <c r="A123" s="209" t="s">
        <v>5</v>
      </c>
      <c r="B123" s="209" t="s">
        <v>7</v>
      </c>
      <c r="C123" s="209" t="s">
        <v>347</v>
      </c>
      <c r="D123" s="209" t="s">
        <v>574</v>
      </c>
      <c r="E123" s="207"/>
      <c r="F123" s="207"/>
      <c r="G123" s="210">
        <v>1750.0</v>
      </c>
      <c r="H123" s="206">
        <f>G123 * (1 - VLOOKUP(C123, InputVariables!$A:$B, 2, FALSE))</f>
        <v>1452.5</v>
      </c>
      <c r="I123" s="215">
        <v>33.6</v>
      </c>
      <c r="J123" s="206">
        <f>I123*InputVariables!$E$2</f>
        <v>4200</v>
      </c>
      <c r="K123" s="209" t="s">
        <v>575</v>
      </c>
      <c r="L123" s="209" t="s">
        <v>576</v>
      </c>
    </row>
    <row r="124">
      <c r="A124" s="209" t="s">
        <v>5</v>
      </c>
      <c r="B124" s="209" t="s">
        <v>7</v>
      </c>
      <c r="C124" s="209" t="s">
        <v>351</v>
      </c>
      <c r="D124" s="209" t="s">
        <v>577</v>
      </c>
      <c r="E124" s="207"/>
      <c r="F124" s="207"/>
      <c r="G124" s="210">
        <v>1070.0</v>
      </c>
      <c r="H124" s="206">
        <f>G124 * (1 - VLOOKUP(C124, InputVariables!$A:$B, 2, FALSE))</f>
        <v>888.1</v>
      </c>
      <c r="I124" s="215">
        <v>6.0</v>
      </c>
      <c r="J124" s="206">
        <f>I124*InputVariables!$E$2</f>
        <v>750</v>
      </c>
      <c r="K124" s="209" t="s">
        <v>578</v>
      </c>
      <c r="L124" s="209" t="s">
        <v>579</v>
      </c>
    </row>
    <row r="125">
      <c r="A125" s="209" t="s">
        <v>5</v>
      </c>
      <c r="B125" s="209" t="s">
        <v>7</v>
      </c>
      <c r="C125" s="209" t="s">
        <v>355</v>
      </c>
      <c r="D125" s="209" t="s">
        <v>580</v>
      </c>
      <c r="E125" s="207"/>
      <c r="F125" s="207"/>
      <c r="G125" s="210">
        <v>2700.0</v>
      </c>
      <c r="H125" s="206">
        <f>G125 * (1 - VLOOKUP(C125, InputVariables!$A:$B, 2, FALSE))</f>
        <v>2241</v>
      </c>
      <c r="I125" s="215">
        <v>30.0</v>
      </c>
      <c r="J125" s="206">
        <f>I125*InputVariables!$E$2</f>
        <v>3750</v>
      </c>
      <c r="K125" s="209" t="s">
        <v>581</v>
      </c>
      <c r="L125" s="209" t="s">
        <v>582</v>
      </c>
    </row>
    <row r="126">
      <c r="A126" s="209" t="s">
        <v>5</v>
      </c>
      <c r="B126" s="209" t="s">
        <v>7</v>
      </c>
      <c r="C126" s="209" t="s">
        <v>359</v>
      </c>
      <c r="D126" s="209" t="s">
        <v>583</v>
      </c>
      <c r="E126" s="207"/>
      <c r="F126" s="207"/>
      <c r="G126" s="210">
        <v>200.0</v>
      </c>
      <c r="H126" s="206">
        <f>G126 * (1 - VLOOKUP(C126, InputVariables!$A:$B, 2, FALSE))</f>
        <v>166</v>
      </c>
      <c r="I126" s="215">
        <v>3.0</v>
      </c>
      <c r="J126" s="206">
        <f>I126*InputVariables!$E$2</f>
        <v>375</v>
      </c>
      <c r="K126" s="209" t="s">
        <v>584</v>
      </c>
      <c r="L126" s="209" t="s">
        <v>585</v>
      </c>
    </row>
    <row r="127">
      <c r="A127" s="209" t="s">
        <v>5</v>
      </c>
      <c r="B127" s="209" t="s">
        <v>7</v>
      </c>
      <c r="C127" s="209" t="s">
        <v>292</v>
      </c>
      <c r="D127" s="209" t="s">
        <v>586</v>
      </c>
      <c r="E127" s="207"/>
      <c r="F127" s="207"/>
      <c r="G127" s="210">
        <v>1850.0</v>
      </c>
      <c r="H127" s="206">
        <f>G127 * (1 - VLOOKUP(C127, InputVariables!$A:$B, 2, FALSE))</f>
        <v>1387.5</v>
      </c>
      <c r="I127" s="215">
        <v>16.8</v>
      </c>
      <c r="J127" s="206">
        <f>I127*InputVariables!$E$2</f>
        <v>2100</v>
      </c>
      <c r="K127" s="209" t="s">
        <v>587</v>
      </c>
      <c r="L127" s="209" t="s">
        <v>588</v>
      </c>
    </row>
    <row r="128">
      <c r="A128" s="209" t="s">
        <v>5</v>
      </c>
      <c r="B128" s="209" t="s">
        <v>7</v>
      </c>
      <c r="C128" s="209" t="s">
        <v>301</v>
      </c>
      <c r="D128" s="209" t="s">
        <v>589</v>
      </c>
      <c r="E128" s="207"/>
      <c r="F128" s="207"/>
      <c r="G128" s="210">
        <v>2650.0</v>
      </c>
      <c r="H128" s="206">
        <f>G128 * (1 - VLOOKUP(C128, InputVariables!$A:$B, 2, FALSE))</f>
        <v>2120</v>
      </c>
      <c r="I128" s="215">
        <v>60.0</v>
      </c>
      <c r="J128" s="206">
        <f>I128*InputVariables!$E$2</f>
        <v>7500</v>
      </c>
      <c r="K128" s="209" t="s">
        <v>590</v>
      </c>
      <c r="L128" s="209" t="s">
        <v>591</v>
      </c>
    </row>
    <row r="129">
      <c r="A129" s="209" t="s">
        <v>5</v>
      </c>
      <c r="B129" s="209" t="s">
        <v>7</v>
      </c>
      <c r="C129" s="209" t="s">
        <v>265</v>
      </c>
      <c r="D129" s="209" t="s">
        <v>592</v>
      </c>
      <c r="E129" s="207"/>
      <c r="F129" s="207"/>
      <c r="G129" s="210">
        <v>1080.0</v>
      </c>
      <c r="H129" s="206">
        <f>G129 * (1 - VLOOKUP(C129, InputVariables!$A:$B, 2, FALSE))</f>
        <v>918</v>
      </c>
      <c r="I129" s="215">
        <v>6.0</v>
      </c>
      <c r="J129" s="206">
        <f>I129*InputVariables!$E$2</f>
        <v>750</v>
      </c>
      <c r="K129" s="209" t="s">
        <v>593</v>
      </c>
      <c r="L129" s="209" t="s">
        <v>594</v>
      </c>
    </row>
    <row r="130">
      <c r="A130" s="209" t="s">
        <v>5</v>
      </c>
      <c r="B130" s="209" t="s">
        <v>7</v>
      </c>
      <c r="C130" s="209" t="s">
        <v>258</v>
      </c>
      <c r="D130" s="209" t="s">
        <v>595</v>
      </c>
      <c r="E130" s="207"/>
      <c r="F130" s="207"/>
      <c r="G130" s="210">
        <v>2500.0</v>
      </c>
      <c r="H130" s="206">
        <f>G130 * (1 - VLOOKUP(C130, InputVariables!$A:$B, 2, FALSE))</f>
        <v>2000</v>
      </c>
      <c r="I130" s="215">
        <v>16.8</v>
      </c>
      <c r="J130" s="206">
        <f>I130*InputVariables!$E$2</f>
        <v>2100</v>
      </c>
      <c r="K130" s="209" t="s">
        <v>596</v>
      </c>
      <c r="L130" s="209" t="s">
        <v>597</v>
      </c>
    </row>
    <row r="131">
      <c r="A131" s="209" t="s">
        <v>5</v>
      </c>
      <c r="B131" s="209" t="s">
        <v>7</v>
      </c>
      <c r="C131" s="209" t="s">
        <v>378</v>
      </c>
      <c r="D131" s="209" t="s">
        <v>598</v>
      </c>
      <c r="E131" s="207"/>
      <c r="F131" s="207"/>
      <c r="G131" s="210">
        <v>450.0</v>
      </c>
      <c r="H131" s="206">
        <f>G131 * (1 - VLOOKUP(C131, InputVariables!$A:$B, 2, FALSE))</f>
        <v>373.5</v>
      </c>
      <c r="I131" s="217">
        <v>4.2</v>
      </c>
      <c r="J131" s="206">
        <f>I131*InputVariables!$E$2</f>
        <v>525</v>
      </c>
      <c r="K131" s="209" t="s">
        <v>599</v>
      </c>
      <c r="L131" s="209" t="s">
        <v>600</v>
      </c>
    </row>
    <row r="132">
      <c r="A132" s="203" t="s">
        <v>5</v>
      </c>
      <c r="B132" s="209" t="s">
        <v>7</v>
      </c>
      <c r="C132" s="203" t="s">
        <v>280</v>
      </c>
      <c r="D132" s="204" t="s">
        <v>281</v>
      </c>
      <c r="E132" s="204">
        <v>1.0</v>
      </c>
      <c r="F132" s="208">
        <v>103995.0</v>
      </c>
      <c r="G132" s="205">
        <f>F132*E132</f>
        <v>103995</v>
      </c>
      <c r="H132" s="206">
        <f>G132 * (1 - VLOOKUP(C132, InputVariables!$A:$B, 2, FALSE))</f>
        <v>77996.25</v>
      </c>
      <c r="I132" s="204">
        <v>10.0</v>
      </c>
      <c r="J132" s="206">
        <f>I132*InputVariables!$E$2</f>
        <v>1250</v>
      </c>
      <c r="K132" s="209"/>
      <c r="L132" s="207"/>
    </row>
    <row r="133">
      <c r="A133" s="209" t="s">
        <v>5</v>
      </c>
      <c r="B133" s="209" t="s">
        <v>8</v>
      </c>
      <c r="C133" s="209" t="s">
        <v>321</v>
      </c>
      <c r="D133" s="209" t="s">
        <v>601</v>
      </c>
      <c r="E133" s="207"/>
      <c r="F133" s="207"/>
      <c r="G133" s="209">
        <v>450.0</v>
      </c>
      <c r="H133" s="206">
        <f>G133 * (1 - VLOOKUP(C133, InputVariables!$A:$B, 2, FALSE))</f>
        <v>373.5</v>
      </c>
      <c r="I133" s="207"/>
      <c r="J133" s="206">
        <f>I133*InputVariables!$E$2</f>
        <v>0</v>
      </c>
      <c r="K133" s="209" t="s">
        <v>602</v>
      </c>
      <c r="L133" s="207"/>
    </row>
    <row r="134">
      <c r="A134" s="209" t="s">
        <v>5</v>
      </c>
      <c r="B134" s="209" t="s">
        <v>8</v>
      </c>
      <c r="C134" s="209" t="s">
        <v>308</v>
      </c>
      <c r="D134" s="209" t="s">
        <v>603</v>
      </c>
      <c r="E134" s="207"/>
      <c r="F134" s="207"/>
      <c r="G134" s="209">
        <v>900.0</v>
      </c>
      <c r="H134" s="206">
        <f>G134 * (1 - VLOOKUP(C134, InputVariables!$A:$B, 2, FALSE))</f>
        <v>747</v>
      </c>
      <c r="I134" s="207"/>
      <c r="J134" s="206">
        <f>I134*InputVariables!$E$2</f>
        <v>0</v>
      </c>
      <c r="K134" s="209" t="s">
        <v>604</v>
      </c>
      <c r="L134" s="207"/>
    </row>
    <row r="135">
      <c r="A135" s="209" t="s">
        <v>5</v>
      </c>
      <c r="B135" s="209" t="s">
        <v>8</v>
      </c>
      <c r="C135" s="209" t="s">
        <v>330</v>
      </c>
      <c r="D135" s="209" t="s">
        <v>605</v>
      </c>
      <c r="E135" s="207"/>
      <c r="F135" s="207"/>
      <c r="G135" s="209">
        <v>300.0</v>
      </c>
      <c r="H135" s="206">
        <f>G135 * (1 - VLOOKUP(C135, InputVariables!$A:$B, 2, FALSE))</f>
        <v>249</v>
      </c>
      <c r="I135" s="207"/>
      <c r="J135" s="206">
        <f>I135*InputVariables!$E$2</f>
        <v>0</v>
      </c>
      <c r="K135" s="209" t="s">
        <v>606</v>
      </c>
      <c r="L135" s="207"/>
    </row>
    <row r="136">
      <c r="A136" s="209" t="s">
        <v>5</v>
      </c>
      <c r="B136" s="209" t="s">
        <v>8</v>
      </c>
      <c r="C136" s="209" t="s">
        <v>336</v>
      </c>
      <c r="D136" s="209" t="s">
        <v>607</v>
      </c>
      <c r="E136" s="207"/>
      <c r="F136" s="207"/>
      <c r="G136" s="209">
        <v>0.0</v>
      </c>
      <c r="H136" s="206">
        <f>G136 * (1 - VLOOKUP(C136, InputVariables!$A:$B, 2, FALSE))</f>
        <v>0</v>
      </c>
      <c r="I136" s="207"/>
      <c r="J136" s="206">
        <f>I136*InputVariables!$E$2</f>
        <v>0</v>
      </c>
      <c r="K136" s="209" t="s">
        <v>608</v>
      </c>
      <c r="L136" s="207"/>
    </row>
    <row r="137">
      <c r="A137" s="209" t="s">
        <v>5</v>
      </c>
      <c r="B137" s="209" t="s">
        <v>8</v>
      </c>
      <c r="C137" s="209" t="s">
        <v>280</v>
      </c>
      <c r="D137" s="209" t="s">
        <v>609</v>
      </c>
      <c r="E137" s="207"/>
      <c r="F137" s="207"/>
      <c r="G137" s="209">
        <v>0.0</v>
      </c>
      <c r="H137" s="206">
        <f>G137 * (1 - VLOOKUP(C137, InputVariables!$A:$B, 2, FALSE))</f>
        <v>0</v>
      </c>
      <c r="I137" s="207"/>
      <c r="J137" s="206">
        <f>I137*InputVariables!$E$2</f>
        <v>0</v>
      </c>
      <c r="K137" s="209" t="s">
        <v>608</v>
      </c>
      <c r="L137" s="207"/>
    </row>
    <row r="138">
      <c r="A138" s="209" t="s">
        <v>5</v>
      </c>
      <c r="B138" s="209" t="s">
        <v>8</v>
      </c>
      <c r="C138" s="209" t="s">
        <v>343</v>
      </c>
      <c r="D138" s="209" t="s">
        <v>610</v>
      </c>
      <c r="E138" s="207"/>
      <c r="F138" s="207"/>
      <c r="G138" s="209">
        <v>750.0</v>
      </c>
      <c r="H138" s="206">
        <f>G138 * (1 - VLOOKUP(C138, InputVariables!$A:$B, 2, FALSE))</f>
        <v>622.5</v>
      </c>
      <c r="I138" s="207"/>
      <c r="J138" s="206">
        <f>I138*InputVariables!$E$2</f>
        <v>0</v>
      </c>
      <c r="K138" s="209" t="s">
        <v>611</v>
      </c>
      <c r="L138" s="207"/>
    </row>
    <row r="139">
      <c r="A139" s="209" t="s">
        <v>5</v>
      </c>
      <c r="B139" s="209" t="s">
        <v>8</v>
      </c>
      <c r="C139" s="209" t="s">
        <v>347</v>
      </c>
      <c r="D139" s="209" t="s">
        <v>612</v>
      </c>
      <c r="E139" s="207"/>
      <c r="F139" s="207"/>
      <c r="G139" s="209">
        <v>600.0</v>
      </c>
      <c r="H139" s="206">
        <f>G139 * (1 - VLOOKUP(C139, InputVariables!$A:$B, 2, FALSE))</f>
        <v>498</v>
      </c>
      <c r="I139" s="207"/>
      <c r="J139" s="206">
        <f>I139*InputVariables!$E$2</f>
        <v>0</v>
      </c>
      <c r="K139" s="209" t="s">
        <v>613</v>
      </c>
      <c r="L139" s="207"/>
    </row>
    <row r="140">
      <c r="A140" s="209" t="s">
        <v>5</v>
      </c>
      <c r="B140" s="209" t="s">
        <v>8</v>
      </c>
      <c r="C140" s="209" t="s">
        <v>351</v>
      </c>
      <c r="D140" s="209" t="s">
        <v>614</v>
      </c>
      <c r="E140" s="207"/>
      <c r="F140" s="207"/>
      <c r="G140" s="209">
        <v>1800.0</v>
      </c>
      <c r="H140" s="206">
        <f>G140 * (1 - VLOOKUP(C140, InputVariables!$A:$B, 2, FALSE))</f>
        <v>1494</v>
      </c>
      <c r="I140" s="207"/>
      <c r="J140" s="206">
        <f>I140*InputVariables!$E$2</f>
        <v>0</v>
      </c>
      <c r="K140" s="209" t="s">
        <v>615</v>
      </c>
      <c r="L140" s="207"/>
    </row>
    <row r="141">
      <c r="A141" s="209" t="s">
        <v>5</v>
      </c>
      <c r="B141" s="209" t="s">
        <v>8</v>
      </c>
      <c r="C141" s="209" t="s">
        <v>355</v>
      </c>
      <c r="D141" s="209" t="s">
        <v>549</v>
      </c>
      <c r="E141" s="207"/>
      <c r="F141" s="207"/>
      <c r="G141" s="209">
        <v>150.0</v>
      </c>
      <c r="H141" s="206">
        <f>G141 * (1 - VLOOKUP(C141, InputVariables!$A:$B, 2, FALSE))</f>
        <v>124.5</v>
      </c>
      <c r="I141" s="207"/>
      <c r="J141" s="206">
        <f>I141*InputVariables!$E$2</f>
        <v>0</v>
      </c>
      <c r="K141" s="209" t="s">
        <v>616</v>
      </c>
      <c r="L141" s="207"/>
    </row>
    <row r="142">
      <c r="A142" s="209" t="s">
        <v>5</v>
      </c>
      <c r="B142" s="209" t="s">
        <v>8</v>
      </c>
      <c r="C142" s="209" t="s">
        <v>359</v>
      </c>
      <c r="D142" s="209" t="s">
        <v>617</v>
      </c>
      <c r="E142" s="207"/>
      <c r="F142" s="207"/>
      <c r="G142" s="209">
        <v>300.0</v>
      </c>
      <c r="H142" s="206">
        <f>G142 * (1 - VLOOKUP(C142, InputVariables!$A:$B, 2, FALSE))</f>
        <v>249</v>
      </c>
      <c r="I142" s="207"/>
      <c r="J142" s="206">
        <f>I142*InputVariables!$E$2</f>
        <v>0</v>
      </c>
      <c r="K142" s="209" t="s">
        <v>618</v>
      </c>
      <c r="L142" s="207"/>
    </row>
    <row r="143">
      <c r="A143" s="209" t="s">
        <v>5</v>
      </c>
      <c r="B143" s="209" t="s">
        <v>8</v>
      </c>
      <c r="C143" s="209" t="s">
        <v>292</v>
      </c>
      <c r="D143" s="209" t="s">
        <v>619</v>
      </c>
      <c r="E143" s="207"/>
      <c r="F143" s="207"/>
      <c r="G143" s="209">
        <v>150.0</v>
      </c>
      <c r="H143" s="206">
        <f>G143 * (1 - VLOOKUP(C143, InputVariables!$A:$B, 2, FALSE))</f>
        <v>112.5</v>
      </c>
      <c r="I143" s="207"/>
      <c r="J143" s="206">
        <f>I143*InputVariables!$E$2</f>
        <v>0</v>
      </c>
      <c r="K143" s="209" t="s">
        <v>620</v>
      </c>
      <c r="L143" s="207"/>
    </row>
    <row r="144">
      <c r="A144" s="209" t="s">
        <v>5</v>
      </c>
      <c r="B144" s="209" t="s">
        <v>8</v>
      </c>
      <c r="C144" s="209" t="s">
        <v>301</v>
      </c>
      <c r="D144" s="209" t="s">
        <v>621</v>
      </c>
      <c r="E144" s="207"/>
      <c r="F144" s="207"/>
      <c r="G144" s="209">
        <v>450.0</v>
      </c>
      <c r="H144" s="206">
        <f>G144 * (1 - VLOOKUP(C144, InputVariables!$A:$B, 2, FALSE))</f>
        <v>360</v>
      </c>
      <c r="I144" s="207"/>
      <c r="J144" s="206">
        <f>I144*InputVariables!$E$2</f>
        <v>0</v>
      </c>
      <c r="K144" s="209" t="s">
        <v>622</v>
      </c>
      <c r="L144" s="207"/>
    </row>
    <row r="145">
      <c r="A145" s="209" t="s">
        <v>5</v>
      </c>
      <c r="B145" s="209" t="s">
        <v>8</v>
      </c>
      <c r="C145" s="209" t="s">
        <v>265</v>
      </c>
      <c r="D145" s="209" t="s">
        <v>623</v>
      </c>
      <c r="E145" s="207"/>
      <c r="F145" s="207"/>
      <c r="G145" s="209">
        <v>0.0</v>
      </c>
      <c r="H145" s="206">
        <f>G145 * (1 - VLOOKUP(C145, InputVariables!$A:$B, 2, FALSE))</f>
        <v>0</v>
      </c>
      <c r="I145" s="207"/>
      <c r="J145" s="206">
        <f>I145*InputVariables!$E$2</f>
        <v>0</v>
      </c>
      <c r="K145" s="209" t="s">
        <v>608</v>
      </c>
      <c r="L145" s="207"/>
    </row>
    <row r="146">
      <c r="A146" s="209" t="s">
        <v>5</v>
      </c>
      <c r="B146" s="209" t="s">
        <v>8</v>
      </c>
      <c r="C146" s="209" t="s">
        <v>258</v>
      </c>
      <c r="D146" s="209" t="s">
        <v>607</v>
      </c>
      <c r="E146" s="207"/>
      <c r="F146" s="207"/>
      <c r="G146" s="209">
        <v>0.0</v>
      </c>
      <c r="H146" s="206">
        <f>G146 * (1 - VLOOKUP(C146, InputVariables!$A:$B, 2, FALSE))</f>
        <v>0</v>
      </c>
      <c r="I146" s="207"/>
      <c r="J146" s="206">
        <f>I146*InputVariables!$E$2</f>
        <v>0</v>
      </c>
      <c r="K146" s="209" t="s">
        <v>608</v>
      </c>
      <c r="L146" s="207"/>
    </row>
    <row r="147">
      <c r="A147" s="209" t="s">
        <v>5</v>
      </c>
      <c r="B147" s="209" t="s">
        <v>8</v>
      </c>
      <c r="C147" s="209" t="s">
        <v>378</v>
      </c>
      <c r="D147" s="209" t="s">
        <v>607</v>
      </c>
      <c r="E147" s="207"/>
      <c r="F147" s="207"/>
      <c r="G147" s="209">
        <v>0.0</v>
      </c>
      <c r="H147" s="206">
        <f>G147 * (1 - VLOOKUP(C147, InputVariables!$A:$B, 2, FALSE))</f>
        <v>0</v>
      </c>
      <c r="I147" s="207"/>
      <c r="J147" s="206">
        <f>I147*InputVariables!$E$2</f>
        <v>0</v>
      </c>
      <c r="K147" s="209" t="s">
        <v>608</v>
      </c>
      <c r="L147" s="207"/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  <col customWidth="1" min="3" max="3" width="5.71"/>
    <col customWidth="1" min="4" max="4" width="29.86"/>
    <col customWidth="1" min="5" max="5" width="13.57"/>
    <col customWidth="1" min="6" max="6" width="4.14"/>
    <col customWidth="1" min="7" max="7" width="34.43"/>
    <col customWidth="1" min="8" max="13" width="7.0"/>
    <col customWidth="1" min="14" max="14" width="10.71"/>
  </cols>
  <sheetData>
    <row r="1">
      <c r="A1" s="163" t="s">
        <v>254</v>
      </c>
      <c r="B1" s="163" t="s">
        <v>624</v>
      </c>
      <c r="D1" s="157" t="s">
        <v>625</v>
      </c>
      <c r="E1" s="136"/>
      <c r="G1" s="174" t="s">
        <v>626</v>
      </c>
      <c r="H1" s="45"/>
      <c r="I1" s="45"/>
      <c r="J1" s="45"/>
      <c r="K1" s="50"/>
    </row>
    <row r="2">
      <c r="A2" s="144" t="str">
        <f>IFERROR(__xludf.DUMMYFUNCTION("UNIQUE(Products!C:C)"),"Category")</f>
        <v>Category</v>
      </c>
      <c r="B2" s="218">
        <v>0.3</v>
      </c>
      <c r="D2" s="159" t="s">
        <v>627</v>
      </c>
      <c r="E2" s="145">
        <v>125.0</v>
      </c>
      <c r="G2" s="219" t="s">
        <v>53</v>
      </c>
      <c r="H2" s="220">
        <v>1.0</v>
      </c>
      <c r="I2" s="220">
        <v>2.0</v>
      </c>
      <c r="J2" s="220">
        <v>3.0</v>
      </c>
      <c r="K2" s="220">
        <v>4.0</v>
      </c>
      <c r="L2" s="220">
        <v>5.0</v>
      </c>
      <c r="M2" s="220">
        <v>6.0</v>
      </c>
      <c r="N2" s="221">
        <v>7.0</v>
      </c>
    </row>
    <row r="3">
      <c r="A3" s="43" t="str">
        <f>IFERROR(__xludf.DUMMYFUNCTION("""COMPUTED_VALUE"""),"Blinds &amp; Windows")</f>
        <v>Blinds &amp; Windows</v>
      </c>
      <c r="B3" s="222">
        <v>0.2</v>
      </c>
      <c r="C3" s="43"/>
      <c r="D3" s="159" t="s">
        <v>628</v>
      </c>
      <c r="E3" s="145">
        <v>90.0</v>
      </c>
      <c r="F3" s="43"/>
      <c r="G3" s="223" t="s">
        <v>82</v>
      </c>
      <c r="H3" s="224">
        <v>0.15</v>
      </c>
      <c r="I3" s="224">
        <v>0.14</v>
      </c>
      <c r="J3" s="224">
        <v>0.13</v>
      </c>
      <c r="K3" s="224">
        <v>0.12</v>
      </c>
      <c r="L3" s="224">
        <v>0.11</v>
      </c>
      <c r="M3" s="224">
        <v>0.1</v>
      </c>
      <c r="N3" s="225">
        <v>0.09</v>
      </c>
      <c r="O3" s="43"/>
      <c r="P3" s="43"/>
      <c r="Q3" s="43"/>
      <c r="R3" s="43"/>
    </row>
    <row r="4">
      <c r="A4" s="144" t="str">
        <f>IFERROR(__xludf.DUMMYFUNCTION("""COMPUTED_VALUE"""),"Climate Control")</f>
        <v>Climate Control</v>
      </c>
      <c r="B4" s="218">
        <v>0.15</v>
      </c>
      <c r="E4" s="55"/>
      <c r="G4" s="223" t="s">
        <v>83</v>
      </c>
      <c r="H4" s="224">
        <v>0.2</v>
      </c>
      <c r="I4" s="224">
        <v>0.19</v>
      </c>
      <c r="J4" s="224">
        <v>0.18</v>
      </c>
      <c r="K4" s="224">
        <v>0.17</v>
      </c>
      <c r="L4" s="224">
        <v>0.16</v>
      </c>
      <c r="M4" s="224">
        <v>0.15</v>
      </c>
      <c r="N4" s="225">
        <v>0.14</v>
      </c>
    </row>
    <row r="5">
      <c r="A5" s="144" t="str">
        <f>IFERROR(__xludf.DUMMYFUNCTION("""COMPUTED_VALUE"""),"Entertainment (TV/Theater)")</f>
        <v>Entertainment (TV/Theater)</v>
      </c>
      <c r="B5" s="218">
        <v>0.25</v>
      </c>
      <c r="E5" s="55"/>
      <c r="G5" s="223" t="s">
        <v>629</v>
      </c>
      <c r="H5" s="226">
        <v>0.08</v>
      </c>
      <c r="I5" s="226">
        <v>0.07</v>
      </c>
      <c r="J5" s="226">
        <v>0.06</v>
      </c>
      <c r="K5" s="226">
        <v>0.06</v>
      </c>
      <c r="L5" s="226">
        <v>0.05</v>
      </c>
      <c r="M5" s="226">
        <v>0.05</v>
      </c>
      <c r="N5" s="227">
        <v>0.05</v>
      </c>
    </row>
    <row r="6">
      <c r="A6" s="144" t="str">
        <f>IFERROR(__xludf.DUMMYFUNCTION("""COMPUTED_VALUE"""),"Infrastructure (Water)")</f>
        <v>Infrastructure (Water)</v>
      </c>
      <c r="B6" s="218">
        <v>0.25</v>
      </c>
      <c r="E6" s="55"/>
      <c r="G6" s="228" t="s">
        <v>630</v>
      </c>
      <c r="H6" s="229">
        <f t="shared" ref="H6:N6" si="1">SUM(H3:H5)</f>
        <v>0.43</v>
      </c>
      <c r="I6" s="229">
        <f t="shared" si="1"/>
        <v>0.4</v>
      </c>
      <c r="J6" s="229">
        <f t="shared" si="1"/>
        <v>0.37</v>
      </c>
      <c r="K6" s="229">
        <f t="shared" si="1"/>
        <v>0.35</v>
      </c>
      <c r="L6" s="229">
        <f t="shared" si="1"/>
        <v>0.32</v>
      </c>
      <c r="M6" s="229">
        <f t="shared" si="1"/>
        <v>0.3</v>
      </c>
      <c r="N6" s="230">
        <f t="shared" si="1"/>
        <v>0.28</v>
      </c>
    </row>
    <row r="7">
      <c r="A7" s="144" t="str">
        <f>IFERROR(__xludf.DUMMYFUNCTION("""COMPUTED_VALUE"""),"Lighting &amp; Controls")</f>
        <v>Lighting &amp; Controls</v>
      </c>
      <c r="B7" s="218">
        <v>0.2</v>
      </c>
      <c r="E7" s="55"/>
      <c r="G7" s="191"/>
      <c r="H7" s="226"/>
      <c r="I7" s="226"/>
      <c r="J7" s="226"/>
      <c r="K7" s="226"/>
    </row>
    <row r="8">
      <c r="A8" s="144" t="str">
        <f>IFERROR(__xludf.DUMMYFUNCTION("""COMPUTED_VALUE"""),"Low-Voltage Wiring")</f>
        <v>Low-Voltage Wiring</v>
      </c>
      <c r="B8" s="224">
        <v>0.17</v>
      </c>
      <c r="E8" s="55"/>
      <c r="G8" s="191"/>
      <c r="H8" s="226"/>
      <c r="I8" s="226"/>
      <c r="J8" s="226"/>
      <c r="K8" s="226"/>
    </row>
    <row r="9">
      <c r="A9" s="144" t="str">
        <f>IFERROR(__xludf.DUMMYFUNCTION("""COMPUTED_VALUE"""),"Home Assistant Hub")</f>
        <v>Home Assistant Hub</v>
      </c>
      <c r="B9" s="224">
        <v>0.17</v>
      </c>
      <c r="D9" s="231" t="s">
        <v>631</v>
      </c>
      <c r="E9" s="232"/>
      <c r="F9" s="233"/>
      <c r="G9" s="234"/>
      <c r="H9" s="226"/>
      <c r="I9" s="226"/>
      <c r="J9" s="226"/>
      <c r="K9" s="226"/>
    </row>
    <row r="10">
      <c r="A10" s="144" t="str">
        <f>IFERROR(__xludf.DUMMYFUNCTION("""COMPUTED_VALUE"""),"Networking &amp; Wi-Fi")</f>
        <v>Networking &amp; Wi-Fi</v>
      </c>
      <c r="B10" s="224">
        <v>0.17</v>
      </c>
      <c r="D10" s="234" t="s">
        <v>632</v>
      </c>
      <c r="E10" s="235">
        <v>4500000.0</v>
      </c>
      <c r="F10" s="233"/>
      <c r="G10" s="233"/>
    </row>
    <row r="11">
      <c r="A11" s="144" t="str">
        <f>IFERROR(__xludf.DUMMYFUNCTION("""COMPUTED_VALUE"""),"Multi-Room Audio")</f>
        <v>Multi-Room Audio</v>
      </c>
      <c r="B11" s="224">
        <v>0.17</v>
      </c>
      <c r="D11" s="127" t="s">
        <v>633</v>
      </c>
      <c r="E11" s="236">
        <v>0.25</v>
      </c>
      <c r="F11" s="233"/>
      <c r="G11" s="233"/>
    </row>
    <row r="12">
      <c r="A12" s="144" t="str">
        <f>IFERROR(__xludf.DUMMYFUNCTION("""COMPUTED_VALUE"""),"Security System (Alarm)")</f>
        <v>Security System (Alarm)</v>
      </c>
      <c r="B12" s="224">
        <v>0.17</v>
      </c>
      <c r="D12" s="234" t="s">
        <v>634</v>
      </c>
      <c r="E12" s="237">
        <f>E10*E11</f>
        <v>1125000</v>
      </c>
      <c r="F12" s="233"/>
      <c r="G12" s="233"/>
    </row>
    <row r="13">
      <c r="A13" s="144" t="str">
        <f>IFERROR(__xludf.DUMMYFUNCTION("""COMPUTED_VALUE"""),"Surveillance Cameras")</f>
        <v>Surveillance Cameras</v>
      </c>
      <c r="B13" s="224">
        <v>0.17</v>
      </c>
      <c r="D13" s="234" t="s">
        <v>635</v>
      </c>
      <c r="E13" s="237">
        <f>E10-E12</f>
        <v>3375000</v>
      </c>
      <c r="F13" s="233"/>
      <c r="G13" s="233"/>
    </row>
    <row r="14">
      <c r="A14" s="144" t="str">
        <f>IFERROR(__xludf.DUMMYFUNCTION("""COMPUTED_VALUE"""),"Access Control")</f>
        <v>Access Control</v>
      </c>
      <c r="B14" s="224">
        <v>0.17</v>
      </c>
      <c r="D14" s="233"/>
      <c r="E14" s="237"/>
      <c r="F14" s="233"/>
      <c r="G14" s="233"/>
      <c r="L14" s="127" t="s">
        <v>636</v>
      </c>
      <c r="M14" s="127" t="s">
        <v>3</v>
      </c>
      <c r="N14" s="127" t="s">
        <v>4</v>
      </c>
      <c r="O14" s="127" t="s">
        <v>5</v>
      </c>
    </row>
    <row r="15">
      <c r="A15" s="144" t="str">
        <f>IFERROR(__xludf.DUMMYFUNCTION("""COMPUTED_VALUE"""),"Air Quality &amp; Ventilation")</f>
        <v>Air Quality &amp; Ventilation</v>
      </c>
      <c r="B15" s="224">
        <v>0.17</v>
      </c>
      <c r="D15" s="234" t="s">
        <v>637</v>
      </c>
      <c r="E15" s="238">
        <v>4000000.0</v>
      </c>
      <c r="F15" s="233"/>
      <c r="G15" s="233"/>
      <c r="L15" s="239" t="s">
        <v>638</v>
      </c>
      <c r="M15" s="224">
        <v>0.4</v>
      </c>
      <c r="N15" s="224">
        <v>0.5</v>
      </c>
      <c r="O15" s="224">
        <v>0.8</v>
      </c>
    </row>
    <row r="16">
      <c r="A16" s="144" t="str">
        <f>IFERROR(__xludf.DUMMYFUNCTION("""COMPUTED_VALUE"""),"Safety (Smoke/CO)")</f>
        <v>Safety (Smoke/CO)</v>
      </c>
      <c r="B16" s="224">
        <v>0.17</v>
      </c>
      <c r="D16" s="234" t="s">
        <v>639</v>
      </c>
      <c r="E16" s="234" t="s">
        <v>640</v>
      </c>
      <c r="F16" s="233"/>
      <c r="G16" s="233"/>
      <c r="L16" s="239" t="s">
        <v>641</v>
      </c>
      <c r="M16" s="224">
        <v>0.3</v>
      </c>
      <c r="N16" s="224">
        <v>0.3</v>
      </c>
      <c r="O16" s="224">
        <v>0.2</v>
      </c>
    </row>
    <row r="17">
      <c r="A17" s="144" t="str">
        <f>IFERROR(__xludf.DUMMYFUNCTION("""COMPUTED_VALUE"""),"Infrastructure (Water Protection)")</f>
        <v>Infrastructure (Water Protection)</v>
      </c>
      <c r="B17" s="224">
        <v>0.17</v>
      </c>
      <c r="D17" s="233"/>
      <c r="E17" s="237"/>
      <c r="F17" s="233"/>
      <c r="G17" s="233"/>
      <c r="L17" s="239" t="s">
        <v>642</v>
      </c>
      <c r="M17" s="224">
        <v>0.05</v>
      </c>
      <c r="N17" s="224">
        <v>0.07</v>
      </c>
      <c r="O17" s="224">
        <v>0.07</v>
      </c>
    </row>
    <row r="18">
      <c r="A18" s="144" t="str">
        <f>IFERROR(__xludf.DUMMYFUNCTION("""COMPUTED_VALUE"""),"Climate Control (HVAC)")</f>
        <v>Climate Control (HVAC)</v>
      </c>
      <c r="B18" s="224">
        <v>0.17</v>
      </c>
      <c r="D18" s="231" t="s">
        <v>643</v>
      </c>
      <c r="E18" s="240"/>
      <c r="F18" s="233"/>
      <c r="G18" s="231" t="s">
        <v>644</v>
      </c>
      <c r="L18" s="84"/>
    </row>
    <row r="19">
      <c r="A19" s="144" t="str">
        <f>IFERROR(__xludf.DUMMYFUNCTION("""COMPUTED_VALUE"""),"Blinds &amp; Window Automation")</f>
        <v>Blinds &amp; Window Automation</v>
      </c>
      <c r="B19" s="224">
        <v>0.17</v>
      </c>
      <c r="D19" s="234" t="s">
        <v>645</v>
      </c>
      <c r="E19" s="241">
        <v>4.0</v>
      </c>
      <c r="F19" s="233"/>
      <c r="G19" s="234" t="s">
        <v>646</v>
      </c>
      <c r="H19" s="224">
        <v>0.1</v>
      </c>
      <c r="L19" s="239" t="s">
        <v>78</v>
      </c>
      <c r="M19" s="224">
        <v>0.3</v>
      </c>
    </row>
    <row r="20">
      <c r="A20" s="144" t="str">
        <f>IFERROR(__xludf.DUMMYFUNCTION("""COMPUTED_VALUE"""),"Smart Irrigation")</f>
        <v>Smart Irrigation</v>
      </c>
      <c r="B20" s="224">
        <v>0.17</v>
      </c>
      <c r="D20" s="234" t="s">
        <v>647</v>
      </c>
      <c r="E20" s="241">
        <v>6.0</v>
      </c>
      <c r="F20" s="233"/>
      <c r="G20" s="234" t="s">
        <v>648</v>
      </c>
      <c r="H20" s="224">
        <v>0.05</v>
      </c>
      <c r="L20" s="84"/>
    </row>
    <row r="21">
      <c r="A21" s="144"/>
      <c r="B21" s="224">
        <v>0.17</v>
      </c>
      <c r="D21" s="127" t="s">
        <v>649</v>
      </c>
      <c r="E21" s="242">
        <v>7.0</v>
      </c>
    </row>
    <row r="22">
      <c r="D22" s="127" t="s">
        <v>650</v>
      </c>
      <c r="E22" s="242">
        <v>8.0</v>
      </c>
    </row>
    <row r="23">
      <c r="D23" s="127" t="s">
        <v>651</v>
      </c>
      <c r="E23" s="242">
        <v>9.0</v>
      </c>
    </row>
    <row r="24">
      <c r="D24" s="127" t="s">
        <v>652</v>
      </c>
      <c r="E24" s="242">
        <v>10.5</v>
      </c>
    </row>
    <row r="25">
      <c r="E25" s="55"/>
    </row>
    <row r="26">
      <c r="D26" s="127" t="s">
        <v>653</v>
      </c>
      <c r="E26" s="224">
        <v>0.09</v>
      </c>
      <c r="G26" s="127"/>
      <c r="H26" s="224"/>
    </row>
    <row r="27">
      <c r="E27" s="55"/>
      <c r="G27" s="127"/>
      <c r="H27" s="224"/>
    </row>
    <row r="28">
      <c r="E28" s="55"/>
      <c r="G28" s="163"/>
    </row>
    <row r="29">
      <c r="E29" s="55"/>
      <c r="G29" s="243"/>
      <c r="H29" s="244"/>
    </row>
    <row r="30">
      <c r="E30" s="55"/>
      <c r="G30" s="127"/>
      <c r="H30" s="224"/>
    </row>
    <row r="31">
      <c r="E31" s="55"/>
      <c r="G31" s="127"/>
      <c r="H31" s="199"/>
    </row>
    <row r="32">
      <c r="E32" s="55"/>
      <c r="G32" s="127"/>
      <c r="H32" s="224"/>
    </row>
    <row r="33">
      <c r="E33" s="55"/>
      <c r="G33" s="127"/>
      <c r="H33" s="224"/>
    </row>
    <row r="34">
      <c r="E34" s="55"/>
      <c r="G34" s="127"/>
      <c r="H34" s="224"/>
    </row>
    <row r="35">
      <c r="E35" s="55"/>
      <c r="G35" s="127"/>
      <c r="H35" s="224"/>
    </row>
    <row r="36">
      <c r="E36" s="55"/>
      <c r="G36" s="127"/>
      <c r="H36" s="199"/>
    </row>
    <row r="37">
      <c r="E37" s="55"/>
    </row>
    <row r="38">
      <c r="E38" s="55"/>
    </row>
    <row r="39">
      <c r="E39" s="55"/>
    </row>
    <row r="40">
      <c r="E40" s="55"/>
    </row>
    <row r="41">
      <c r="E41" s="55"/>
    </row>
    <row r="42">
      <c r="E42" s="55"/>
    </row>
    <row r="43">
      <c r="E43" s="55"/>
    </row>
    <row r="44">
      <c r="E44" s="55"/>
    </row>
    <row r="45">
      <c r="E45" s="55"/>
    </row>
    <row r="46">
      <c r="E46" s="55"/>
    </row>
    <row r="47">
      <c r="E47" s="55"/>
    </row>
    <row r="48">
      <c r="E48" s="55"/>
    </row>
    <row r="49">
      <c r="E49" s="55"/>
    </row>
    <row r="50">
      <c r="E50" s="55"/>
    </row>
    <row r="51">
      <c r="E51" s="55"/>
    </row>
    <row r="52">
      <c r="E52" s="55"/>
    </row>
    <row r="53">
      <c r="E53" s="55"/>
    </row>
    <row r="54">
      <c r="E54" s="55"/>
    </row>
    <row r="55">
      <c r="E55" s="55"/>
    </row>
    <row r="56">
      <c r="E56" s="55"/>
    </row>
    <row r="57">
      <c r="E57" s="55"/>
    </row>
    <row r="58">
      <c r="E58" s="55"/>
    </row>
    <row r="59">
      <c r="E59" s="55"/>
    </row>
    <row r="60">
      <c r="E60" s="55"/>
    </row>
    <row r="61">
      <c r="E61" s="55"/>
    </row>
    <row r="62">
      <c r="E62" s="55"/>
    </row>
    <row r="63">
      <c r="E63" s="55"/>
    </row>
    <row r="64">
      <c r="E64" s="55"/>
    </row>
    <row r="65">
      <c r="E65" s="55"/>
    </row>
    <row r="66">
      <c r="E66" s="55"/>
    </row>
    <row r="67">
      <c r="E67" s="55"/>
    </row>
    <row r="68">
      <c r="E68" s="55"/>
    </row>
    <row r="69">
      <c r="E69" s="55"/>
    </row>
    <row r="70">
      <c r="E70" s="55"/>
    </row>
    <row r="71">
      <c r="E71" s="55"/>
    </row>
    <row r="72">
      <c r="E72" s="55"/>
    </row>
    <row r="73">
      <c r="E73" s="55"/>
    </row>
    <row r="74">
      <c r="E74" s="55"/>
    </row>
    <row r="75">
      <c r="E75" s="55"/>
    </row>
    <row r="76">
      <c r="E76" s="55"/>
    </row>
    <row r="77">
      <c r="E77" s="55"/>
    </row>
    <row r="78">
      <c r="E78" s="55"/>
    </row>
    <row r="79">
      <c r="E79" s="55"/>
    </row>
    <row r="80">
      <c r="E80" s="55"/>
    </row>
    <row r="81">
      <c r="E81" s="55"/>
    </row>
    <row r="82">
      <c r="E82" s="55"/>
    </row>
    <row r="83">
      <c r="E83" s="55"/>
    </row>
    <row r="84">
      <c r="E84" s="55"/>
    </row>
    <row r="85">
      <c r="E85" s="55"/>
    </row>
    <row r="86">
      <c r="E86" s="55"/>
    </row>
    <row r="87">
      <c r="E87" s="55"/>
    </row>
    <row r="88">
      <c r="E88" s="55"/>
    </row>
    <row r="89">
      <c r="E89" s="55"/>
    </row>
    <row r="90">
      <c r="E90" s="55"/>
    </row>
    <row r="91">
      <c r="E91" s="55"/>
    </row>
    <row r="92">
      <c r="E92" s="55"/>
    </row>
    <row r="93">
      <c r="E93" s="55"/>
    </row>
    <row r="94">
      <c r="E94" s="55"/>
    </row>
    <row r="95">
      <c r="E95" s="55"/>
    </row>
    <row r="96">
      <c r="E96" s="55"/>
    </row>
    <row r="97">
      <c r="E97" s="55"/>
    </row>
    <row r="98">
      <c r="E98" s="55"/>
    </row>
    <row r="99">
      <c r="E99" s="55"/>
    </row>
    <row r="100">
      <c r="E100" s="55"/>
    </row>
    <row r="101">
      <c r="E101" s="55"/>
    </row>
    <row r="102">
      <c r="E102" s="55"/>
    </row>
    <row r="103">
      <c r="E103" s="55"/>
    </row>
    <row r="104">
      <c r="E104" s="55"/>
    </row>
    <row r="105">
      <c r="E105" s="55"/>
    </row>
    <row r="106">
      <c r="E106" s="55"/>
    </row>
    <row r="107">
      <c r="E107" s="55"/>
    </row>
    <row r="108">
      <c r="E108" s="55"/>
    </row>
    <row r="109">
      <c r="E109" s="55"/>
    </row>
    <row r="110">
      <c r="E110" s="55"/>
    </row>
    <row r="111">
      <c r="E111" s="55"/>
    </row>
    <row r="112">
      <c r="E112" s="55"/>
    </row>
    <row r="113">
      <c r="E113" s="55"/>
    </row>
    <row r="114">
      <c r="E114" s="55"/>
    </row>
    <row r="115">
      <c r="E115" s="55"/>
    </row>
    <row r="116">
      <c r="E116" s="55"/>
    </row>
    <row r="117">
      <c r="E117" s="55"/>
    </row>
    <row r="118">
      <c r="E118" s="55"/>
    </row>
    <row r="119">
      <c r="E119" s="55"/>
    </row>
    <row r="120">
      <c r="E120" s="55"/>
    </row>
    <row r="121">
      <c r="E121" s="55"/>
    </row>
    <row r="122">
      <c r="E122" s="55"/>
    </row>
    <row r="123">
      <c r="E123" s="55"/>
    </row>
    <row r="124">
      <c r="E124" s="55"/>
    </row>
    <row r="125">
      <c r="E125" s="55"/>
    </row>
    <row r="126">
      <c r="E126" s="55"/>
    </row>
    <row r="127">
      <c r="E127" s="55"/>
    </row>
    <row r="128">
      <c r="E128" s="55"/>
    </row>
    <row r="129">
      <c r="E129" s="55"/>
    </row>
    <row r="130">
      <c r="E130" s="55"/>
    </row>
    <row r="131">
      <c r="E131" s="55"/>
    </row>
    <row r="132">
      <c r="E132" s="55"/>
    </row>
    <row r="133">
      <c r="E133" s="55"/>
    </row>
    <row r="134">
      <c r="E134" s="55"/>
    </row>
    <row r="135">
      <c r="E135" s="55"/>
    </row>
    <row r="136">
      <c r="E136" s="55"/>
    </row>
    <row r="137">
      <c r="E137" s="55"/>
    </row>
    <row r="138">
      <c r="E138" s="55"/>
    </row>
    <row r="139">
      <c r="E139" s="55"/>
    </row>
    <row r="140">
      <c r="E140" s="55"/>
    </row>
    <row r="141">
      <c r="E141" s="55"/>
    </row>
    <row r="142">
      <c r="E142" s="55"/>
    </row>
    <row r="143">
      <c r="E143" s="55"/>
    </row>
    <row r="144">
      <c r="E144" s="55"/>
    </row>
    <row r="145">
      <c r="E145" s="55"/>
    </row>
    <row r="146">
      <c r="E146" s="55"/>
    </row>
    <row r="147">
      <c r="E147" s="55"/>
    </row>
    <row r="148">
      <c r="E148" s="55"/>
    </row>
    <row r="149">
      <c r="E149" s="55"/>
    </row>
    <row r="150">
      <c r="E150" s="55"/>
    </row>
    <row r="151">
      <c r="E151" s="55"/>
    </row>
    <row r="152">
      <c r="E152" s="55"/>
    </row>
    <row r="153">
      <c r="E153" s="55"/>
    </row>
    <row r="154">
      <c r="E154" s="55"/>
    </row>
    <row r="155">
      <c r="E155" s="55"/>
    </row>
    <row r="156">
      <c r="E156" s="55"/>
    </row>
    <row r="157">
      <c r="E157" s="55"/>
    </row>
    <row r="158">
      <c r="E158" s="55"/>
    </row>
    <row r="159">
      <c r="E159" s="55"/>
    </row>
    <row r="160">
      <c r="E160" s="55"/>
    </row>
    <row r="161">
      <c r="E161" s="55"/>
    </row>
    <row r="162">
      <c r="E162" s="55"/>
    </row>
    <row r="163">
      <c r="E163" s="55"/>
    </row>
    <row r="164">
      <c r="E164" s="55"/>
    </row>
    <row r="165">
      <c r="E165" s="55"/>
    </row>
    <row r="166">
      <c r="E166" s="55"/>
    </row>
    <row r="167">
      <c r="E167" s="55"/>
    </row>
    <row r="168">
      <c r="E168" s="55"/>
    </row>
    <row r="169">
      <c r="E169" s="55"/>
    </row>
    <row r="170">
      <c r="E170" s="55"/>
    </row>
    <row r="171">
      <c r="E171" s="55"/>
    </row>
    <row r="172">
      <c r="E172" s="55"/>
    </row>
    <row r="173">
      <c r="E173" s="55"/>
    </row>
    <row r="174">
      <c r="E174" s="55"/>
    </row>
    <row r="175">
      <c r="E175" s="55"/>
    </row>
    <row r="176">
      <c r="E176" s="55"/>
    </row>
    <row r="177">
      <c r="E177" s="55"/>
    </row>
    <row r="178">
      <c r="E178" s="55"/>
    </row>
    <row r="179">
      <c r="E179" s="55"/>
    </row>
    <row r="180">
      <c r="E180" s="55"/>
    </row>
    <row r="181">
      <c r="E181" s="55"/>
    </row>
    <row r="182">
      <c r="E182" s="55"/>
    </row>
    <row r="183">
      <c r="E183" s="55"/>
    </row>
    <row r="184">
      <c r="E184" s="55"/>
    </row>
    <row r="185">
      <c r="E185" s="55"/>
    </row>
    <row r="186">
      <c r="E186" s="55"/>
    </row>
    <row r="187">
      <c r="E187" s="55"/>
    </row>
    <row r="188">
      <c r="E188" s="55"/>
    </row>
    <row r="189">
      <c r="E189" s="55"/>
    </row>
    <row r="190">
      <c r="E190" s="55"/>
    </row>
    <row r="191">
      <c r="E191" s="55"/>
    </row>
    <row r="192">
      <c r="E192" s="55"/>
    </row>
    <row r="193">
      <c r="E193" s="55"/>
    </row>
    <row r="194">
      <c r="E194" s="55"/>
    </row>
    <row r="195">
      <c r="E195" s="55"/>
    </row>
    <row r="196">
      <c r="E196" s="55"/>
    </row>
    <row r="197">
      <c r="E197" s="55"/>
    </row>
    <row r="198">
      <c r="E198" s="55"/>
    </row>
    <row r="199">
      <c r="E199" s="55"/>
    </row>
    <row r="200">
      <c r="E200" s="55"/>
    </row>
    <row r="201">
      <c r="E201" s="55"/>
    </row>
    <row r="202">
      <c r="E202" s="55"/>
    </row>
    <row r="203">
      <c r="E203" s="55"/>
    </row>
    <row r="204">
      <c r="E204" s="55"/>
    </row>
    <row r="205">
      <c r="E205" s="55"/>
    </row>
    <row r="206">
      <c r="E206" s="55"/>
    </row>
    <row r="207">
      <c r="E207" s="55"/>
    </row>
    <row r="208">
      <c r="E208" s="55"/>
    </row>
    <row r="209">
      <c r="E209" s="55"/>
    </row>
    <row r="210">
      <c r="E210" s="55"/>
    </row>
    <row r="211">
      <c r="E211" s="55"/>
    </row>
    <row r="212">
      <c r="E212" s="55"/>
    </row>
    <row r="213">
      <c r="E213" s="55"/>
    </row>
    <row r="214">
      <c r="E214" s="55"/>
    </row>
    <row r="215">
      <c r="E215" s="55"/>
    </row>
    <row r="216">
      <c r="E216" s="55"/>
    </row>
    <row r="217">
      <c r="E217" s="55"/>
    </row>
    <row r="218">
      <c r="E218" s="55"/>
    </row>
    <row r="219">
      <c r="E219" s="55"/>
    </row>
    <row r="220">
      <c r="E220" s="55"/>
    </row>
    <row r="221">
      <c r="E221" s="55"/>
    </row>
    <row r="222">
      <c r="E222" s="55"/>
    </row>
    <row r="223">
      <c r="E223" s="55"/>
    </row>
    <row r="224">
      <c r="E224" s="55"/>
    </row>
    <row r="225">
      <c r="E225" s="55"/>
    </row>
    <row r="226">
      <c r="E226" s="55"/>
    </row>
    <row r="227">
      <c r="E227" s="55"/>
    </row>
    <row r="228">
      <c r="E228" s="55"/>
    </row>
    <row r="229">
      <c r="E229" s="55"/>
    </row>
    <row r="230">
      <c r="E230" s="55"/>
    </row>
    <row r="231">
      <c r="E231" s="55"/>
    </row>
    <row r="232">
      <c r="E232" s="55"/>
    </row>
    <row r="233">
      <c r="E233" s="55"/>
    </row>
    <row r="234">
      <c r="E234" s="55"/>
    </row>
    <row r="235">
      <c r="E235" s="55"/>
    </row>
    <row r="236">
      <c r="E236" s="55"/>
    </row>
    <row r="237">
      <c r="E237" s="55"/>
    </row>
    <row r="238">
      <c r="E238" s="55"/>
    </row>
    <row r="239">
      <c r="E239" s="55"/>
    </row>
    <row r="240">
      <c r="E240" s="55"/>
    </row>
    <row r="241">
      <c r="E241" s="55"/>
    </row>
    <row r="242">
      <c r="E242" s="55"/>
    </row>
    <row r="243">
      <c r="E243" s="55"/>
    </row>
    <row r="244">
      <c r="E244" s="55"/>
    </row>
    <row r="245">
      <c r="E245" s="55"/>
    </row>
    <row r="246">
      <c r="E246" s="55"/>
    </row>
    <row r="247">
      <c r="E247" s="55"/>
    </row>
    <row r="248">
      <c r="E248" s="55"/>
    </row>
    <row r="249">
      <c r="E249" s="55"/>
    </row>
    <row r="250">
      <c r="E250" s="55"/>
    </row>
    <row r="251">
      <c r="E251" s="55"/>
    </row>
    <row r="252">
      <c r="E252" s="55"/>
    </row>
    <row r="253">
      <c r="E253" s="55"/>
    </row>
    <row r="254">
      <c r="E254" s="55"/>
    </row>
    <row r="255">
      <c r="E255" s="55"/>
    </row>
    <row r="256">
      <c r="E256" s="55"/>
    </row>
    <row r="257">
      <c r="E257" s="55"/>
    </row>
    <row r="258">
      <c r="E258" s="55"/>
    </row>
    <row r="259">
      <c r="E259" s="55"/>
    </row>
    <row r="260">
      <c r="E260" s="55"/>
    </row>
    <row r="261">
      <c r="E261" s="55"/>
    </row>
    <row r="262">
      <c r="E262" s="55"/>
    </row>
    <row r="263">
      <c r="E263" s="55"/>
    </row>
    <row r="264">
      <c r="E264" s="55"/>
    </row>
    <row r="265">
      <c r="E265" s="55"/>
    </row>
    <row r="266">
      <c r="E266" s="55"/>
    </row>
    <row r="267">
      <c r="E267" s="55"/>
    </row>
    <row r="268">
      <c r="E268" s="55"/>
    </row>
    <row r="269">
      <c r="E269" s="55"/>
    </row>
    <row r="270">
      <c r="E270" s="55"/>
    </row>
    <row r="271">
      <c r="E271" s="55"/>
    </row>
    <row r="272">
      <c r="E272" s="55"/>
    </row>
    <row r="273">
      <c r="E273" s="55"/>
    </row>
    <row r="274">
      <c r="E274" s="55"/>
    </row>
    <row r="275">
      <c r="E275" s="55"/>
    </row>
    <row r="276">
      <c r="E276" s="55"/>
    </row>
    <row r="277">
      <c r="E277" s="55"/>
    </row>
    <row r="278">
      <c r="E278" s="55"/>
    </row>
    <row r="279">
      <c r="E279" s="55"/>
    </row>
    <row r="280">
      <c r="E280" s="55"/>
    </row>
    <row r="281">
      <c r="E281" s="55"/>
    </row>
    <row r="282">
      <c r="E282" s="55"/>
    </row>
    <row r="283">
      <c r="E283" s="55"/>
    </row>
    <row r="284">
      <c r="E284" s="55"/>
    </row>
    <row r="285">
      <c r="E285" s="55"/>
    </row>
    <row r="286">
      <c r="E286" s="55"/>
    </row>
    <row r="287">
      <c r="E287" s="55"/>
    </row>
    <row r="288">
      <c r="E288" s="55"/>
    </row>
    <row r="289">
      <c r="E289" s="55"/>
    </row>
    <row r="290">
      <c r="E290" s="55"/>
    </row>
    <row r="291">
      <c r="E291" s="55"/>
    </row>
    <row r="292">
      <c r="E292" s="55"/>
    </row>
    <row r="293">
      <c r="E293" s="55"/>
    </row>
    <row r="294">
      <c r="E294" s="55"/>
    </row>
    <row r="295">
      <c r="E295" s="55"/>
    </row>
    <row r="296">
      <c r="E296" s="55"/>
    </row>
    <row r="297">
      <c r="E297" s="55"/>
    </row>
    <row r="298">
      <c r="E298" s="55"/>
    </row>
    <row r="299">
      <c r="E299" s="55"/>
    </row>
    <row r="300">
      <c r="E300" s="55"/>
    </row>
    <row r="301">
      <c r="E301" s="55"/>
    </row>
    <row r="302">
      <c r="E302" s="55"/>
    </row>
    <row r="303">
      <c r="E303" s="55"/>
    </row>
    <row r="304">
      <c r="E304" s="55"/>
    </row>
    <row r="305">
      <c r="E305" s="55"/>
    </row>
    <row r="306">
      <c r="E306" s="55"/>
    </row>
    <row r="307">
      <c r="E307" s="55"/>
    </row>
    <row r="308">
      <c r="E308" s="55"/>
    </row>
    <row r="309">
      <c r="E309" s="55"/>
    </row>
    <row r="310">
      <c r="E310" s="55"/>
    </row>
    <row r="311">
      <c r="E311" s="55"/>
    </row>
    <row r="312">
      <c r="E312" s="55"/>
    </row>
    <row r="313">
      <c r="E313" s="55"/>
    </row>
    <row r="314">
      <c r="E314" s="55"/>
    </row>
    <row r="315">
      <c r="E315" s="55"/>
    </row>
    <row r="316">
      <c r="E316" s="55"/>
    </row>
    <row r="317">
      <c r="E317" s="55"/>
    </row>
    <row r="318">
      <c r="E318" s="55"/>
    </row>
    <row r="319">
      <c r="E319" s="55"/>
    </row>
    <row r="320">
      <c r="E320" s="55"/>
    </row>
    <row r="321">
      <c r="E321" s="55"/>
    </row>
    <row r="322">
      <c r="E322" s="55"/>
    </row>
    <row r="323">
      <c r="E323" s="55"/>
    </row>
    <row r="324">
      <c r="E324" s="55"/>
    </row>
    <row r="325">
      <c r="E325" s="55"/>
    </row>
    <row r="326">
      <c r="E326" s="55"/>
    </row>
    <row r="327">
      <c r="E327" s="55"/>
    </row>
    <row r="328">
      <c r="E328" s="55"/>
    </row>
    <row r="329">
      <c r="E329" s="55"/>
    </row>
    <row r="330">
      <c r="E330" s="55"/>
    </row>
    <row r="331">
      <c r="E331" s="55"/>
    </row>
    <row r="332">
      <c r="E332" s="55"/>
    </row>
    <row r="333">
      <c r="E333" s="55"/>
    </row>
    <row r="334">
      <c r="E334" s="55"/>
    </row>
    <row r="335">
      <c r="E335" s="55"/>
    </row>
    <row r="336">
      <c r="E336" s="55"/>
    </row>
    <row r="337">
      <c r="E337" s="55"/>
    </row>
    <row r="338">
      <c r="E338" s="55"/>
    </row>
    <row r="339">
      <c r="E339" s="55"/>
    </row>
    <row r="340">
      <c r="E340" s="55"/>
    </row>
    <row r="341">
      <c r="E341" s="55"/>
    </row>
    <row r="342">
      <c r="E342" s="55"/>
    </row>
    <row r="343">
      <c r="E343" s="55"/>
    </row>
    <row r="344">
      <c r="E344" s="55"/>
    </row>
    <row r="345">
      <c r="E345" s="55"/>
    </row>
    <row r="346">
      <c r="E346" s="55"/>
    </row>
    <row r="347">
      <c r="E347" s="55"/>
    </row>
    <row r="348">
      <c r="E348" s="55"/>
    </row>
    <row r="349">
      <c r="E349" s="55"/>
    </row>
    <row r="350">
      <c r="E350" s="55"/>
    </row>
    <row r="351">
      <c r="E351" s="55"/>
    </row>
    <row r="352">
      <c r="E352" s="55"/>
    </row>
    <row r="353">
      <c r="E353" s="55"/>
    </row>
    <row r="354">
      <c r="E354" s="55"/>
    </row>
    <row r="355">
      <c r="E355" s="55"/>
    </row>
    <row r="356">
      <c r="E356" s="55"/>
    </row>
    <row r="357">
      <c r="E357" s="55"/>
    </row>
    <row r="358">
      <c r="E358" s="55"/>
    </row>
    <row r="359">
      <c r="E359" s="55"/>
    </row>
    <row r="360">
      <c r="E360" s="55"/>
    </row>
    <row r="361">
      <c r="E361" s="55"/>
    </row>
    <row r="362">
      <c r="E362" s="55"/>
    </row>
    <row r="363">
      <c r="E363" s="55"/>
    </row>
    <row r="364">
      <c r="E364" s="55"/>
    </row>
    <row r="365">
      <c r="E365" s="55"/>
    </row>
    <row r="366">
      <c r="E366" s="55"/>
    </row>
    <row r="367">
      <c r="E367" s="55"/>
    </row>
    <row r="368">
      <c r="E368" s="55"/>
    </row>
    <row r="369">
      <c r="E369" s="55"/>
    </row>
    <row r="370">
      <c r="E370" s="55"/>
    </row>
    <row r="371">
      <c r="E371" s="55"/>
    </row>
    <row r="372">
      <c r="E372" s="55"/>
    </row>
    <row r="373">
      <c r="E373" s="55"/>
    </row>
    <row r="374">
      <c r="E374" s="55"/>
    </row>
    <row r="375">
      <c r="E375" s="55"/>
    </row>
    <row r="376">
      <c r="E376" s="55"/>
    </row>
    <row r="377">
      <c r="E377" s="55"/>
    </row>
    <row r="378">
      <c r="E378" s="55"/>
    </row>
    <row r="379">
      <c r="E379" s="55"/>
    </row>
    <row r="380">
      <c r="E380" s="55"/>
    </row>
    <row r="381">
      <c r="E381" s="55"/>
    </row>
    <row r="382">
      <c r="E382" s="55"/>
    </row>
    <row r="383">
      <c r="E383" s="55"/>
    </row>
    <row r="384">
      <c r="E384" s="55"/>
    </row>
    <row r="385">
      <c r="E385" s="55"/>
    </row>
    <row r="386">
      <c r="E386" s="55"/>
    </row>
    <row r="387">
      <c r="E387" s="55"/>
    </row>
    <row r="388">
      <c r="E388" s="55"/>
    </row>
    <row r="389">
      <c r="E389" s="55"/>
    </row>
    <row r="390">
      <c r="E390" s="55"/>
    </row>
    <row r="391">
      <c r="E391" s="55"/>
    </row>
    <row r="392">
      <c r="E392" s="55"/>
    </row>
    <row r="393">
      <c r="E393" s="55"/>
    </row>
    <row r="394">
      <c r="E394" s="55"/>
    </row>
    <row r="395">
      <c r="E395" s="55"/>
    </row>
    <row r="396">
      <c r="E396" s="55"/>
    </row>
    <row r="397">
      <c r="E397" s="55"/>
    </row>
    <row r="398">
      <c r="E398" s="55"/>
    </row>
    <row r="399">
      <c r="E399" s="55"/>
    </row>
    <row r="400">
      <c r="E400" s="55"/>
    </row>
    <row r="401">
      <c r="E401" s="55"/>
    </row>
    <row r="402">
      <c r="E402" s="55"/>
    </row>
    <row r="403">
      <c r="E403" s="55"/>
    </row>
    <row r="404">
      <c r="E404" s="55"/>
    </row>
    <row r="405">
      <c r="E405" s="55"/>
    </row>
    <row r="406">
      <c r="E406" s="55"/>
    </row>
    <row r="407">
      <c r="E407" s="55"/>
    </row>
    <row r="408">
      <c r="E408" s="55"/>
    </row>
    <row r="409">
      <c r="E409" s="55"/>
    </row>
    <row r="410">
      <c r="E410" s="55"/>
    </row>
    <row r="411">
      <c r="E411" s="55"/>
    </row>
    <row r="412">
      <c r="E412" s="55"/>
    </row>
    <row r="413">
      <c r="E413" s="55"/>
    </row>
    <row r="414">
      <c r="E414" s="55"/>
    </row>
    <row r="415">
      <c r="E415" s="55"/>
    </row>
    <row r="416">
      <c r="E416" s="55"/>
    </row>
    <row r="417">
      <c r="E417" s="55"/>
    </row>
    <row r="418">
      <c r="E418" s="55"/>
    </row>
    <row r="419">
      <c r="E419" s="55"/>
    </row>
    <row r="420">
      <c r="E420" s="55"/>
    </row>
    <row r="421">
      <c r="E421" s="55"/>
    </row>
    <row r="422">
      <c r="E422" s="55"/>
    </row>
    <row r="423">
      <c r="E423" s="55"/>
    </row>
    <row r="424">
      <c r="E424" s="55"/>
    </row>
    <row r="425">
      <c r="E425" s="55"/>
    </row>
    <row r="426">
      <c r="E426" s="55"/>
    </row>
    <row r="427">
      <c r="E427" s="55"/>
    </row>
    <row r="428">
      <c r="E428" s="55"/>
    </row>
    <row r="429">
      <c r="E429" s="55"/>
    </row>
    <row r="430">
      <c r="E430" s="55"/>
    </row>
    <row r="431">
      <c r="E431" s="55"/>
    </row>
    <row r="432">
      <c r="E432" s="55"/>
    </row>
    <row r="433">
      <c r="E433" s="55"/>
    </row>
    <row r="434">
      <c r="E434" s="55"/>
    </row>
    <row r="435">
      <c r="E435" s="55"/>
    </row>
    <row r="436">
      <c r="E436" s="55"/>
    </row>
    <row r="437">
      <c r="E437" s="55"/>
    </row>
    <row r="438">
      <c r="E438" s="55"/>
    </row>
    <row r="439">
      <c r="E439" s="55"/>
    </row>
    <row r="440">
      <c r="E440" s="55"/>
    </row>
    <row r="441">
      <c r="E441" s="55"/>
    </row>
    <row r="442">
      <c r="E442" s="55"/>
    </row>
    <row r="443">
      <c r="E443" s="55"/>
    </row>
    <row r="444">
      <c r="E444" s="55"/>
    </row>
    <row r="445">
      <c r="E445" s="55"/>
    </row>
    <row r="446">
      <c r="E446" s="55"/>
    </row>
    <row r="447">
      <c r="E447" s="55"/>
    </row>
    <row r="448">
      <c r="E448" s="55"/>
    </row>
    <row r="449">
      <c r="E449" s="55"/>
    </row>
    <row r="450">
      <c r="E450" s="55"/>
    </row>
    <row r="451">
      <c r="E451" s="55"/>
    </row>
    <row r="452">
      <c r="E452" s="55"/>
    </row>
    <row r="453">
      <c r="E453" s="55"/>
    </row>
    <row r="454">
      <c r="E454" s="55"/>
    </row>
    <row r="455">
      <c r="E455" s="55"/>
    </row>
    <row r="456">
      <c r="E456" s="55"/>
    </row>
    <row r="457">
      <c r="E457" s="55"/>
    </row>
    <row r="458">
      <c r="E458" s="55"/>
    </row>
    <row r="459">
      <c r="E459" s="55"/>
    </row>
    <row r="460">
      <c r="E460" s="55"/>
    </row>
    <row r="461">
      <c r="E461" s="55"/>
    </row>
    <row r="462">
      <c r="E462" s="55"/>
    </row>
    <row r="463">
      <c r="E463" s="55"/>
    </row>
    <row r="464">
      <c r="E464" s="55"/>
    </row>
    <row r="465">
      <c r="E465" s="55"/>
    </row>
    <row r="466">
      <c r="E466" s="55"/>
    </row>
    <row r="467">
      <c r="E467" s="55"/>
    </row>
    <row r="468">
      <c r="E468" s="55"/>
    </row>
    <row r="469">
      <c r="E469" s="55"/>
    </row>
    <row r="470">
      <c r="E470" s="55"/>
    </row>
    <row r="471">
      <c r="E471" s="55"/>
    </row>
    <row r="472">
      <c r="E472" s="55"/>
    </row>
    <row r="473">
      <c r="E473" s="55"/>
    </row>
    <row r="474">
      <c r="E474" s="55"/>
    </row>
    <row r="475">
      <c r="E475" s="55"/>
    </row>
    <row r="476">
      <c r="E476" s="55"/>
    </row>
    <row r="477">
      <c r="E477" s="55"/>
    </row>
    <row r="478">
      <c r="E478" s="55"/>
    </row>
    <row r="479">
      <c r="E479" s="55"/>
    </row>
    <row r="480">
      <c r="E480" s="55"/>
    </row>
    <row r="481">
      <c r="E481" s="55"/>
    </row>
    <row r="482">
      <c r="E482" s="55"/>
    </row>
    <row r="483">
      <c r="E483" s="55"/>
    </row>
    <row r="484">
      <c r="E484" s="55"/>
    </row>
    <row r="485">
      <c r="E485" s="55"/>
    </row>
    <row r="486">
      <c r="E486" s="55"/>
    </row>
    <row r="487">
      <c r="E487" s="55"/>
    </row>
    <row r="488">
      <c r="E488" s="55"/>
    </row>
    <row r="489">
      <c r="E489" s="55"/>
    </row>
    <row r="490">
      <c r="E490" s="55"/>
    </row>
    <row r="491">
      <c r="E491" s="55"/>
    </row>
    <row r="492">
      <c r="E492" s="55"/>
    </row>
    <row r="493">
      <c r="E493" s="55"/>
    </row>
    <row r="494">
      <c r="E494" s="55"/>
    </row>
    <row r="495">
      <c r="E495" s="55"/>
    </row>
    <row r="496">
      <c r="E496" s="55"/>
    </row>
    <row r="497">
      <c r="E497" s="55"/>
    </row>
    <row r="498">
      <c r="E498" s="55"/>
    </row>
    <row r="499">
      <c r="E499" s="55"/>
    </row>
    <row r="500">
      <c r="E500" s="55"/>
    </row>
    <row r="501">
      <c r="E501" s="55"/>
    </row>
    <row r="502">
      <c r="E502" s="55"/>
    </row>
    <row r="503">
      <c r="E503" s="55"/>
    </row>
    <row r="504">
      <c r="E504" s="55"/>
    </row>
    <row r="505">
      <c r="E505" s="55"/>
    </row>
    <row r="506">
      <c r="E506" s="55"/>
    </row>
    <row r="507">
      <c r="E507" s="55"/>
    </row>
    <row r="508">
      <c r="E508" s="55"/>
    </row>
    <row r="509">
      <c r="E509" s="55"/>
    </row>
    <row r="510">
      <c r="E510" s="55"/>
    </row>
    <row r="511">
      <c r="E511" s="55"/>
    </row>
    <row r="512">
      <c r="E512" s="55"/>
    </row>
    <row r="513">
      <c r="E513" s="55"/>
    </row>
    <row r="514">
      <c r="E514" s="55"/>
    </row>
    <row r="515">
      <c r="E515" s="55"/>
    </row>
    <row r="516">
      <c r="E516" s="55"/>
    </row>
    <row r="517">
      <c r="E517" s="55"/>
    </row>
    <row r="518">
      <c r="E518" s="55"/>
    </row>
    <row r="519">
      <c r="E519" s="55"/>
    </row>
    <row r="520">
      <c r="E520" s="55"/>
    </row>
    <row r="521">
      <c r="E521" s="55"/>
    </row>
    <row r="522">
      <c r="E522" s="55"/>
    </row>
    <row r="523">
      <c r="E523" s="55"/>
    </row>
    <row r="524">
      <c r="E524" s="55"/>
    </row>
    <row r="525">
      <c r="E525" s="55"/>
    </row>
    <row r="526">
      <c r="E526" s="55"/>
    </row>
    <row r="527">
      <c r="E527" s="55"/>
    </row>
    <row r="528">
      <c r="E528" s="55"/>
    </row>
    <row r="529">
      <c r="E529" s="55"/>
    </row>
    <row r="530">
      <c r="E530" s="55"/>
    </row>
    <row r="531">
      <c r="E531" s="55"/>
    </row>
    <row r="532">
      <c r="E532" s="55"/>
    </row>
    <row r="533">
      <c r="E533" s="55"/>
    </row>
    <row r="534">
      <c r="E534" s="55"/>
    </row>
    <row r="535">
      <c r="E535" s="55"/>
    </row>
    <row r="536">
      <c r="E536" s="55"/>
    </row>
    <row r="537">
      <c r="E537" s="55"/>
    </row>
    <row r="538">
      <c r="E538" s="55"/>
    </row>
    <row r="539">
      <c r="E539" s="55"/>
    </row>
    <row r="540">
      <c r="E540" s="55"/>
    </row>
    <row r="541">
      <c r="E541" s="55"/>
    </row>
    <row r="542">
      <c r="E542" s="55"/>
    </row>
    <row r="543">
      <c r="E543" s="55"/>
    </row>
    <row r="544">
      <c r="E544" s="55"/>
    </row>
    <row r="545">
      <c r="E545" s="55"/>
    </row>
    <row r="546">
      <c r="E546" s="55"/>
    </row>
    <row r="547">
      <c r="E547" s="55"/>
    </row>
    <row r="548">
      <c r="E548" s="55"/>
    </row>
    <row r="549">
      <c r="E549" s="55"/>
    </row>
    <row r="550">
      <c r="E550" s="55"/>
    </row>
    <row r="551">
      <c r="E551" s="55"/>
    </row>
    <row r="552">
      <c r="E552" s="55"/>
    </row>
    <row r="553">
      <c r="E553" s="55"/>
    </row>
    <row r="554">
      <c r="E554" s="55"/>
    </row>
    <row r="555">
      <c r="E555" s="55"/>
    </row>
    <row r="556">
      <c r="E556" s="55"/>
    </row>
    <row r="557">
      <c r="E557" s="55"/>
    </row>
    <row r="558">
      <c r="E558" s="55"/>
    </row>
    <row r="559">
      <c r="E559" s="55"/>
    </row>
    <row r="560">
      <c r="E560" s="55"/>
    </row>
    <row r="561">
      <c r="E561" s="55"/>
    </row>
    <row r="562">
      <c r="E562" s="55"/>
    </row>
    <row r="563">
      <c r="E563" s="55"/>
    </row>
    <row r="564">
      <c r="E564" s="55"/>
    </row>
    <row r="565">
      <c r="E565" s="55"/>
    </row>
    <row r="566">
      <c r="E566" s="55"/>
    </row>
    <row r="567">
      <c r="E567" s="55"/>
    </row>
    <row r="568">
      <c r="E568" s="55"/>
    </row>
    <row r="569">
      <c r="E569" s="55"/>
    </row>
    <row r="570">
      <c r="E570" s="55"/>
    </row>
    <row r="571">
      <c r="E571" s="55"/>
    </row>
    <row r="572">
      <c r="E572" s="55"/>
    </row>
    <row r="573">
      <c r="E573" s="55"/>
    </row>
    <row r="574">
      <c r="E574" s="55"/>
    </row>
    <row r="575">
      <c r="E575" s="55"/>
    </row>
    <row r="576">
      <c r="E576" s="55"/>
    </row>
    <row r="577">
      <c r="E577" s="55"/>
    </row>
    <row r="578">
      <c r="E578" s="55"/>
    </row>
    <row r="579">
      <c r="E579" s="55"/>
    </row>
    <row r="580">
      <c r="E580" s="55"/>
    </row>
    <row r="581">
      <c r="E581" s="55"/>
    </row>
    <row r="582">
      <c r="E582" s="55"/>
    </row>
    <row r="583">
      <c r="E583" s="55"/>
    </row>
    <row r="584">
      <c r="E584" s="55"/>
    </row>
    <row r="585">
      <c r="E585" s="55"/>
    </row>
    <row r="586">
      <c r="E586" s="55"/>
    </row>
    <row r="587">
      <c r="E587" s="55"/>
    </row>
    <row r="588">
      <c r="E588" s="55"/>
    </row>
    <row r="589">
      <c r="E589" s="55"/>
    </row>
    <row r="590">
      <c r="E590" s="55"/>
    </row>
    <row r="591">
      <c r="E591" s="55"/>
    </row>
    <row r="592">
      <c r="E592" s="55"/>
    </row>
    <row r="593">
      <c r="E593" s="55"/>
    </row>
    <row r="594">
      <c r="E594" s="55"/>
    </row>
    <row r="595">
      <c r="E595" s="55"/>
    </row>
    <row r="596">
      <c r="E596" s="55"/>
    </row>
    <row r="597">
      <c r="E597" s="55"/>
    </row>
    <row r="598">
      <c r="E598" s="55"/>
    </row>
    <row r="599">
      <c r="E599" s="55"/>
    </row>
    <row r="600">
      <c r="E600" s="55"/>
    </row>
    <row r="601">
      <c r="E601" s="55"/>
    </row>
    <row r="602">
      <c r="E602" s="55"/>
    </row>
    <row r="603">
      <c r="E603" s="55"/>
    </row>
    <row r="604">
      <c r="E604" s="55"/>
    </row>
    <row r="605">
      <c r="E605" s="55"/>
    </row>
    <row r="606">
      <c r="E606" s="55"/>
    </row>
    <row r="607">
      <c r="E607" s="55"/>
    </row>
    <row r="608">
      <c r="E608" s="55"/>
    </row>
    <row r="609">
      <c r="E609" s="55"/>
    </row>
    <row r="610">
      <c r="E610" s="55"/>
    </row>
    <row r="611">
      <c r="E611" s="55"/>
    </row>
    <row r="612">
      <c r="E612" s="55"/>
    </row>
    <row r="613">
      <c r="E613" s="55"/>
    </row>
    <row r="614">
      <c r="E614" s="55"/>
    </row>
    <row r="615">
      <c r="E615" s="55"/>
    </row>
    <row r="616">
      <c r="E616" s="55"/>
    </row>
    <row r="617">
      <c r="E617" s="55"/>
    </row>
    <row r="618">
      <c r="E618" s="55"/>
    </row>
    <row r="619">
      <c r="E619" s="55"/>
    </row>
    <row r="620">
      <c r="E620" s="55"/>
    </row>
    <row r="621">
      <c r="E621" s="55"/>
    </row>
    <row r="622">
      <c r="E622" s="55"/>
    </row>
    <row r="623">
      <c r="E623" s="55"/>
    </row>
    <row r="624">
      <c r="E624" s="55"/>
    </row>
    <row r="625">
      <c r="E625" s="55"/>
    </row>
    <row r="626">
      <c r="E626" s="55"/>
    </row>
    <row r="627">
      <c r="E627" s="55"/>
    </row>
    <row r="628">
      <c r="E628" s="55"/>
    </row>
    <row r="629">
      <c r="E629" s="55"/>
    </row>
    <row r="630">
      <c r="E630" s="55"/>
    </row>
    <row r="631">
      <c r="E631" s="55"/>
    </row>
    <row r="632">
      <c r="E632" s="55"/>
    </row>
    <row r="633">
      <c r="E633" s="55"/>
    </row>
    <row r="634">
      <c r="E634" s="55"/>
    </row>
    <row r="635">
      <c r="E635" s="55"/>
    </row>
    <row r="636">
      <c r="E636" s="55"/>
    </row>
    <row r="637">
      <c r="E637" s="55"/>
    </row>
    <row r="638">
      <c r="E638" s="55"/>
    </row>
    <row r="639">
      <c r="E639" s="55"/>
    </row>
    <row r="640">
      <c r="E640" s="55"/>
    </row>
    <row r="641">
      <c r="E641" s="55"/>
    </row>
    <row r="642">
      <c r="E642" s="55"/>
    </row>
    <row r="643">
      <c r="E643" s="55"/>
    </row>
    <row r="644">
      <c r="E644" s="55"/>
    </row>
    <row r="645">
      <c r="E645" s="55"/>
    </row>
    <row r="646">
      <c r="E646" s="55"/>
    </row>
    <row r="647">
      <c r="E647" s="55"/>
    </row>
    <row r="648">
      <c r="E648" s="55"/>
    </row>
    <row r="649">
      <c r="E649" s="55"/>
    </row>
    <row r="650">
      <c r="E650" s="55"/>
    </row>
    <row r="651">
      <c r="E651" s="55"/>
    </row>
    <row r="652">
      <c r="E652" s="55"/>
    </row>
    <row r="653">
      <c r="E653" s="55"/>
    </row>
    <row r="654">
      <c r="E654" s="55"/>
    </row>
    <row r="655">
      <c r="E655" s="55"/>
    </row>
    <row r="656">
      <c r="E656" s="55"/>
    </row>
    <row r="657">
      <c r="E657" s="55"/>
    </row>
    <row r="658">
      <c r="E658" s="55"/>
    </row>
    <row r="659">
      <c r="E659" s="55"/>
    </row>
    <row r="660">
      <c r="E660" s="55"/>
    </row>
    <row r="661">
      <c r="E661" s="55"/>
    </row>
    <row r="662">
      <c r="E662" s="55"/>
    </row>
    <row r="663">
      <c r="E663" s="55"/>
    </row>
    <row r="664">
      <c r="E664" s="55"/>
    </row>
    <row r="665">
      <c r="E665" s="55"/>
    </row>
    <row r="666">
      <c r="E666" s="55"/>
    </row>
    <row r="667">
      <c r="E667" s="55"/>
    </row>
    <row r="668">
      <c r="E668" s="55"/>
    </row>
    <row r="669">
      <c r="E669" s="55"/>
    </row>
    <row r="670">
      <c r="E670" s="55"/>
    </row>
    <row r="671">
      <c r="E671" s="55"/>
    </row>
    <row r="672">
      <c r="E672" s="55"/>
    </row>
    <row r="673">
      <c r="E673" s="55"/>
    </row>
    <row r="674">
      <c r="E674" s="55"/>
    </row>
    <row r="675">
      <c r="E675" s="55"/>
    </row>
    <row r="676">
      <c r="E676" s="55"/>
    </row>
    <row r="677">
      <c r="E677" s="55"/>
    </row>
    <row r="678">
      <c r="E678" s="55"/>
    </row>
    <row r="679">
      <c r="E679" s="55"/>
    </row>
    <row r="680">
      <c r="E680" s="55"/>
    </row>
    <row r="681">
      <c r="E681" s="55"/>
    </row>
    <row r="682">
      <c r="E682" s="55"/>
    </row>
    <row r="683">
      <c r="E683" s="55"/>
    </row>
    <row r="684">
      <c r="E684" s="55"/>
    </row>
    <row r="685">
      <c r="E685" s="55"/>
    </row>
    <row r="686">
      <c r="E686" s="55"/>
    </row>
    <row r="687">
      <c r="E687" s="55"/>
    </row>
    <row r="688">
      <c r="E688" s="55"/>
    </row>
    <row r="689">
      <c r="E689" s="55"/>
    </row>
    <row r="690">
      <c r="E690" s="55"/>
    </row>
    <row r="691">
      <c r="E691" s="55"/>
    </row>
    <row r="692">
      <c r="E692" s="55"/>
    </row>
    <row r="693">
      <c r="E693" s="55"/>
    </row>
    <row r="694">
      <c r="E694" s="55"/>
    </row>
    <row r="695">
      <c r="E695" s="55"/>
    </row>
    <row r="696">
      <c r="E696" s="55"/>
    </row>
    <row r="697">
      <c r="E697" s="55"/>
    </row>
    <row r="698">
      <c r="E698" s="55"/>
    </row>
    <row r="699">
      <c r="E699" s="55"/>
    </row>
    <row r="700">
      <c r="E700" s="55"/>
    </row>
    <row r="701">
      <c r="E701" s="55"/>
    </row>
    <row r="702">
      <c r="E702" s="55"/>
    </row>
    <row r="703">
      <c r="E703" s="55"/>
    </row>
    <row r="704">
      <c r="E704" s="55"/>
    </row>
    <row r="705">
      <c r="E705" s="55"/>
    </row>
    <row r="706">
      <c r="E706" s="55"/>
    </row>
    <row r="707">
      <c r="E707" s="55"/>
    </row>
    <row r="708">
      <c r="E708" s="55"/>
    </row>
    <row r="709">
      <c r="E709" s="55"/>
    </row>
    <row r="710">
      <c r="E710" s="55"/>
    </row>
    <row r="711">
      <c r="E711" s="55"/>
    </row>
    <row r="712">
      <c r="E712" s="55"/>
    </row>
    <row r="713">
      <c r="E713" s="55"/>
    </row>
    <row r="714">
      <c r="E714" s="55"/>
    </row>
    <row r="715">
      <c r="E715" s="55"/>
    </row>
    <row r="716">
      <c r="E716" s="55"/>
    </row>
    <row r="717">
      <c r="E717" s="55"/>
    </row>
    <row r="718">
      <c r="E718" s="55"/>
    </row>
    <row r="719">
      <c r="E719" s="55"/>
    </row>
    <row r="720">
      <c r="E720" s="55"/>
    </row>
    <row r="721">
      <c r="E721" s="55"/>
    </row>
    <row r="722">
      <c r="E722" s="55"/>
    </row>
    <row r="723">
      <c r="E723" s="55"/>
    </row>
    <row r="724">
      <c r="E724" s="55"/>
    </row>
    <row r="725">
      <c r="E725" s="55"/>
    </row>
    <row r="726">
      <c r="E726" s="55"/>
    </row>
    <row r="727">
      <c r="E727" s="55"/>
    </row>
    <row r="728">
      <c r="E728" s="55"/>
    </row>
    <row r="729">
      <c r="E729" s="55"/>
    </row>
    <row r="730">
      <c r="E730" s="55"/>
    </row>
    <row r="731">
      <c r="E731" s="55"/>
    </row>
    <row r="732">
      <c r="E732" s="55"/>
    </row>
    <row r="733">
      <c r="E733" s="55"/>
    </row>
    <row r="734">
      <c r="E734" s="55"/>
    </row>
    <row r="735">
      <c r="E735" s="55"/>
    </row>
    <row r="736">
      <c r="E736" s="55"/>
    </row>
    <row r="737">
      <c r="E737" s="55"/>
    </row>
    <row r="738">
      <c r="E738" s="55"/>
    </row>
    <row r="739">
      <c r="E739" s="55"/>
    </row>
    <row r="740">
      <c r="E740" s="55"/>
    </row>
    <row r="741">
      <c r="E741" s="55"/>
    </row>
    <row r="742">
      <c r="E742" s="55"/>
    </row>
    <row r="743">
      <c r="E743" s="55"/>
    </row>
    <row r="744">
      <c r="E744" s="55"/>
    </row>
    <row r="745">
      <c r="E745" s="55"/>
    </row>
    <row r="746">
      <c r="E746" s="55"/>
    </row>
    <row r="747">
      <c r="E747" s="55"/>
    </row>
    <row r="748">
      <c r="E748" s="55"/>
    </row>
    <row r="749">
      <c r="E749" s="55"/>
    </row>
    <row r="750">
      <c r="E750" s="55"/>
    </row>
    <row r="751">
      <c r="E751" s="55"/>
    </row>
    <row r="752">
      <c r="E752" s="55"/>
    </row>
    <row r="753">
      <c r="E753" s="55"/>
    </row>
    <row r="754">
      <c r="E754" s="55"/>
    </row>
    <row r="755">
      <c r="E755" s="55"/>
    </row>
    <row r="756">
      <c r="E756" s="55"/>
    </row>
    <row r="757">
      <c r="E757" s="55"/>
    </row>
    <row r="758">
      <c r="E758" s="55"/>
    </row>
    <row r="759">
      <c r="E759" s="55"/>
    </row>
    <row r="760">
      <c r="E760" s="55"/>
    </row>
    <row r="761">
      <c r="E761" s="55"/>
    </row>
    <row r="762">
      <c r="E762" s="55"/>
    </row>
    <row r="763">
      <c r="E763" s="55"/>
    </row>
    <row r="764">
      <c r="E764" s="55"/>
    </row>
    <row r="765">
      <c r="E765" s="55"/>
    </row>
    <row r="766">
      <c r="E766" s="55"/>
    </row>
    <row r="767">
      <c r="E767" s="55"/>
    </row>
    <row r="768">
      <c r="E768" s="55"/>
    </row>
    <row r="769">
      <c r="E769" s="55"/>
    </row>
    <row r="770">
      <c r="E770" s="55"/>
    </row>
    <row r="771">
      <c r="E771" s="55"/>
    </row>
    <row r="772">
      <c r="E772" s="55"/>
    </row>
    <row r="773">
      <c r="E773" s="55"/>
    </row>
    <row r="774">
      <c r="E774" s="55"/>
    </row>
    <row r="775">
      <c r="E775" s="55"/>
    </row>
    <row r="776">
      <c r="E776" s="55"/>
    </row>
    <row r="777">
      <c r="E777" s="55"/>
    </row>
    <row r="778">
      <c r="E778" s="55"/>
    </row>
    <row r="779">
      <c r="E779" s="55"/>
    </row>
    <row r="780">
      <c r="E780" s="55"/>
    </row>
    <row r="781">
      <c r="E781" s="55"/>
    </row>
    <row r="782">
      <c r="E782" s="55"/>
    </row>
    <row r="783">
      <c r="E783" s="55"/>
    </row>
    <row r="784">
      <c r="E784" s="55"/>
    </row>
    <row r="785">
      <c r="E785" s="55"/>
    </row>
    <row r="786">
      <c r="E786" s="55"/>
    </row>
    <row r="787">
      <c r="E787" s="55"/>
    </row>
    <row r="788">
      <c r="E788" s="55"/>
    </row>
    <row r="789">
      <c r="E789" s="55"/>
    </row>
    <row r="790">
      <c r="E790" s="55"/>
    </row>
    <row r="791">
      <c r="E791" s="55"/>
    </row>
    <row r="792">
      <c r="E792" s="55"/>
    </row>
    <row r="793">
      <c r="E793" s="55"/>
    </row>
    <row r="794">
      <c r="E794" s="55"/>
    </row>
    <row r="795">
      <c r="E795" s="55"/>
    </row>
    <row r="796">
      <c r="E796" s="55"/>
    </row>
    <row r="797">
      <c r="E797" s="55"/>
    </row>
    <row r="798">
      <c r="E798" s="55"/>
    </row>
    <row r="799">
      <c r="E799" s="55"/>
    </row>
    <row r="800">
      <c r="E800" s="55"/>
    </row>
    <row r="801">
      <c r="E801" s="55"/>
    </row>
    <row r="802">
      <c r="E802" s="55"/>
    </row>
    <row r="803">
      <c r="E803" s="55"/>
    </row>
    <row r="804">
      <c r="E804" s="55"/>
    </row>
    <row r="805">
      <c r="E805" s="55"/>
    </row>
    <row r="806">
      <c r="E806" s="55"/>
    </row>
    <row r="807">
      <c r="E807" s="55"/>
    </row>
    <row r="808">
      <c r="E808" s="55"/>
    </row>
    <row r="809">
      <c r="E809" s="55"/>
    </row>
    <row r="810">
      <c r="E810" s="55"/>
    </row>
    <row r="811">
      <c r="E811" s="55"/>
    </row>
    <row r="812">
      <c r="E812" s="55"/>
    </row>
    <row r="813">
      <c r="E813" s="55"/>
    </row>
    <row r="814">
      <c r="E814" s="55"/>
    </row>
    <row r="815">
      <c r="E815" s="55"/>
    </row>
    <row r="816">
      <c r="E816" s="55"/>
    </row>
    <row r="817">
      <c r="E817" s="55"/>
    </row>
    <row r="818">
      <c r="E818" s="55"/>
    </row>
    <row r="819">
      <c r="E819" s="55"/>
    </row>
    <row r="820">
      <c r="E820" s="55"/>
    </row>
    <row r="821">
      <c r="E821" s="55"/>
    </row>
    <row r="822">
      <c r="E822" s="55"/>
    </row>
    <row r="823">
      <c r="E823" s="55"/>
    </row>
    <row r="824">
      <c r="E824" s="55"/>
    </row>
    <row r="825">
      <c r="E825" s="55"/>
    </row>
    <row r="826">
      <c r="E826" s="55"/>
    </row>
    <row r="827">
      <c r="E827" s="55"/>
    </row>
    <row r="828">
      <c r="E828" s="55"/>
    </row>
    <row r="829">
      <c r="E829" s="55"/>
    </row>
    <row r="830">
      <c r="E830" s="55"/>
    </row>
    <row r="831">
      <c r="E831" s="55"/>
    </row>
    <row r="832">
      <c r="E832" s="55"/>
    </row>
    <row r="833">
      <c r="E833" s="55"/>
    </row>
    <row r="834">
      <c r="E834" s="55"/>
    </row>
    <row r="835">
      <c r="E835" s="55"/>
    </row>
    <row r="836">
      <c r="E836" s="55"/>
    </row>
    <row r="837">
      <c r="E837" s="55"/>
    </row>
    <row r="838">
      <c r="E838" s="55"/>
    </row>
    <row r="839">
      <c r="E839" s="55"/>
    </row>
    <row r="840">
      <c r="E840" s="55"/>
    </row>
    <row r="841">
      <c r="E841" s="55"/>
    </row>
    <row r="842">
      <c r="E842" s="55"/>
    </row>
    <row r="843">
      <c r="E843" s="55"/>
    </row>
    <row r="844">
      <c r="E844" s="55"/>
    </row>
    <row r="845">
      <c r="E845" s="55"/>
    </row>
    <row r="846">
      <c r="E846" s="55"/>
    </row>
    <row r="847">
      <c r="E847" s="55"/>
    </row>
    <row r="848">
      <c r="E848" s="55"/>
    </row>
    <row r="849">
      <c r="E849" s="55"/>
    </row>
    <row r="850">
      <c r="E850" s="55"/>
    </row>
    <row r="851">
      <c r="E851" s="55"/>
    </row>
    <row r="852">
      <c r="E852" s="55"/>
    </row>
    <row r="853">
      <c r="E853" s="55"/>
    </row>
    <row r="854">
      <c r="E854" s="55"/>
    </row>
    <row r="855">
      <c r="E855" s="55"/>
    </row>
    <row r="856">
      <c r="E856" s="55"/>
    </row>
    <row r="857">
      <c r="E857" s="55"/>
    </row>
    <row r="858">
      <c r="E858" s="55"/>
    </row>
    <row r="859">
      <c r="E859" s="55"/>
    </row>
    <row r="860">
      <c r="E860" s="55"/>
    </row>
    <row r="861">
      <c r="E861" s="55"/>
    </row>
    <row r="862">
      <c r="E862" s="55"/>
    </row>
    <row r="863">
      <c r="E863" s="55"/>
    </row>
    <row r="864">
      <c r="E864" s="55"/>
    </row>
    <row r="865">
      <c r="E865" s="55"/>
    </row>
    <row r="866">
      <c r="E866" s="55"/>
    </row>
    <row r="867">
      <c r="E867" s="55"/>
    </row>
    <row r="868">
      <c r="E868" s="55"/>
    </row>
    <row r="869">
      <c r="E869" s="55"/>
    </row>
    <row r="870">
      <c r="E870" s="55"/>
    </row>
    <row r="871">
      <c r="E871" s="55"/>
    </row>
    <row r="872">
      <c r="E872" s="55"/>
    </row>
    <row r="873">
      <c r="E873" s="55"/>
    </row>
    <row r="874">
      <c r="E874" s="55"/>
    </row>
    <row r="875">
      <c r="E875" s="55"/>
    </row>
    <row r="876">
      <c r="E876" s="55"/>
    </row>
    <row r="877">
      <c r="E877" s="55"/>
    </row>
    <row r="878">
      <c r="E878" s="55"/>
    </row>
    <row r="879">
      <c r="E879" s="55"/>
    </row>
    <row r="880">
      <c r="E880" s="55"/>
    </row>
    <row r="881">
      <c r="E881" s="55"/>
    </row>
    <row r="882">
      <c r="E882" s="55"/>
    </row>
    <row r="883">
      <c r="E883" s="55"/>
    </row>
    <row r="884">
      <c r="E884" s="55"/>
    </row>
    <row r="885">
      <c r="E885" s="55"/>
    </row>
    <row r="886">
      <c r="E886" s="55"/>
    </row>
    <row r="887">
      <c r="E887" s="55"/>
    </row>
    <row r="888">
      <c r="E888" s="55"/>
    </row>
    <row r="889">
      <c r="E889" s="55"/>
    </row>
    <row r="890">
      <c r="E890" s="55"/>
    </row>
    <row r="891">
      <c r="E891" s="55"/>
    </row>
    <row r="892">
      <c r="E892" s="55"/>
    </row>
    <row r="893">
      <c r="E893" s="55"/>
    </row>
    <row r="894">
      <c r="E894" s="55"/>
    </row>
    <row r="895">
      <c r="E895" s="55"/>
    </row>
    <row r="896">
      <c r="E896" s="55"/>
    </row>
    <row r="897">
      <c r="E897" s="55"/>
    </row>
    <row r="898">
      <c r="E898" s="55"/>
    </row>
    <row r="899">
      <c r="E899" s="55"/>
    </row>
    <row r="900">
      <c r="E900" s="55"/>
    </row>
    <row r="901">
      <c r="E901" s="55"/>
    </row>
    <row r="902">
      <c r="E902" s="55"/>
    </row>
    <row r="903">
      <c r="E903" s="55"/>
    </row>
    <row r="904">
      <c r="E904" s="55"/>
    </row>
    <row r="905">
      <c r="E905" s="55"/>
    </row>
    <row r="906">
      <c r="E906" s="55"/>
    </row>
    <row r="907">
      <c r="E907" s="55"/>
    </row>
    <row r="908">
      <c r="E908" s="55"/>
    </row>
    <row r="909">
      <c r="E909" s="55"/>
    </row>
    <row r="910">
      <c r="E910" s="55"/>
    </row>
    <row r="911">
      <c r="E911" s="55"/>
    </row>
    <row r="912">
      <c r="E912" s="55"/>
    </row>
    <row r="913">
      <c r="E913" s="55"/>
    </row>
    <row r="914">
      <c r="E914" s="55"/>
    </row>
    <row r="915">
      <c r="E915" s="55"/>
    </row>
    <row r="916">
      <c r="E916" s="55"/>
    </row>
    <row r="917">
      <c r="E917" s="55"/>
    </row>
    <row r="918">
      <c r="E918" s="55"/>
    </row>
    <row r="919">
      <c r="E919" s="55"/>
    </row>
    <row r="920">
      <c r="E920" s="55"/>
    </row>
    <row r="921">
      <c r="E921" s="55"/>
    </row>
    <row r="922">
      <c r="E922" s="55"/>
    </row>
    <row r="923">
      <c r="E923" s="55"/>
    </row>
    <row r="924">
      <c r="E924" s="55"/>
    </row>
    <row r="925">
      <c r="E925" s="55"/>
    </row>
    <row r="926">
      <c r="E926" s="55"/>
    </row>
    <row r="927">
      <c r="E927" s="55"/>
    </row>
    <row r="928">
      <c r="E928" s="55"/>
    </row>
    <row r="929">
      <c r="E929" s="55"/>
    </row>
    <row r="930">
      <c r="E930" s="55"/>
    </row>
    <row r="931">
      <c r="E931" s="55"/>
    </row>
    <row r="932">
      <c r="E932" s="55"/>
    </row>
    <row r="933">
      <c r="E933" s="55"/>
    </row>
    <row r="934">
      <c r="E934" s="55"/>
    </row>
    <row r="935">
      <c r="E935" s="55"/>
    </row>
    <row r="936">
      <c r="E936" s="55"/>
    </row>
    <row r="937">
      <c r="E937" s="55"/>
    </row>
    <row r="938">
      <c r="E938" s="55"/>
    </row>
    <row r="939">
      <c r="E939" s="55"/>
    </row>
    <row r="940">
      <c r="E940" s="55"/>
    </row>
    <row r="941">
      <c r="E941" s="55"/>
    </row>
    <row r="942">
      <c r="E942" s="55"/>
    </row>
    <row r="943">
      <c r="E943" s="55"/>
    </row>
    <row r="944">
      <c r="E944" s="55"/>
    </row>
    <row r="945">
      <c r="E945" s="55"/>
    </row>
    <row r="946">
      <c r="E946" s="55"/>
    </row>
    <row r="947">
      <c r="E947" s="55"/>
    </row>
    <row r="948">
      <c r="E948" s="55"/>
    </row>
    <row r="949">
      <c r="E949" s="55"/>
    </row>
    <row r="950">
      <c r="E950" s="55"/>
    </row>
    <row r="951">
      <c r="E951" s="55"/>
    </row>
    <row r="952">
      <c r="E952" s="55"/>
    </row>
    <row r="953">
      <c r="E953" s="55"/>
    </row>
    <row r="954">
      <c r="E954" s="55"/>
    </row>
    <row r="955">
      <c r="E955" s="55"/>
    </row>
    <row r="956">
      <c r="E956" s="55"/>
    </row>
    <row r="957">
      <c r="E957" s="55"/>
    </row>
    <row r="958">
      <c r="E958" s="55"/>
    </row>
    <row r="959">
      <c r="E959" s="55"/>
    </row>
    <row r="960">
      <c r="E960" s="55"/>
    </row>
    <row r="961">
      <c r="E961" s="55"/>
    </row>
    <row r="962">
      <c r="E962" s="55"/>
    </row>
    <row r="963">
      <c r="E963" s="55"/>
    </row>
    <row r="964">
      <c r="E964" s="55"/>
    </row>
    <row r="965">
      <c r="E965" s="55"/>
    </row>
    <row r="966">
      <c r="E966" s="55"/>
    </row>
    <row r="967">
      <c r="E967" s="55"/>
    </row>
    <row r="968">
      <c r="E968" s="55"/>
    </row>
    <row r="969">
      <c r="E969" s="55"/>
    </row>
    <row r="970">
      <c r="E970" s="55"/>
    </row>
    <row r="971">
      <c r="E971" s="55"/>
    </row>
    <row r="972">
      <c r="E972" s="55"/>
    </row>
    <row r="973">
      <c r="E973" s="55"/>
    </row>
    <row r="974">
      <c r="E974" s="55"/>
    </row>
    <row r="975">
      <c r="E975" s="55"/>
    </row>
    <row r="976">
      <c r="E976" s="55"/>
    </row>
    <row r="977">
      <c r="E977" s="55"/>
    </row>
    <row r="978">
      <c r="E978" s="55"/>
    </row>
    <row r="979">
      <c r="E979" s="55"/>
    </row>
    <row r="980">
      <c r="E980" s="55"/>
    </row>
    <row r="981">
      <c r="E981" s="55"/>
    </row>
    <row r="982">
      <c r="E982" s="55"/>
    </row>
    <row r="983">
      <c r="E983" s="55"/>
    </row>
    <row r="984">
      <c r="E984" s="55"/>
    </row>
    <row r="985">
      <c r="E985" s="55"/>
    </row>
    <row r="986">
      <c r="E986" s="55"/>
    </row>
    <row r="987">
      <c r="E987" s="55"/>
    </row>
    <row r="988">
      <c r="E988" s="55"/>
    </row>
    <row r="989">
      <c r="E989" s="55"/>
    </row>
    <row r="990">
      <c r="E990" s="55"/>
    </row>
    <row r="991">
      <c r="E991" s="55"/>
    </row>
    <row r="992">
      <c r="E992" s="55"/>
    </row>
    <row r="993">
      <c r="E993" s="55"/>
    </row>
    <row r="994">
      <c r="E994" s="55"/>
    </row>
    <row r="995">
      <c r="E995" s="55"/>
    </row>
    <row r="996">
      <c r="E996" s="55"/>
    </row>
    <row r="997">
      <c r="E997" s="55"/>
    </row>
    <row r="998">
      <c r="E998" s="55"/>
    </row>
    <row r="999">
      <c r="E999" s="55"/>
    </row>
    <row r="1000">
      <c r="E1000" s="5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31.57"/>
    <col customWidth="1" min="13" max="19" width="11.71"/>
  </cols>
  <sheetData>
    <row r="1">
      <c r="A1" s="163" t="s">
        <v>654</v>
      </c>
      <c r="C1" s="84"/>
      <c r="D1" s="84"/>
      <c r="E1" s="84"/>
      <c r="L1" s="127" t="s">
        <v>655</v>
      </c>
    </row>
    <row r="2">
      <c r="A2" s="245" t="s">
        <v>656</v>
      </c>
      <c r="B2" s="246" t="s">
        <v>657</v>
      </c>
      <c r="C2" s="247">
        <v>50.0</v>
      </c>
      <c r="D2" s="248"/>
      <c r="E2" s="248"/>
      <c r="F2" s="249" t="s">
        <v>658</v>
      </c>
      <c r="G2" s="246" t="s">
        <v>657</v>
      </c>
      <c r="H2" s="247">
        <v>50.0</v>
      </c>
      <c r="I2" s="248"/>
      <c r="J2" s="250"/>
      <c r="L2" s="127"/>
      <c r="M2" s="251"/>
      <c r="N2" s="251"/>
      <c r="O2" s="251"/>
      <c r="P2" s="251"/>
      <c r="Q2" s="251"/>
      <c r="R2" s="251"/>
      <c r="S2" s="251"/>
    </row>
    <row r="3">
      <c r="A3" s="252" t="s">
        <v>53</v>
      </c>
      <c r="B3" s="253" t="s">
        <v>659</v>
      </c>
      <c r="C3" s="253" t="s">
        <v>3</v>
      </c>
      <c r="D3" s="253" t="s">
        <v>4</v>
      </c>
      <c r="E3" s="254" t="s">
        <v>5</v>
      </c>
      <c r="F3" s="255" t="s">
        <v>53</v>
      </c>
      <c r="G3" s="253" t="s">
        <v>659</v>
      </c>
      <c r="H3" s="253" t="s">
        <v>3</v>
      </c>
      <c r="I3" s="253" t="s">
        <v>4</v>
      </c>
      <c r="J3" s="254" t="s">
        <v>5</v>
      </c>
      <c r="L3" s="127"/>
    </row>
    <row r="4">
      <c r="A4" s="256" t="s">
        <v>18</v>
      </c>
      <c r="B4" s="257">
        <v>0.05</v>
      </c>
      <c r="C4" s="258">
        <v>0.05</v>
      </c>
      <c r="D4" s="258">
        <v>0.2</v>
      </c>
      <c r="E4" s="258">
        <v>0.75</v>
      </c>
      <c r="F4" s="256" t="s">
        <v>18</v>
      </c>
      <c r="G4" s="257">
        <v>0.05</v>
      </c>
      <c r="H4" s="258">
        <v>0.1</v>
      </c>
      <c r="I4" s="258">
        <v>0.5</v>
      </c>
      <c r="J4" s="259">
        <v>0.4</v>
      </c>
      <c r="L4" s="127"/>
      <c r="M4" s="173"/>
      <c r="N4" s="173"/>
      <c r="O4" s="173"/>
      <c r="P4" s="173"/>
      <c r="Q4" s="173"/>
      <c r="R4" s="173"/>
      <c r="S4" s="173"/>
    </row>
    <row r="5">
      <c r="A5" s="256" t="s">
        <v>19</v>
      </c>
      <c r="B5" s="257">
        <v>0.1</v>
      </c>
      <c r="C5" s="258">
        <v>0.15</v>
      </c>
      <c r="D5" s="258">
        <v>0.3</v>
      </c>
      <c r="E5" s="258">
        <v>0.55</v>
      </c>
      <c r="F5" s="256" t="s">
        <v>19</v>
      </c>
      <c r="G5" s="257">
        <v>0.1</v>
      </c>
      <c r="H5" s="258">
        <v>0.15</v>
      </c>
      <c r="I5" s="258">
        <v>0.55</v>
      </c>
      <c r="J5" s="259">
        <v>0.3</v>
      </c>
      <c r="L5" s="127"/>
    </row>
    <row r="6">
      <c r="A6" s="256" t="s">
        <v>20</v>
      </c>
      <c r="B6" s="257">
        <v>0.15</v>
      </c>
      <c r="C6" s="258">
        <v>0.25</v>
      </c>
      <c r="D6" s="258">
        <v>0.4</v>
      </c>
      <c r="E6" s="258">
        <v>0.35</v>
      </c>
      <c r="F6" s="256" t="s">
        <v>20</v>
      </c>
      <c r="G6" s="257">
        <v>0.15</v>
      </c>
      <c r="H6" s="258">
        <v>0.15</v>
      </c>
      <c r="I6" s="258">
        <v>0.55</v>
      </c>
      <c r="J6" s="259">
        <v>0.3</v>
      </c>
      <c r="L6" s="127"/>
      <c r="N6" s="173"/>
      <c r="O6" s="173"/>
      <c r="P6" s="173"/>
      <c r="Q6" s="173"/>
      <c r="R6" s="173"/>
      <c r="S6" s="173"/>
    </row>
    <row r="7">
      <c r="A7" s="256" t="s">
        <v>21</v>
      </c>
      <c r="B7" s="257">
        <v>0.2</v>
      </c>
      <c r="C7" s="258">
        <v>0.15</v>
      </c>
      <c r="D7" s="258">
        <v>0.55</v>
      </c>
      <c r="E7" s="259">
        <v>0.3</v>
      </c>
      <c r="F7" s="256" t="s">
        <v>21</v>
      </c>
      <c r="G7" s="257">
        <v>0.2</v>
      </c>
      <c r="H7" s="258">
        <v>0.15</v>
      </c>
      <c r="I7" s="258">
        <v>0.55</v>
      </c>
      <c r="J7" s="259">
        <v>0.3</v>
      </c>
      <c r="L7" s="260"/>
      <c r="M7" s="141"/>
      <c r="N7" s="141"/>
      <c r="O7" s="141"/>
      <c r="P7" s="141"/>
      <c r="Q7" s="141"/>
      <c r="R7" s="141"/>
      <c r="S7" s="141"/>
    </row>
    <row r="8">
      <c r="A8" s="256" t="s">
        <v>22</v>
      </c>
      <c r="B8" s="257">
        <v>0.2</v>
      </c>
      <c r="C8" s="258">
        <v>0.15</v>
      </c>
      <c r="D8" s="258">
        <v>0.55</v>
      </c>
      <c r="E8" s="259">
        <v>0.3</v>
      </c>
      <c r="F8" s="256" t="s">
        <v>22</v>
      </c>
      <c r="G8" s="257">
        <v>0.2</v>
      </c>
      <c r="H8" s="258">
        <v>0.15</v>
      </c>
      <c r="I8" s="258">
        <v>0.55</v>
      </c>
      <c r="J8" s="259">
        <v>0.3</v>
      </c>
    </row>
    <row r="9">
      <c r="A9" s="256" t="s">
        <v>23</v>
      </c>
      <c r="B9" s="257">
        <v>0.2</v>
      </c>
      <c r="C9" s="258">
        <v>0.15</v>
      </c>
      <c r="D9" s="258">
        <v>0.55</v>
      </c>
      <c r="E9" s="259">
        <v>0.3</v>
      </c>
      <c r="F9" s="256" t="s">
        <v>23</v>
      </c>
      <c r="G9" s="257">
        <v>0.2</v>
      </c>
      <c r="H9" s="258">
        <v>0.15</v>
      </c>
      <c r="I9" s="258">
        <v>0.55</v>
      </c>
      <c r="J9" s="259">
        <v>0.3</v>
      </c>
      <c r="L9" s="127"/>
    </row>
    <row r="10">
      <c r="A10" s="261" t="s">
        <v>24</v>
      </c>
      <c r="B10" s="262">
        <v>0.2</v>
      </c>
      <c r="C10" s="263">
        <v>0.15</v>
      </c>
      <c r="D10" s="263">
        <v>0.55</v>
      </c>
      <c r="E10" s="264">
        <v>0.3</v>
      </c>
      <c r="F10" s="261" t="s">
        <v>24</v>
      </c>
      <c r="G10" s="262">
        <v>0.2</v>
      </c>
      <c r="H10" s="263">
        <v>0.15</v>
      </c>
      <c r="I10" s="263">
        <v>0.55</v>
      </c>
      <c r="J10" s="264">
        <v>0.3</v>
      </c>
    </row>
    <row r="11">
      <c r="A11" s="265" t="s">
        <v>660</v>
      </c>
      <c r="B11" s="266" t="s">
        <v>656</v>
      </c>
      <c r="C11" s="11"/>
      <c r="D11" s="11"/>
      <c r="E11" s="12"/>
      <c r="F11" s="265" t="s">
        <v>660</v>
      </c>
      <c r="G11" s="266" t="s">
        <v>658</v>
      </c>
      <c r="H11" s="11"/>
      <c r="I11" s="11"/>
      <c r="J11" s="12"/>
      <c r="L11" s="127"/>
    </row>
    <row r="12">
      <c r="A12" s="267"/>
      <c r="B12" s="243" t="s">
        <v>89</v>
      </c>
      <c r="C12" s="268" t="s">
        <v>3</v>
      </c>
      <c r="D12" s="268" t="s">
        <v>4</v>
      </c>
      <c r="E12" s="269" t="s">
        <v>5</v>
      </c>
      <c r="F12" s="267"/>
      <c r="G12" s="243" t="s">
        <v>89</v>
      </c>
      <c r="H12" s="268" t="s">
        <v>3</v>
      </c>
      <c r="I12" s="268" t="s">
        <v>4</v>
      </c>
      <c r="J12" s="269" t="s">
        <v>5</v>
      </c>
    </row>
    <row r="13">
      <c r="A13" s="256" t="s">
        <v>18</v>
      </c>
      <c r="B13" s="144">
        <f>C2</f>
        <v>50</v>
      </c>
      <c r="C13" s="270">
        <f t="shared" ref="C13:E13" si="1">$B13*C4</f>
        <v>2.5</v>
      </c>
      <c r="D13" s="270">
        <f t="shared" si="1"/>
        <v>10</v>
      </c>
      <c r="E13" s="270">
        <f t="shared" si="1"/>
        <v>37.5</v>
      </c>
      <c r="F13" s="256" t="s">
        <v>18</v>
      </c>
      <c r="G13" s="144">
        <f>H2</f>
        <v>50</v>
      </c>
      <c r="H13" s="270">
        <f t="shared" ref="H13:J13" si="2">$G13*H4</f>
        <v>5</v>
      </c>
      <c r="I13" s="270">
        <f t="shared" si="2"/>
        <v>25</v>
      </c>
      <c r="J13" s="270">
        <f t="shared" si="2"/>
        <v>20</v>
      </c>
    </row>
    <row r="14">
      <c r="A14" s="256" t="s">
        <v>19</v>
      </c>
      <c r="B14" s="173">
        <f t="shared" ref="B14:B19" si="5">B13*(1+B4)</f>
        <v>52.5</v>
      </c>
      <c r="C14" s="270">
        <f t="shared" ref="C14:E14" si="3">$B14*C5</f>
        <v>7.875</v>
      </c>
      <c r="D14" s="270">
        <f t="shared" si="3"/>
        <v>15.75</v>
      </c>
      <c r="E14" s="270">
        <f t="shared" si="3"/>
        <v>28.875</v>
      </c>
      <c r="F14" s="256" t="s">
        <v>19</v>
      </c>
      <c r="G14" s="173">
        <f t="shared" ref="G14:G19" si="7">G13*(1+G4)</f>
        <v>52.5</v>
      </c>
      <c r="H14" s="270">
        <f t="shared" ref="H14:J14" si="4">$G14*H5</f>
        <v>7.875</v>
      </c>
      <c r="I14" s="270">
        <f t="shared" si="4"/>
        <v>28.875</v>
      </c>
      <c r="J14" s="270">
        <f t="shared" si="4"/>
        <v>15.75</v>
      </c>
      <c r="L14" s="127"/>
    </row>
    <row r="15">
      <c r="A15" s="256" t="s">
        <v>20</v>
      </c>
      <c r="B15" s="173">
        <f t="shared" si="5"/>
        <v>57.75</v>
      </c>
      <c r="C15" s="270">
        <f t="shared" ref="C15:E15" si="6">$B15*C6</f>
        <v>14.4375</v>
      </c>
      <c r="D15" s="270">
        <f t="shared" si="6"/>
        <v>23.1</v>
      </c>
      <c r="E15" s="270">
        <f t="shared" si="6"/>
        <v>20.2125</v>
      </c>
      <c r="F15" s="256" t="s">
        <v>20</v>
      </c>
      <c r="G15" s="173">
        <f t="shared" si="7"/>
        <v>57.75</v>
      </c>
      <c r="H15" s="270">
        <f t="shared" ref="H15:J15" si="8">$G15*H6</f>
        <v>8.6625</v>
      </c>
      <c r="I15" s="270">
        <f t="shared" si="8"/>
        <v>31.7625</v>
      </c>
      <c r="J15" s="270">
        <f t="shared" si="8"/>
        <v>17.325</v>
      </c>
      <c r="L15" s="127"/>
    </row>
    <row r="16">
      <c r="A16" s="256" t="s">
        <v>21</v>
      </c>
      <c r="B16" s="173">
        <f t="shared" si="5"/>
        <v>66.4125</v>
      </c>
      <c r="C16" s="270">
        <f t="shared" ref="C16:E16" si="9">$B16*C7</f>
        <v>9.961875</v>
      </c>
      <c r="D16" s="270">
        <f t="shared" si="9"/>
        <v>36.526875</v>
      </c>
      <c r="E16" s="270">
        <f t="shared" si="9"/>
        <v>19.92375</v>
      </c>
      <c r="F16" s="256" t="s">
        <v>21</v>
      </c>
      <c r="G16" s="173">
        <f t="shared" si="7"/>
        <v>66.4125</v>
      </c>
      <c r="H16" s="270">
        <f t="shared" ref="H16:J16" si="10">$G16*H7</f>
        <v>9.961875</v>
      </c>
      <c r="I16" s="270">
        <f t="shared" si="10"/>
        <v>36.526875</v>
      </c>
      <c r="J16" s="270">
        <f t="shared" si="10"/>
        <v>19.92375</v>
      </c>
      <c r="L16" s="127"/>
    </row>
    <row r="17">
      <c r="A17" s="256" t="s">
        <v>22</v>
      </c>
      <c r="B17" s="173">
        <f t="shared" si="5"/>
        <v>79.695</v>
      </c>
      <c r="C17" s="270">
        <f t="shared" ref="C17:E17" si="11">$B17*C8</f>
        <v>11.95425</v>
      </c>
      <c r="D17" s="270">
        <f t="shared" si="11"/>
        <v>43.83225</v>
      </c>
      <c r="E17" s="270">
        <f t="shared" si="11"/>
        <v>23.9085</v>
      </c>
      <c r="F17" s="256" t="s">
        <v>22</v>
      </c>
      <c r="G17" s="173">
        <f t="shared" si="7"/>
        <v>79.695</v>
      </c>
      <c r="H17" s="270">
        <f t="shared" ref="H17:J17" si="12">$G17*H8</f>
        <v>11.95425</v>
      </c>
      <c r="I17" s="270">
        <f t="shared" si="12"/>
        <v>43.83225</v>
      </c>
      <c r="J17" s="270">
        <f t="shared" si="12"/>
        <v>23.9085</v>
      </c>
      <c r="L17" s="127"/>
    </row>
    <row r="18">
      <c r="A18" s="256" t="s">
        <v>23</v>
      </c>
      <c r="B18" s="173">
        <f t="shared" si="5"/>
        <v>95.634</v>
      </c>
      <c r="C18" s="270">
        <f t="shared" ref="C18:E18" si="13">$B18*C9</f>
        <v>14.3451</v>
      </c>
      <c r="D18" s="270">
        <f t="shared" si="13"/>
        <v>52.5987</v>
      </c>
      <c r="E18" s="270">
        <f t="shared" si="13"/>
        <v>28.6902</v>
      </c>
      <c r="F18" s="256" t="s">
        <v>23</v>
      </c>
      <c r="G18" s="173">
        <f t="shared" si="7"/>
        <v>95.634</v>
      </c>
      <c r="H18" s="270">
        <f t="shared" ref="H18:J18" si="14">$G18*H9</f>
        <v>14.3451</v>
      </c>
      <c r="I18" s="270">
        <f t="shared" si="14"/>
        <v>52.5987</v>
      </c>
      <c r="J18" s="270">
        <f t="shared" si="14"/>
        <v>28.6902</v>
      </c>
      <c r="L18" s="127"/>
    </row>
    <row r="19">
      <c r="A19" s="261" t="s">
        <v>24</v>
      </c>
      <c r="B19" s="173">
        <f t="shared" si="5"/>
        <v>114.7608</v>
      </c>
      <c r="C19" s="270">
        <f t="shared" ref="C19:E19" si="15">$B19*C10</f>
        <v>17.21412</v>
      </c>
      <c r="D19" s="270">
        <f t="shared" si="15"/>
        <v>63.11844</v>
      </c>
      <c r="E19" s="270">
        <f t="shared" si="15"/>
        <v>34.42824</v>
      </c>
      <c r="F19" s="261" t="s">
        <v>24</v>
      </c>
      <c r="G19" s="173">
        <f t="shared" si="7"/>
        <v>114.7608</v>
      </c>
      <c r="H19" s="270">
        <f t="shared" ref="H19:J19" si="16">$G19*H10</f>
        <v>17.21412</v>
      </c>
      <c r="I19" s="270">
        <f t="shared" si="16"/>
        <v>63.11844</v>
      </c>
      <c r="J19" s="270">
        <f t="shared" si="16"/>
        <v>34.42824</v>
      </c>
      <c r="L19" s="127"/>
    </row>
    <row r="20">
      <c r="L20" s="260"/>
      <c r="M20" s="141"/>
      <c r="N20" s="141"/>
      <c r="O20" s="141"/>
      <c r="P20" s="141"/>
      <c r="Q20" s="141"/>
      <c r="R20" s="141"/>
      <c r="S20" s="141"/>
    </row>
    <row r="22">
      <c r="A22" s="271" t="s">
        <v>661</v>
      </c>
      <c r="B22" s="184"/>
      <c r="L22" s="127"/>
    </row>
    <row r="23">
      <c r="A23" s="272" t="s">
        <v>6</v>
      </c>
      <c r="B23" s="273">
        <v>0.3</v>
      </c>
    </row>
    <row r="24">
      <c r="A24" s="272" t="s">
        <v>7</v>
      </c>
      <c r="B24" s="273">
        <v>0.25</v>
      </c>
    </row>
    <row r="25">
      <c r="A25" s="274" t="s">
        <v>662</v>
      </c>
      <c r="B25" s="275">
        <v>0.45</v>
      </c>
      <c r="M25" s="55"/>
    </row>
    <row r="26">
      <c r="A26" s="127"/>
      <c r="M26" s="276" t="s">
        <v>18</v>
      </c>
      <c r="N26" s="276" t="s">
        <v>19</v>
      </c>
      <c r="O26" s="276" t="s">
        <v>20</v>
      </c>
      <c r="P26" s="276" t="s">
        <v>21</v>
      </c>
      <c r="Q26" s="276" t="s">
        <v>22</v>
      </c>
      <c r="R26" s="276" t="s">
        <v>23</v>
      </c>
      <c r="S26" s="276" t="s">
        <v>24</v>
      </c>
    </row>
    <row r="27">
      <c r="A27" s="174" t="s">
        <v>656</v>
      </c>
      <c r="B27" s="277" t="s">
        <v>3</v>
      </c>
      <c r="C27" s="45"/>
      <c r="D27" s="45"/>
      <c r="E27" s="50"/>
      <c r="F27" s="174" t="s">
        <v>658</v>
      </c>
      <c r="G27" s="277" t="s">
        <v>3</v>
      </c>
      <c r="H27" s="45"/>
      <c r="I27" s="45"/>
      <c r="J27" s="50"/>
      <c r="L27" s="53" t="s">
        <v>40</v>
      </c>
      <c r="M27" s="172">
        <f>'LocationsP&amp;L'!Q96</f>
        <v>17417733.75</v>
      </c>
      <c r="N27" s="172">
        <f>'LocationsP&amp;L'!R96</f>
        <v>31409979.86</v>
      </c>
      <c r="O27" s="172">
        <f>'LocationsP&amp;L'!S96</f>
        <v>41657106.5</v>
      </c>
      <c r="P27" s="172">
        <f>'LocationsP&amp;L'!T96</f>
        <v>54385173.81</v>
      </c>
      <c r="Q27" s="172">
        <f>'LocationsP&amp;L'!U96</f>
        <v>83642690.74</v>
      </c>
      <c r="R27" s="172">
        <f>'LocationsP&amp;L'!V96</f>
        <v>126444543.5</v>
      </c>
      <c r="S27" s="172">
        <f>'LocationsP&amp;L'!W96</f>
        <v>173196719.8</v>
      </c>
    </row>
    <row r="28">
      <c r="A28" s="267"/>
      <c r="B28" s="243" t="s">
        <v>6</v>
      </c>
      <c r="C28" s="243" t="s">
        <v>7</v>
      </c>
      <c r="D28" s="243" t="s">
        <v>662</v>
      </c>
      <c r="E28" s="278" t="s">
        <v>89</v>
      </c>
      <c r="F28" s="267"/>
      <c r="G28" s="243" t="s">
        <v>6</v>
      </c>
      <c r="H28" s="243" t="s">
        <v>7</v>
      </c>
      <c r="I28" s="243" t="s">
        <v>662</v>
      </c>
      <c r="J28" s="278" t="s">
        <v>89</v>
      </c>
      <c r="L28" s="127" t="s">
        <v>42</v>
      </c>
    </row>
    <row r="29">
      <c r="A29" s="256" t="s">
        <v>18</v>
      </c>
      <c r="B29" s="173">
        <f t="shared" ref="B29:B35" si="17">$C13*$B$23</f>
        <v>0.75</v>
      </c>
      <c r="C29" s="173">
        <f t="shared" ref="C29:C35" si="18">$C13*$B$24</f>
        <v>0.625</v>
      </c>
      <c r="D29" s="173">
        <f t="shared" ref="D29:D35" si="19">$C13*$B$25</f>
        <v>1.125</v>
      </c>
      <c r="E29" s="279">
        <f t="shared" ref="E29:E35" si="20">sum(B29:D29)</f>
        <v>2.5</v>
      </c>
      <c r="F29" s="256" t="s">
        <v>18</v>
      </c>
      <c r="G29" s="173">
        <f t="shared" ref="G29:G35" si="21">$H13*$B$23</f>
        <v>1.5</v>
      </c>
      <c r="H29" s="173">
        <f t="shared" ref="H29:H35" si="22">$H13*$B$24</f>
        <v>1.25</v>
      </c>
      <c r="I29" s="173">
        <f t="shared" ref="I29:I35" si="23">$H13*$B$25</f>
        <v>2.25</v>
      </c>
      <c r="J29" s="279">
        <f t="shared" ref="J29:J35" si="24">sum(G29:I29)</f>
        <v>5</v>
      </c>
      <c r="L29" s="127" t="s">
        <v>44</v>
      </c>
      <c r="M29" s="172">
        <f>'LocationsP&amp;L'!Q98</f>
        <v>2028750</v>
      </c>
      <c r="N29" s="172">
        <f>'LocationsP&amp;L'!R98</f>
        <v>3658512.5</v>
      </c>
      <c r="O29" s="172">
        <f>'LocationsP&amp;L'!S98</f>
        <v>4823015</v>
      </c>
      <c r="P29" s="172">
        <f>'LocationsP&amp;L'!T98</f>
        <v>6291424.25</v>
      </c>
      <c r="Q29" s="172">
        <f>'LocationsP&amp;L'!U98</f>
        <v>9679186.538</v>
      </c>
      <c r="R29" s="172">
        <f>'LocationsP&amp;L'!V98</f>
        <v>14640532.53</v>
      </c>
      <c r="S29" s="172">
        <f>'LocationsP&amp;L'!W98</f>
        <v>20042665.85</v>
      </c>
    </row>
    <row r="30">
      <c r="A30" s="256" t="s">
        <v>19</v>
      </c>
      <c r="B30" s="173">
        <f t="shared" si="17"/>
        <v>2.3625</v>
      </c>
      <c r="C30" s="173">
        <f t="shared" si="18"/>
        <v>1.96875</v>
      </c>
      <c r="D30" s="173">
        <f t="shared" si="19"/>
        <v>3.54375</v>
      </c>
      <c r="E30" s="279">
        <f t="shared" si="20"/>
        <v>7.875</v>
      </c>
      <c r="F30" s="256" t="s">
        <v>19</v>
      </c>
      <c r="G30" s="173">
        <f t="shared" si="21"/>
        <v>2.3625</v>
      </c>
      <c r="H30" s="173">
        <f t="shared" si="22"/>
        <v>1.96875</v>
      </c>
      <c r="I30" s="173">
        <f t="shared" si="23"/>
        <v>3.54375</v>
      </c>
      <c r="J30" s="279">
        <f t="shared" si="24"/>
        <v>7.875</v>
      </c>
      <c r="L30" s="127" t="s">
        <v>47</v>
      </c>
      <c r="M30" s="94">
        <f>'LocationsP&amp;L'!Q99</f>
        <v>75</v>
      </c>
      <c r="N30" s="94">
        <f>'LocationsP&amp;L'!R99</f>
        <v>135.25</v>
      </c>
      <c r="O30" s="94">
        <f>'LocationsP&amp;L'!S99</f>
        <v>178.3</v>
      </c>
      <c r="P30" s="94">
        <f>'LocationsP&amp;L'!T99</f>
        <v>232.585</v>
      </c>
      <c r="Q30" s="94">
        <f>'LocationsP&amp;L'!U99</f>
        <v>357.82575</v>
      </c>
      <c r="R30" s="94">
        <f>'LocationsP&amp;L'!V99</f>
        <v>541.23965</v>
      </c>
      <c r="S30" s="94">
        <f>'LocationsP&amp;L'!W99</f>
        <v>740.94883</v>
      </c>
    </row>
    <row r="31">
      <c r="A31" s="256" t="s">
        <v>20</v>
      </c>
      <c r="B31" s="173">
        <f t="shared" si="17"/>
        <v>4.33125</v>
      </c>
      <c r="C31" s="173">
        <f t="shared" si="18"/>
        <v>3.609375</v>
      </c>
      <c r="D31" s="173">
        <f t="shared" si="19"/>
        <v>6.496875</v>
      </c>
      <c r="E31" s="279">
        <f t="shared" si="20"/>
        <v>14.4375</v>
      </c>
      <c r="F31" s="256" t="s">
        <v>20</v>
      </c>
      <c r="G31" s="173">
        <f t="shared" si="21"/>
        <v>2.59875</v>
      </c>
      <c r="H31" s="173">
        <f t="shared" si="22"/>
        <v>2.165625</v>
      </c>
      <c r="I31" s="173">
        <f t="shared" si="23"/>
        <v>3.898125</v>
      </c>
      <c r="J31" s="279">
        <f t="shared" si="24"/>
        <v>8.6625</v>
      </c>
    </row>
    <row r="32">
      <c r="A32" s="256" t="s">
        <v>21</v>
      </c>
      <c r="B32" s="173">
        <f t="shared" si="17"/>
        <v>2.9885625</v>
      </c>
      <c r="C32" s="173">
        <f t="shared" si="18"/>
        <v>2.49046875</v>
      </c>
      <c r="D32" s="173">
        <f t="shared" si="19"/>
        <v>4.48284375</v>
      </c>
      <c r="E32" s="279">
        <f t="shared" si="20"/>
        <v>9.961875</v>
      </c>
      <c r="F32" s="256" t="s">
        <v>21</v>
      </c>
      <c r="G32" s="173">
        <f t="shared" si="21"/>
        <v>2.9885625</v>
      </c>
      <c r="H32" s="173">
        <f t="shared" si="22"/>
        <v>2.49046875</v>
      </c>
      <c r="I32" s="173">
        <f t="shared" si="23"/>
        <v>4.48284375</v>
      </c>
      <c r="J32" s="279">
        <f t="shared" si="24"/>
        <v>9.961875</v>
      </c>
      <c r="L32" s="127" t="s">
        <v>663</v>
      </c>
      <c r="M32" s="55">
        <f t="shared" ref="M32:S32" si="25">(M27+M29)/M30</f>
        <v>259286.45</v>
      </c>
      <c r="N32" s="55">
        <f t="shared" si="25"/>
        <v>259286.45</v>
      </c>
      <c r="O32" s="55">
        <f t="shared" si="25"/>
        <v>260684.9215</v>
      </c>
      <c r="P32" s="55">
        <f t="shared" si="25"/>
        <v>260879.2401</v>
      </c>
      <c r="Q32" s="55">
        <f t="shared" si="25"/>
        <v>260802.5758</v>
      </c>
      <c r="R32" s="55">
        <f t="shared" si="25"/>
        <v>260670.2521</v>
      </c>
      <c r="S32" s="55">
        <f t="shared" si="25"/>
        <v>260799.9066</v>
      </c>
    </row>
    <row r="33">
      <c r="A33" s="256" t="s">
        <v>22</v>
      </c>
      <c r="B33" s="173">
        <f t="shared" si="17"/>
        <v>3.586275</v>
      </c>
      <c r="C33" s="173">
        <f t="shared" si="18"/>
        <v>2.9885625</v>
      </c>
      <c r="D33" s="173">
        <f t="shared" si="19"/>
        <v>5.3794125</v>
      </c>
      <c r="E33" s="279">
        <f t="shared" si="20"/>
        <v>11.95425</v>
      </c>
      <c r="F33" s="256" t="s">
        <v>22</v>
      </c>
      <c r="G33" s="173">
        <f t="shared" si="21"/>
        <v>3.586275</v>
      </c>
      <c r="H33" s="173">
        <f t="shared" si="22"/>
        <v>2.9885625</v>
      </c>
      <c r="I33" s="173">
        <f t="shared" si="23"/>
        <v>5.3794125</v>
      </c>
      <c r="J33" s="279">
        <f t="shared" si="24"/>
        <v>11.95425</v>
      </c>
      <c r="L33" s="127" t="s">
        <v>664</v>
      </c>
      <c r="M33" s="173">
        <f>InputVariables!$O$15*M30</f>
        <v>60</v>
      </c>
      <c r="N33" s="173">
        <f>InputVariables!$O$15*N30</f>
        <v>108.2</v>
      </c>
      <c r="O33" s="173">
        <f>InputVariables!$O$15*O30</f>
        <v>142.64</v>
      </c>
      <c r="P33" s="173">
        <f>InputVariables!$O$15*P30</f>
        <v>186.068</v>
      </c>
      <c r="Q33" s="173">
        <f>InputVariables!$O$15*Q30</f>
        <v>286.2606</v>
      </c>
      <c r="R33" s="173">
        <f>InputVariables!$O$15*R30</f>
        <v>432.99172</v>
      </c>
      <c r="S33" s="173">
        <f>InputVariables!$O$15*S30</f>
        <v>592.759064</v>
      </c>
    </row>
    <row r="34">
      <c r="A34" s="256" t="s">
        <v>23</v>
      </c>
      <c r="B34" s="173">
        <f t="shared" si="17"/>
        <v>4.30353</v>
      </c>
      <c r="C34" s="173">
        <f t="shared" si="18"/>
        <v>3.586275</v>
      </c>
      <c r="D34" s="173">
        <f t="shared" si="19"/>
        <v>6.455295</v>
      </c>
      <c r="E34" s="279">
        <f t="shared" si="20"/>
        <v>14.3451</v>
      </c>
      <c r="F34" s="256" t="s">
        <v>23</v>
      </c>
      <c r="G34" s="173">
        <f t="shared" si="21"/>
        <v>4.30353</v>
      </c>
      <c r="H34" s="173">
        <f t="shared" si="22"/>
        <v>3.586275</v>
      </c>
      <c r="I34" s="173">
        <f t="shared" si="23"/>
        <v>6.455295</v>
      </c>
      <c r="J34" s="279">
        <f t="shared" si="24"/>
        <v>14.3451</v>
      </c>
      <c r="L34" s="280" t="s">
        <v>665</v>
      </c>
      <c r="M34" s="173">
        <f t="shared" ref="M34:S34" si="26">sum($M$33:M33)</f>
        <v>60</v>
      </c>
      <c r="N34" s="173">
        <f t="shared" si="26"/>
        <v>168.2</v>
      </c>
      <c r="O34" s="173">
        <f t="shared" si="26"/>
        <v>310.84</v>
      </c>
      <c r="P34" s="173">
        <f t="shared" si="26"/>
        <v>496.908</v>
      </c>
      <c r="Q34" s="173">
        <f t="shared" si="26"/>
        <v>783.1686</v>
      </c>
      <c r="R34" s="173">
        <f t="shared" si="26"/>
        <v>1216.16032</v>
      </c>
      <c r="S34" s="173">
        <f t="shared" si="26"/>
        <v>1808.919384</v>
      </c>
    </row>
    <row r="35">
      <c r="A35" s="261" t="s">
        <v>24</v>
      </c>
      <c r="B35" s="67">
        <f t="shared" si="17"/>
        <v>5.164236</v>
      </c>
      <c r="C35" s="67">
        <f t="shared" si="18"/>
        <v>4.30353</v>
      </c>
      <c r="D35" s="67">
        <f t="shared" si="19"/>
        <v>7.746354</v>
      </c>
      <c r="E35" s="68">
        <f t="shared" si="20"/>
        <v>17.21412</v>
      </c>
      <c r="F35" s="261" t="s">
        <v>24</v>
      </c>
      <c r="G35" s="67">
        <f t="shared" si="21"/>
        <v>5.164236</v>
      </c>
      <c r="H35" s="67">
        <f t="shared" si="22"/>
        <v>4.30353</v>
      </c>
      <c r="I35" s="67">
        <f t="shared" si="23"/>
        <v>7.746354</v>
      </c>
      <c r="J35" s="68">
        <f t="shared" si="24"/>
        <v>17.21412</v>
      </c>
      <c r="L35" s="280" t="s">
        <v>666</v>
      </c>
      <c r="M35" s="173"/>
      <c r="N35" s="173">
        <f>InputVariables!$O$16*M34</f>
        <v>12</v>
      </c>
      <c r="O35" s="173">
        <f>InputVariables!$O$16*N34</f>
        <v>33.64</v>
      </c>
      <c r="P35" s="173">
        <f>InputVariables!$O$16*O34+O36*InputVariables!$O$16</f>
        <v>117.608</v>
      </c>
      <c r="Q35" s="173">
        <f>InputVariables!$O$16*P34+P36*InputVariables!$O$16</f>
        <v>175.2416</v>
      </c>
      <c r="R35" s="173">
        <f>InputVariables!$O$16*Q34+Q36*InputVariables!$O$16</f>
        <v>278.21912</v>
      </c>
      <c r="S35" s="173">
        <f>InputVariables!$O$16*R34+R36*InputVariables!$O$16</f>
        <v>430.820304</v>
      </c>
    </row>
    <row r="36">
      <c r="H36" s="173"/>
      <c r="L36" s="281" t="s">
        <v>667</v>
      </c>
      <c r="M36" s="282">
        <f t="shared" ref="M36:S36" si="27">M34-M35</f>
        <v>60</v>
      </c>
      <c r="N36" s="282">
        <f t="shared" si="27"/>
        <v>156.2</v>
      </c>
      <c r="O36" s="282">
        <f t="shared" si="27"/>
        <v>277.2</v>
      </c>
      <c r="P36" s="282">
        <f t="shared" si="27"/>
        <v>379.3</v>
      </c>
      <c r="Q36" s="282">
        <f t="shared" si="27"/>
        <v>607.927</v>
      </c>
      <c r="R36" s="282">
        <f t="shared" si="27"/>
        <v>937.9412</v>
      </c>
      <c r="S36" s="282">
        <f t="shared" si="27"/>
        <v>1378.09908</v>
      </c>
    </row>
    <row r="37">
      <c r="A37" s="174" t="s">
        <v>656</v>
      </c>
      <c r="B37" s="277" t="s">
        <v>4</v>
      </c>
      <c r="C37" s="45"/>
      <c r="D37" s="45"/>
      <c r="E37" s="50"/>
      <c r="F37" s="174" t="s">
        <v>658</v>
      </c>
      <c r="G37" s="277" t="s">
        <v>4</v>
      </c>
      <c r="H37" s="45"/>
      <c r="I37" s="45"/>
      <c r="J37" s="50"/>
    </row>
    <row r="38">
      <c r="A38" s="267"/>
      <c r="B38" s="243" t="s">
        <v>6</v>
      </c>
      <c r="C38" s="243" t="s">
        <v>7</v>
      </c>
      <c r="D38" s="243" t="s">
        <v>662</v>
      </c>
      <c r="E38" s="278" t="s">
        <v>89</v>
      </c>
      <c r="F38" s="267"/>
      <c r="G38" s="243" t="s">
        <v>6</v>
      </c>
      <c r="H38" s="243" t="s">
        <v>7</v>
      </c>
      <c r="I38" s="243" t="s">
        <v>662</v>
      </c>
      <c r="J38" s="278" t="s">
        <v>89</v>
      </c>
      <c r="L38" s="127" t="s">
        <v>668</v>
      </c>
      <c r="M38" s="55">
        <f>InputVariables!$O$17*((M27+M29)/M30)</f>
        <v>18150.0515</v>
      </c>
      <c r="N38" s="55">
        <f>InputVariables!$O$17*((N27+N29)/N30)</f>
        <v>18150.0515</v>
      </c>
      <c r="O38" s="55">
        <f>InputVariables!$O$17*((O27+O29)/O30)</f>
        <v>18247.9445</v>
      </c>
      <c r="P38" s="55">
        <f>InputVariables!$O$17*((P27+P29)/P30)</f>
        <v>18261.54681</v>
      </c>
      <c r="Q38" s="55">
        <f>InputVariables!$O$17*((Q27+Q29)/Q30)</f>
        <v>18256.1803</v>
      </c>
      <c r="R38" s="55">
        <f>InputVariables!$O$17*((R27+R29)/R30)</f>
        <v>18246.91764</v>
      </c>
      <c r="S38" s="55">
        <f>InputVariables!$O$17*((S27+S29)/S30)</f>
        <v>18255.99346</v>
      </c>
    </row>
    <row r="39">
      <c r="A39" s="256" t="s">
        <v>18</v>
      </c>
      <c r="B39" s="173">
        <f t="shared" ref="B39:B45" si="29">D13*$B$23</f>
        <v>3</v>
      </c>
      <c r="C39" s="173">
        <f t="shared" ref="C39:C45" si="30">D13*$B$24</f>
        <v>2.5</v>
      </c>
      <c r="D39" s="173">
        <f t="shared" ref="D39:D45" si="31">D13*$B$25</f>
        <v>4.5</v>
      </c>
      <c r="E39" s="279">
        <f t="shared" ref="E39:E45" si="32">sum(B39:D39)</f>
        <v>10</v>
      </c>
      <c r="F39" s="256" t="s">
        <v>18</v>
      </c>
      <c r="G39" s="173">
        <f t="shared" ref="G39:G45" si="33">I13*$B$23</f>
        <v>7.5</v>
      </c>
      <c r="H39" s="173">
        <f t="shared" ref="H39:H45" si="34">I13*$B$24</f>
        <v>6.25</v>
      </c>
      <c r="I39" s="173">
        <f t="shared" ref="I39:I45" si="35">I13*$B$25</f>
        <v>11.25</v>
      </c>
      <c r="J39" s="279">
        <f t="shared" ref="J39:J45" si="36">sum(G39:I39)</f>
        <v>25</v>
      </c>
      <c r="L39" s="163" t="s">
        <v>669</v>
      </c>
      <c r="M39" s="147">
        <f t="shared" ref="M39:S39" si="28">M36*M38</f>
        <v>1089003.09</v>
      </c>
      <c r="N39" s="147">
        <f t="shared" si="28"/>
        <v>2835038.044</v>
      </c>
      <c r="O39" s="147">
        <f t="shared" si="28"/>
        <v>5058330.216</v>
      </c>
      <c r="P39" s="147">
        <f t="shared" si="28"/>
        <v>6926604.704</v>
      </c>
      <c r="Q39" s="147">
        <f t="shared" si="28"/>
        <v>11098424.92</v>
      </c>
      <c r="R39" s="147">
        <f t="shared" si="28"/>
        <v>17114535.83</v>
      </c>
      <c r="S39" s="147">
        <f t="shared" si="28"/>
        <v>25158567.8</v>
      </c>
    </row>
    <row r="40">
      <c r="A40" s="256" t="s">
        <v>19</v>
      </c>
      <c r="B40" s="173">
        <f t="shared" si="29"/>
        <v>4.725</v>
      </c>
      <c r="C40" s="173">
        <f t="shared" si="30"/>
        <v>3.9375</v>
      </c>
      <c r="D40" s="173">
        <f t="shared" si="31"/>
        <v>7.0875</v>
      </c>
      <c r="E40" s="279">
        <f t="shared" si="32"/>
        <v>15.75</v>
      </c>
      <c r="F40" s="256" t="s">
        <v>19</v>
      </c>
      <c r="G40" s="173">
        <f t="shared" si="33"/>
        <v>8.6625</v>
      </c>
      <c r="H40" s="173">
        <f t="shared" si="34"/>
        <v>7.21875</v>
      </c>
      <c r="I40" s="173">
        <f t="shared" si="35"/>
        <v>12.99375</v>
      </c>
      <c r="J40" s="279">
        <f t="shared" si="36"/>
        <v>28.875</v>
      </c>
    </row>
    <row r="41">
      <c r="A41" s="256" t="s">
        <v>20</v>
      </c>
      <c r="B41" s="173">
        <f t="shared" si="29"/>
        <v>6.93</v>
      </c>
      <c r="C41" s="173">
        <f t="shared" si="30"/>
        <v>5.775</v>
      </c>
      <c r="D41" s="173">
        <f t="shared" si="31"/>
        <v>10.395</v>
      </c>
      <c r="E41" s="279">
        <f t="shared" si="32"/>
        <v>23.1</v>
      </c>
      <c r="F41" s="256" t="s">
        <v>20</v>
      </c>
      <c r="G41" s="173">
        <f t="shared" si="33"/>
        <v>9.52875</v>
      </c>
      <c r="H41" s="173">
        <f t="shared" si="34"/>
        <v>7.940625</v>
      </c>
      <c r="I41" s="173">
        <f t="shared" si="35"/>
        <v>14.293125</v>
      </c>
      <c r="J41" s="279">
        <f t="shared" si="36"/>
        <v>31.7625</v>
      </c>
      <c r="L41" s="127" t="s">
        <v>670</v>
      </c>
      <c r="M41" s="199">
        <f>M38*(1-InputVariables!$M$19)</f>
        <v>12705.03605</v>
      </c>
      <c r="N41" s="199">
        <f>N38*(1-InputVariables!$M$19)</f>
        <v>12705.03605</v>
      </c>
      <c r="O41" s="199">
        <f>O38*(1-InputVariables!$M$19)</f>
        <v>12773.56115</v>
      </c>
      <c r="P41" s="199">
        <f>P38*(1-InputVariables!$M$19)</f>
        <v>12783.08277</v>
      </c>
      <c r="Q41" s="199">
        <f>Q38*(1-InputVariables!$M$19)</f>
        <v>12779.32621</v>
      </c>
      <c r="R41" s="199">
        <f>R38*(1-InputVariables!$M$19)</f>
        <v>12772.84235</v>
      </c>
      <c r="S41" s="199">
        <f>S38*(1-InputVariables!$M$19)</f>
        <v>12779.19542</v>
      </c>
    </row>
    <row r="42">
      <c r="A42" s="256" t="s">
        <v>21</v>
      </c>
      <c r="B42" s="173">
        <f t="shared" si="29"/>
        <v>10.9580625</v>
      </c>
      <c r="C42" s="173">
        <f t="shared" si="30"/>
        <v>9.13171875</v>
      </c>
      <c r="D42" s="173">
        <f t="shared" si="31"/>
        <v>16.43709375</v>
      </c>
      <c r="E42" s="279">
        <f t="shared" si="32"/>
        <v>36.526875</v>
      </c>
      <c r="F42" s="256" t="s">
        <v>21</v>
      </c>
      <c r="G42" s="173">
        <f t="shared" si="33"/>
        <v>10.9580625</v>
      </c>
      <c r="H42" s="173">
        <f t="shared" si="34"/>
        <v>9.13171875</v>
      </c>
      <c r="I42" s="173">
        <f t="shared" si="35"/>
        <v>16.43709375</v>
      </c>
      <c r="J42" s="279">
        <f t="shared" si="36"/>
        <v>36.526875</v>
      </c>
      <c r="L42" s="260" t="s">
        <v>671</v>
      </c>
      <c r="M42" s="142">
        <f t="shared" ref="M42:S42" si="37">M41*M36</f>
        <v>762302.163</v>
      </c>
      <c r="N42" s="142">
        <f t="shared" si="37"/>
        <v>1984526.631</v>
      </c>
      <c r="O42" s="142">
        <f t="shared" si="37"/>
        <v>3540831.151</v>
      </c>
      <c r="P42" s="142">
        <f t="shared" si="37"/>
        <v>4848623.293</v>
      </c>
      <c r="Q42" s="142">
        <f t="shared" si="37"/>
        <v>7768897.446</v>
      </c>
      <c r="R42" s="142">
        <f t="shared" si="37"/>
        <v>11980175.08</v>
      </c>
      <c r="S42" s="142">
        <f t="shared" si="37"/>
        <v>17610997.46</v>
      </c>
    </row>
    <row r="43">
      <c r="A43" s="256" t="s">
        <v>22</v>
      </c>
      <c r="B43" s="173">
        <f t="shared" si="29"/>
        <v>13.149675</v>
      </c>
      <c r="C43" s="173">
        <f t="shared" si="30"/>
        <v>10.9580625</v>
      </c>
      <c r="D43" s="173">
        <f t="shared" si="31"/>
        <v>19.7245125</v>
      </c>
      <c r="E43" s="279">
        <f t="shared" si="32"/>
        <v>43.83225</v>
      </c>
      <c r="F43" s="256" t="s">
        <v>22</v>
      </c>
      <c r="G43" s="173">
        <f t="shared" si="33"/>
        <v>13.149675</v>
      </c>
      <c r="H43" s="173">
        <f t="shared" si="34"/>
        <v>10.9580625</v>
      </c>
      <c r="I43" s="173">
        <f t="shared" si="35"/>
        <v>19.7245125</v>
      </c>
      <c r="J43" s="279">
        <f t="shared" si="36"/>
        <v>43.83225</v>
      </c>
    </row>
    <row r="44">
      <c r="A44" s="256" t="s">
        <v>23</v>
      </c>
      <c r="B44" s="173">
        <f t="shared" si="29"/>
        <v>15.77961</v>
      </c>
      <c r="C44" s="173">
        <f t="shared" si="30"/>
        <v>13.149675</v>
      </c>
      <c r="D44" s="173">
        <f t="shared" si="31"/>
        <v>23.669415</v>
      </c>
      <c r="E44" s="279">
        <f t="shared" si="32"/>
        <v>52.5987</v>
      </c>
      <c r="F44" s="256" t="s">
        <v>23</v>
      </c>
      <c r="G44" s="173">
        <f t="shared" si="33"/>
        <v>15.77961</v>
      </c>
      <c r="H44" s="173">
        <f t="shared" si="34"/>
        <v>13.149675</v>
      </c>
      <c r="I44" s="173">
        <f t="shared" si="35"/>
        <v>23.669415</v>
      </c>
      <c r="J44" s="279">
        <f t="shared" si="36"/>
        <v>52.5987</v>
      </c>
    </row>
    <row r="45">
      <c r="A45" s="261" t="s">
        <v>24</v>
      </c>
      <c r="B45" s="67">
        <f t="shared" si="29"/>
        <v>18.935532</v>
      </c>
      <c r="C45" s="67">
        <f t="shared" si="30"/>
        <v>15.77961</v>
      </c>
      <c r="D45" s="67">
        <f t="shared" si="31"/>
        <v>28.403298</v>
      </c>
      <c r="E45" s="68">
        <f t="shared" si="32"/>
        <v>63.11844</v>
      </c>
      <c r="F45" s="261" t="s">
        <v>24</v>
      </c>
      <c r="G45" s="67">
        <f t="shared" si="33"/>
        <v>18.935532</v>
      </c>
      <c r="H45" s="67">
        <f t="shared" si="34"/>
        <v>15.77961</v>
      </c>
      <c r="I45" s="67">
        <f t="shared" si="35"/>
        <v>28.403298</v>
      </c>
      <c r="J45" s="68">
        <f t="shared" si="36"/>
        <v>63.11844</v>
      </c>
    </row>
    <row r="47">
      <c r="A47" s="174" t="s">
        <v>656</v>
      </c>
      <c r="B47" s="277" t="s">
        <v>5</v>
      </c>
      <c r="C47" s="45"/>
      <c r="D47" s="45"/>
      <c r="E47" s="50"/>
      <c r="F47" s="174" t="s">
        <v>658</v>
      </c>
      <c r="G47" s="277" t="s">
        <v>5</v>
      </c>
      <c r="H47" s="45"/>
      <c r="I47" s="45"/>
      <c r="J47" s="50"/>
    </row>
    <row r="48">
      <c r="A48" s="267"/>
      <c r="B48" s="243" t="s">
        <v>6</v>
      </c>
      <c r="C48" s="243" t="s">
        <v>7</v>
      </c>
      <c r="D48" s="243" t="s">
        <v>662</v>
      </c>
      <c r="E48" s="278" t="s">
        <v>89</v>
      </c>
      <c r="F48" s="267"/>
      <c r="G48" s="243" t="s">
        <v>6</v>
      </c>
      <c r="H48" s="243" t="s">
        <v>7</v>
      </c>
      <c r="I48" s="243" t="s">
        <v>662</v>
      </c>
      <c r="J48" s="278" t="s">
        <v>89</v>
      </c>
    </row>
    <row r="49">
      <c r="A49" s="256" t="s">
        <v>18</v>
      </c>
      <c r="B49" s="173">
        <f t="shared" ref="B49:B55" si="38">E13*$B$23</f>
        <v>11.25</v>
      </c>
      <c r="C49" s="173">
        <f t="shared" ref="C49:C55" si="39">E13*$B$24</f>
        <v>9.375</v>
      </c>
      <c r="D49" s="173">
        <f t="shared" ref="D49:D55" si="40">E13*$B$25</f>
        <v>16.875</v>
      </c>
      <c r="E49" s="279">
        <f t="shared" ref="E49:E55" si="41">sum(B49:D49)</f>
        <v>37.5</v>
      </c>
      <c r="F49" s="256" t="s">
        <v>18</v>
      </c>
      <c r="G49" s="173">
        <f t="shared" ref="G49:G55" si="42">J13*$B$23</f>
        <v>6</v>
      </c>
      <c r="H49" s="173">
        <f t="shared" ref="H49:H55" si="43">J13*$B$24</f>
        <v>5</v>
      </c>
      <c r="I49" s="173">
        <f t="shared" ref="I49:I55" si="44">J13*$B$25</f>
        <v>9</v>
      </c>
      <c r="J49" s="279">
        <f t="shared" ref="J49:J55" si="45">sum(G49:I49)</f>
        <v>20</v>
      </c>
    </row>
    <row r="50">
      <c r="A50" s="256" t="s">
        <v>19</v>
      </c>
      <c r="B50" s="173">
        <f t="shared" si="38"/>
        <v>8.6625</v>
      </c>
      <c r="C50" s="173">
        <f t="shared" si="39"/>
        <v>7.21875</v>
      </c>
      <c r="D50" s="173">
        <f t="shared" si="40"/>
        <v>12.99375</v>
      </c>
      <c r="E50" s="279">
        <f t="shared" si="41"/>
        <v>28.875</v>
      </c>
      <c r="F50" s="256" t="s">
        <v>19</v>
      </c>
      <c r="G50" s="173">
        <f t="shared" si="42"/>
        <v>4.725</v>
      </c>
      <c r="H50" s="173">
        <f t="shared" si="43"/>
        <v>3.9375</v>
      </c>
      <c r="I50" s="173">
        <f t="shared" si="44"/>
        <v>7.0875</v>
      </c>
      <c r="J50" s="279">
        <f t="shared" si="45"/>
        <v>15.75</v>
      </c>
    </row>
    <row r="51">
      <c r="A51" s="256" t="s">
        <v>20</v>
      </c>
      <c r="B51" s="173">
        <f t="shared" si="38"/>
        <v>6.06375</v>
      </c>
      <c r="C51" s="173">
        <f t="shared" si="39"/>
        <v>5.053125</v>
      </c>
      <c r="D51" s="173">
        <f t="shared" si="40"/>
        <v>9.095625</v>
      </c>
      <c r="E51" s="279">
        <f t="shared" si="41"/>
        <v>20.2125</v>
      </c>
      <c r="F51" s="256" t="s">
        <v>20</v>
      </c>
      <c r="G51" s="173">
        <f t="shared" si="42"/>
        <v>5.1975</v>
      </c>
      <c r="H51" s="173">
        <f t="shared" si="43"/>
        <v>4.33125</v>
      </c>
      <c r="I51" s="173">
        <f t="shared" si="44"/>
        <v>7.79625</v>
      </c>
      <c r="J51" s="279">
        <f t="shared" si="45"/>
        <v>17.325</v>
      </c>
    </row>
    <row r="52">
      <c r="A52" s="256" t="s">
        <v>21</v>
      </c>
      <c r="B52" s="173">
        <f t="shared" si="38"/>
        <v>5.977125</v>
      </c>
      <c r="C52" s="173">
        <f t="shared" si="39"/>
        <v>4.9809375</v>
      </c>
      <c r="D52" s="173">
        <f t="shared" si="40"/>
        <v>8.9656875</v>
      </c>
      <c r="E52" s="279">
        <f t="shared" si="41"/>
        <v>19.92375</v>
      </c>
      <c r="F52" s="256" t="s">
        <v>21</v>
      </c>
      <c r="G52" s="173">
        <f t="shared" si="42"/>
        <v>5.977125</v>
      </c>
      <c r="H52" s="173">
        <f t="shared" si="43"/>
        <v>4.9809375</v>
      </c>
      <c r="I52" s="173">
        <f t="shared" si="44"/>
        <v>8.9656875</v>
      </c>
      <c r="J52" s="279">
        <f t="shared" si="45"/>
        <v>19.92375</v>
      </c>
    </row>
    <row r="53">
      <c r="A53" s="256" t="s">
        <v>22</v>
      </c>
      <c r="B53" s="173">
        <f t="shared" si="38"/>
        <v>7.17255</v>
      </c>
      <c r="C53" s="173">
        <f t="shared" si="39"/>
        <v>5.977125</v>
      </c>
      <c r="D53" s="173">
        <f t="shared" si="40"/>
        <v>10.758825</v>
      </c>
      <c r="E53" s="279">
        <f t="shared" si="41"/>
        <v>23.9085</v>
      </c>
      <c r="F53" s="256" t="s">
        <v>22</v>
      </c>
      <c r="G53" s="173">
        <f t="shared" si="42"/>
        <v>7.17255</v>
      </c>
      <c r="H53" s="173">
        <f t="shared" si="43"/>
        <v>5.977125</v>
      </c>
      <c r="I53" s="173">
        <f t="shared" si="44"/>
        <v>10.758825</v>
      </c>
      <c r="J53" s="279">
        <f t="shared" si="45"/>
        <v>23.9085</v>
      </c>
    </row>
    <row r="54">
      <c r="A54" s="256" t="s">
        <v>23</v>
      </c>
      <c r="B54" s="173">
        <f t="shared" si="38"/>
        <v>8.60706</v>
      </c>
      <c r="C54" s="173">
        <f t="shared" si="39"/>
        <v>7.17255</v>
      </c>
      <c r="D54" s="173">
        <f t="shared" si="40"/>
        <v>12.91059</v>
      </c>
      <c r="E54" s="279">
        <f t="shared" si="41"/>
        <v>28.6902</v>
      </c>
      <c r="F54" s="256" t="s">
        <v>23</v>
      </c>
      <c r="G54" s="173">
        <f t="shared" si="42"/>
        <v>8.60706</v>
      </c>
      <c r="H54" s="173">
        <f t="shared" si="43"/>
        <v>7.17255</v>
      </c>
      <c r="I54" s="173">
        <f t="shared" si="44"/>
        <v>12.91059</v>
      </c>
      <c r="J54" s="279">
        <f t="shared" si="45"/>
        <v>28.6902</v>
      </c>
    </row>
    <row r="55">
      <c r="A55" s="261" t="s">
        <v>24</v>
      </c>
      <c r="B55" s="67">
        <f t="shared" si="38"/>
        <v>10.328472</v>
      </c>
      <c r="C55" s="67">
        <f t="shared" si="39"/>
        <v>8.60706</v>
      </c>
      <c r="D55" s="67">
        <f t="shared" si="40"/>
        <v>15.492708</v>
      </c>
      <c r="E55" s="68">
        <f t="shared" si="41"/>
        <v>34.42824</v>
      </c>
      <c r="F55" s="261" t="s">
        <v>24</v>
      </c>
      <c r="G55" s="67">
        <f t="shared" si="42"/>
        <v>10.328472</v>
      </c>
      <c r="H55" s="67">
        <f t="shared" si="43"/>
        <v>8.60706</v>
      </c>
      <c r="I55" s="67">
        <f t="shared" si="44"/>
        <v>15.492708</v>
      </c>
      <c r="J55" s="68">
        <f t="shared" si="45"/>
        <v>34.42824</v>
      </c>
    </row>
  </sheetData>
  <mergeCells count="3">
    <mergeCell ref="B11:E11"/>
    <mergeCell ref="G11:J11"/>
    <mergeCell ref="A22:B2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8" t="s">
        <v>672</v>
      </c>
      <c r="B1" s="188" t="s">
        <v>673</v>
      </c>
      <c r="C1" s="188" t="s">
        <v>674</v>
      </c>
      <c r="D1" s="188" t="s">
        <v>675</v>
      </c>
    </row>
    <row r="2">
      <c r="A2" s="191" t="s">
        <v>676</v>
      </c>
      <c r="B2" s="191" t="s">
        <v>677</v>
      </c>
      <c r="C2" s="191" t="s">
        <v>678</v>
      </c>
      <c r="D2" s="191" t="s">
        <v>679</v>
      </c>
    </row>
    <row r="3">
      <c r="A3" s="191" t="s">
        <v>680</v>
      </c>
      <c r="B3" s="191" t="s">
        <v>681</v>
      </c>
      <c r="C3" s="191" t="s">
        <v>682</v>
      </c>
      <c r="D3" s="192" t="s">
        <v>683</v>
      </c>
    </row>
    <row r="4">
      <c r="A4" s="191" t="s">
        <v>684</v>
      </c>
      <c r="B4" s="191" t="s">
        <v>685</v>
      </c>
      <c r="C4" s="191" t="s">
        <v>686</v>
      </c>
      <c r="D4" s="191" t="s">
        <v>687</v>
      </c>
    </row>
    <row r="5">
      <c r="A5" s="191" t="s">
        <v>688</v>
      </c>
      <c r="B5" s="191" t="s">
        <v>689</v>
      </c>
      <c r="C5" s="191" t="s">
        <v>690</v>
      </c>
      <c r="D5" s="192" t="s">
        <v>691</v>
      </c>
    </row>
    <row r="6">
      <c r="A6" s="191" t="s">
        <v>692</v>
      </c>
      <c r="B6" s="191" t="s">
        <v>689</v>
      </c>
      <c r="C6" s="191" t="s">
        <v>690</v>
      </c>
      <c r="D6" s="191" t="s">
        <v>693</v>
      </c>
    </row>
  </sheetData>
  <hyperlinks>
    <hyperlink r:id="rId1" location=":~:text=The%20geographic%20location%20of%20your,while%20Eastern%20European%20centers%20often" ref="D3"/>
    <hyperlink r:id="rId2" location=":~:text=expenses%2C%20which%20typically%20range%20from,house%20agent%20can" ref="D5"/>
  </hyperlinks>
  <drawing r:id="rId3"/>
</worksheet>
</file>