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hanboyle/Desktop/Case Comp 2018/"/>
    </mc:Choice>
  </mc:AlternateContent>
  <bookViews>
    <workbookView xWindow="0" yWindow="460" windowWidth="19200" windowHeight="6960" firstSheet="3" activeTab="3"/>
  </bookViews>
  <sheets>
    <sheet name="Retirement Plans" sheetId="2" r:id="rId1"/>
    <sheet name="Assumptions" sheetId="3" r:id="rId2"/>
    <sheet name="Value Adjustment" sheetId="4" r:id="rId3"/>
    <sheet name="SensitivityAnalysis-CurrentAge" sheetId="6" r:id="rId4"/>
    <sheet name="SensitivityAnalysis-CurrentPay" sheetId="7" r:id="rId5"/>
    <sheet name="SensitivityAnalysis-Mortality" sheetId="8" r:id="rId6"/>
    <sheet name="SensitivityAnalysis-IR" sheetId="10" r:id="rId7"/>
    <sheet name="SensitivityAnalysis-DiscreSpend" sheetId="12" r:id="rId8"/>
  </sheets>
  <calcPr calcId="162913"/>
</workbook>
</file>

<file path=xl/calcChain.xml><?xml version="1.0" encoding="utf-8"?>
<calcChain xmlns="http://schemas.openxmlformats.org/spreadsheetml/2006/main">
  <c r="F44" i="6" l="1"/>
  <c r="F43" i="6"/>
  <c r="F38" i="6"/>
  <c r="F34" i="6"/>
  <c r="F28" i="6"/>
  <c r="F33" i="6"/>
  <c r="F24" i="6"/>
  <c r="F23" i="6"/>
  <c r="F20" i="10" l="1"/>
  <c r="F19" i="10"/>
  <c r="F18" i="10"/>
  <c r="F20" i="12"/>
  <c r="F19" i="12"/>
  <c r="F18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P18" i="12" s="1"/>
  <c r="O17" i="12"/>
  <c r="O16" i="12"/>
  <c r="O15" i="12"/>
  <c r="P15" i="12" s="1"/>
  <c r="O14" i="12"/>
  <c r="O13" i="12"/>
  <c r="P16" i="12"/>
  <c r="P13" i="12"/>
  <c r="F48" i="12"/>
  <c r="F49" i="12"/>
  <c r="F39" i="12"/>
  <c r="F38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M19" i="12"/>
  <c r="J19" i="12"/>
  <c r="J18" i="12"/>
  <c r="J17" i="12"/>
  <c r="J16" i="12"/>
  <c r="M15" i="12"/>
  <c r="M16" i="12" s="1"/>
  <c r="M17" i="12" s="1"/>
  <c r="M18" i="12" s="1"/>
  <c r="J15" i="12"/>
  <c r="P14" i="12"/>
  <c r="M14" i="12"/>
  <c r="K14" i="12"/>
  <c r="J14" i="12"/>
  <c r="H14" i="12"/>
  <c r="H15" i="12" s="1"/>
  <c r="H16" i="12" s="1"/>
  <c r="H17" i="12" s="1"/>
  <c r="H18" i="12" s="1"/>
  <c r="C14" i="12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K13" i="12"/>
  <c r="J13" i="12"/>
  <c r="C13" i="12"/>
  <c r="B13" i="12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F28" i="10"/>
  <c r="F48" i="10"/>
  <c r="F38" i="10"/>
  <c r="O55" i="10"/>
  <c r="J55" i="10"/>
  <c r="O54" i="10"/>
  <c r="J54" i="10"/>
  <c r="O53" i="10"/>
  <c r="J53" i="10"/>
  <c r="O52" i="10"/>
  <c r="J52" i="10"/>
  <c r="O51" i="10"/>
  <c r="J51" i="10"/>
  <c r="O50" i="10"/>
  <c r="J50" i="10"/>
  <c r="O49" i="10"/>
  <c r="J49" i="10"/>
  <c r="O48" i="10"/>
  <c r="J48" i="10"/>
  <c r="O47" i="10"/>
  <c r="J47" i="10"/>
  <c r="O46" i="10"/>
  <c r="J46" i="10"/>
  <c r="O45" i="10"/>
  <c r="J45" i="10"/>
  <c r="O44" i="10"/>
  <c r="J44" i="10"/>
  <c r="O43" i="10"/>
  <c r="J43" i="10"/>
  <c r="O42" i="10"/>
  <c r="J42" i="10"/>
  <c r="O41" i="10"/>
  <c r="J41" i="10"/>
  <c r="O40" i="10"/>
  <c r="J40" i="10"/>
  <c r="O39" i="10"/>
  <c r="J39" i="10"/>
  <c r="O38" i="10"/>
  <c r="J38" i="10"/>
  <c r="O37" i="10"/>
  <c r="J37" i="10"/>
  <c r="O36" i="10"/>
  <c r="J36" i="10"/>
  <c r="O35" i="10"/>
  <c r="J35" i="10"/>
  <c r="O34" i="10"/>
  <c r="J34" i="10"/>
  <c r="O33" i="10"/>
  <c r="J33" i="10"/>
  <c r="O32" i="10"/>
  <c r="J32" i="10"/>
  <c r="O31" i="10"/>
  <c r="J31" i="10"/>
  <c r="O30" i="10"/>
  <c r="J30" i="10"/>
  <c r="O29" i="10"/>
  <c r="J29" i="10"/>
  <c r="O28" i="10"/>
  <c r="J28" i="10"/>
  <c r="O27" i="10"/>
  <c r="J27" i="10"/>
  <c r="O26" i="10"/>
  <c r="J26" i="10"/>
  <c r="O25" i="10"/>
  <c r="J25" i="10"/>
  <c r="O24" i="10"/>
  <c r="J24" i="10"/>
  <c r="O23" i="10"/>
  <c r="J23" i="10"/>
  <c r="O22" i="10"/>
  <c r="J22" i="10"/>
  <c r="O21" i="10"/>
  <c r="J21" i="10"/>
  <c r="O20" i="10"/>
  <c r="J20" i="10"/>
  <c r="O19" i="10"/>
  <c r="J19" i="10"/>
  <c r="O18" i="10"/>
  <c r="J18" i="10"/>
  <c r="O17" i="10"/>
  <c r="J17" i="10"/>
  <c r="O16" i="10"/>
  <c r="J16" i="10"/>
  <c r="O15" i="10"/>
  <c r="M15" i="10"/>
  <c r="M16" i="10" s="1"/>
  <c r="J15" i="10"/>
  <c r="O14" i="10"/>
  <c r="P14" i="10" s="1"/>
  <c r="M14" i="10"/>
  <c r="J14" i="10"/>
  <c r="H14" i="10"/>
  <c r="H15" i="10" s="1"/>
  <c r="H16" i="10" s="1"/>
  <c r="H17" i="10" s="1"/>
  <c r="H18" i="10" s="1"/>
  <c r="C14" i="10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P13" i="10"/>
  <c r="O13" i="10"/>
  <c r="K13" i="10"/>
  <c r="J13" i="10"/>
  <c r="C13" i="10"/>
  <c r="B13" i="10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F30" i="8"/>
  <c r="F29" i="8"/>
  <c r="F28" i="8"/>
  <c r="F25" i="8"/>
  <c r="F24" i="8"/>
  <c r="F23" i="8"/>
  <c r="F19" i="8"/>
  <c r="O55" i="8"/>
  <c r="J55" i="8"/>
  <c r="O54" i="8"/>
  <c r="J54" i="8"/>
  <c r="O53" i="8"/>
  <c r="J53" i="8"/>
  <c r="O52" i="8"/>
  <c r="J52" i="8"/>
  <c r="O51" i="8"/>
  <c r="J51" i="8"/>
  <c r="O50" i="8"/>
  <c r="J50" i="8"/>
  <c r="O49" i="8"/>
  <c r="J49" i="8"/>
  <c r="O48" i="8"/>
  <c r="J48" i="8"/>
  <c r="O47" i="8"/>
  <c r="J47" i="8"/>
  <c r="O46" i="8"/>
  <c r="J46" i="8"/>
  <c r="O45" i="8"/>
  <c r="J45" i="8"/>
  <c r="O44" i="8"/>
  <c r="J44" i="8"/>
  <c r="O43" i="8"/>
  <c r="J43" i="8"/>
  <c r="O42" i="8"/>
  <c r="J42" i="8"/>
  <c r="O41" i="8"/>
  <c r="J41" i="8"/>
  <c r="O40" i="8"/>
  <c r="J40" i="8"/>
  <c r="O39" i="8"/>
  <c r="J39" i="8"/>
  <c r="O38" i="8"/>
  <c r="J38" i="8"/>
  <c r="O37" i="8"/>
  <c r="J37" i="8"/>
  <c r="O36" i="8"/>
  <c r="J36" i="8"/>
  <c r="O35" i="8"/>
  <c r="J35" i="8"/>
  <c r="O34" i="8"/>
  <c r="J34" i="8"/>
  <c r="O33" i="8"/>
  <c r="J33" i="8"/>
  <c r="O32" i="8"/>
  <c r="J32" i="8"/>
  <c r="O31" i="8"/>
  <c r="J31" i="8"/>
  <c r="O30" i="8"/>
  <c r="J30" i="8"/>
  <c r="O29" i="8"/>
  <c r="J29" i="8"/>
  <c r="O28" i="8"/>
  <c r="J28" i="8"/>
  <c r="O27" i="8"/>
  <c r="J27" i="8"/>
  <c r="O26" i="8"/>
  <c r="J26" i="8"/>
  <c r="O25" i="8"/>
  <c r="J25" i="8"/>
  <c r="O24" i="8"/>
  <c r="J24" i="8"/>
  <c r="O23" i="8"/>
  <c r="J23" i="8"/>
  <c r="O22" i="8"/>
  <c r="J22" i="8"/>
  <c r="O21" i="8"/>
  <c r="J21" i="8"/>
  <c r="O20" i="8"/>
  <c r="J20" i="8"/>
  <c r="O19" i="8"/>
  <c r="J19" i="8"/>
  <c r="H19" i="8"/>
  <c r="H20" i="8" s="1"/>
  <c r="O18" i="8"/>
  <c r="J18" i="8"/>
  <c r="K18" i="8" s="1"/>
  <c r="H18" i="8"/>
  <c r="B18" i="8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O17" i="8"/>
  <c r="J17" i="8"/>
  <c r="K17" i="8" s="1"/>
  <c r="O16" i="8"/>
  <c r="J16" i="8"/>
  <c r="K16" i="8" s="1"/>
  <c r="O15" i="8"/>
  <c r="K15" i="8"/>
  <c r="J15" i="8"/>
  <c r="O14" i="8"/>
  <c r="M14" i="8"/>
  <c r="M15" i="8" s="1"/>
  <c r="K14" i="8"/>
  <c r="J14" i="8"/>
  <c r="H14" i="8"/>
  <c r="H15" i="8" s="1"/>
  <c r="H16" i="8" s="1"/>
  <c r="H17" i="8" s="1"/>
  <c r="C14" i="8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P13" i="8"/>
  <c r="O13" i="8"/>
  <c r="K13" i="8"/>
  <c r="J13" i="8"/>
  <c r="C13" i="8"/>
  <c r="B13" i="8"/>
  <c r="B14" i="8" s="1"/>
  <c r="B15" i="8" s="1"/>
  <c r="B16" i="8" s="1"/>
  <c r="B17" i="8" s="1"/>
  <c r="N13" i="7"/>
  <c r="N14" i="7" s="1"/>
  <c r="I13" i="7"/>
  <c r="I14" i="7" s="1"/>
  <c r="C13" i="7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F48" i="7"/>
  <c r="F38" i="7"/>
  <c r="F18" i="7"/>
  <c r="H15" i="7"/>
  <c r="H16" i="7" s="1"/>
  <c r="H17" i="7" s="1"/>
  <c r="H18" i="7" s="1"/>
  <c r="H19" i="7" s="1"/>
  <c r="H20" i="7" s="1"/>
  <c r="M14" i="7"/>
  <c r="H14" i="7"/>
  <c r="O13" i="7"/>
  <c r="P13" i="7" s="1"/>
  <c r="J13" i="7"/>
  <c r="K13" i="7" s="1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F50" i="6"/>
  <c r="F49" i="6"/>
  <c r="F48" i="6"/>
  <c r="F45" i="6"/>
  <c r="F40" i="6"/>
  <c r="F39" i="6"/>
  <c r="F35" i="6"/>
  <c r="F30" i="6"/>
  <c r="F29" i="6"/>
  <c r="F25" i="6"/>
  <c r="F20" i="6"/>
  <c r="F19" i="6"/>
  <c r="F18" i="6"/>
  <c r="F15" i="6"/>
  <c r="F14" i="6"/>
  <c r="F13" i="6"/>
  <c r="C16" i="6"/>
  <c r="C13" i="6"/>
  <c r="C14" i="6" s="1"/>
  <c r="C15" i="6" s="1"/>
  <c r="O55" i="6"/>
  <c r="J55" i="6"/>
  <c r="O54" i="6"/>
  <c r="J54" i="6"/>
  <c r="O53" i="6"/>
  <c r="J53" i="6"/>
  <c r="O52" i="6"/>
  <c r="J52" i="6"/>
  <c r="O51" i="6"/>
  <c r="J51" i="6"/>
  <c r="O50" i="6"/>
  <c r="J50" i="6"/>
  <c r="O49" i="6"/>
  <c r="J49" i="6"/>
  <c r="O48" i="6"/>
  <c r="J48" i="6"/>
  <c r="O47" i="6"/>
  <c r="J47" i="6"/>
  <c r="O46" i="6"/>
  <c r="J46" i="6"/>
  <c r="O45" i="6"/>
  <c r="J45" i="6"/>
  <c r="O44" i="6"/>
  <c r="J44" i="6"/>
  <c r="O43" i="6"/>
  <c r="J43" i="6"/>
  <c r="O42" i="6"/>
  <c r="J42" i="6"/>
  <c r="O41" i="6"/>
  <c r="J41" i="6"/>
  <c r="O40" i="6"/>
  <c r="J40" i="6"/>
  <c r="O39" i="6"/>
  <c r="J39" i="6"/>
  <c r="O38" i="6"/>
  <c r="J38" i="6"/>
  <c r="O37" i="6"/>
  <c r="J37" i="6"/>
  <c r="O36" i="6"/>
  <c r="J36" i="6"/>
  <c r="O35" i="6"/>
  <c r="J35" i="6"/>
  <c r="O34" i="6"/>
  <c r="J34" i="6"/>
  <c r="O33" i="6"/>
  <c r="J33" i="6"/>
  <c r="O32" i="6"/>
  <c r="J32" i="6"/>
  <c r="O31" i="6"/>
  <c r="J31" i="6"/>
  <c r="O30" i="6"/>
  <c r="J30" i="6"/>
  <c r="O29" i="6"/>
  <c r="J29" i="6"/>
  <c r="O28" i="6"/>
  <c r="J28" i="6"/>
  <c r="O27" i="6"/>
  <c r="J27" i="6"/>
  <c r="O26" i="6"/>
  <c r="J26" i="6"/>
  <c r="O25" i="6"/>
  <c r="J25" i="6"/>
  <c r="O24" i="6"/>
  <c r="J24" i="6"/>
  <c r="O23" i="6"/>
  <c r="J23" i="6"/>
  <c r="O22" i="6"/>
  <c r="J22" i="6"/>
  <c r="O21" i="6"/>
  <c r="J21" i="6"/>
  <c r="O20" i="6"/>
  <c r="J20" i="6"/>
  <c r="O19" i="6"/>
  <c r="J19" i="6"/>
  <c r="O18" i="6"/>
  <c r="J18" i="6"/>
  <c r="O17" i="6"/>
  <c r="J17" i="6"/>
  <c r="O16" i="6"/>
  <c r="J16" i="6"/>
  <c r="O15" i="6"/>
  <c r="J15" i="6"/>
  <c r="H15" i="6"/>
  <c r="H16" i="6" s="1"/>
  <c r="H17" i="6" s="1"/>
  <c r="H18" i="6" s="1"/>
  <c r="P14" i="6"/>
  <c r="O14" i="6"/>
  <c r="M14" i="6"/>
  <c r="M15" i="6" s="1"/>
  <c r="M16" i="6" s="1"/>
  <c r="M17" i="6" s="1"/>
  <c r="M18" i="6" s="1"/>
  <c r="M19" i="6" s="1"/>
  <c r="J14" i="6"/>
  <c r="K14" i="6" s="1"/>
  <c r="H14" i="6"/>
  <c r="O13" i="6"/>
  <c r="P13" i="6" s="1"/>
  <c r="J13" i="6"/>
  <c r="K13" i="6" s="1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H15" i="4"/>
  <c r="H13" i="4"/>
  <c r="R13" i="4"/>
  <c r="C54" i="12" l="1"/>
  <c r="K18" i="12"/>
  <c r="H19" i="12"/>
  <c r="H20" i="12" s="1"/>
  <c r="K17" i="12"/>
  <c r="P19" i="12"/>
  <c r="M20" i="12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P55" i="12" s="1"/>
  <c r="P46" i="12"/>
  <c r="K15" i="12"/>
  <c r="K16" i="12"/>
  <c r="P20" i="12"/>
  <c r="P24" i="12"/>
  <c r="P28" i="12"/>
  <c r="P32" i="12"/>
  <c r="P36" i="12"/>
  <c r="P40" i="12"/>
  <c r="P17" i="12"/>
  <c r="C54" i="10"/>
  <c r="H19" i="10"/>
  <c r="H20" i="10" s="1"/>
  <c r="K18" i="10"/>
  <c r="P16" i="10"/>
  <c r="M17" i="10"/>
  <c r="K16" i="10"/>
  <c r="K17" i="10"/>
  <c r="K14" i="10"/>
  <c r="P15" i="10"/>
  <c r="K19" i="10"/>
  <c r="K15" i="10"/>
  <c r="C54" i="8"/>
  <c r="M16" i="8"/>
  <c r="P15" i="8"/>
  <c r="K19" i="8"/>
  <c r="H21" i="8"/>
  <c r="K20" i="8"/>
  <c r="P14" i="8"/>
  <c r="N15" i="7"/>
  <c r="O14" i="7"/>
  <c r="P14" i="7" s="1"/>
  <c r="I15" i="7"/>
  <c r="J14" i="7"/>
  <c r="K14" i="7" s="1"/>
  <c r="H21" i="7"/>
  <c r="C54" i="7"/>
  <c r="M15" i="7"/>
  <c r="P17" i="6"/>
  <c r="K15" i="6"/>
  <c r="P15" i="6"/>
  <c r="P16" i="6"/>
  <c r="P18" i="6"/>
  <c r="P19" i="6"/>
  <c r="M20" i="6"/>
  <c r="K18" i="6"/>
  <c r="H19" i="6"/>
  <c r="K16" i="6"/>
  <c r="K17" i="6"/>
  <c r="P50" i="12" l="1"/>
  <c r="H21" i="12"/>
  <c r="K20" i="12"/>
  <c r="P43" i="12"/>
  <c r="P39" i="12"/>
  <c r="P35" i="12"/>
  <c r="P31" i="12"/>
  <c r="P27" i="12"/>
  <c r="P23" i="12"/>
  <c r="P53" i="12"/>
  <c r="P49" i="12"/>
  <c r="P45" i="12"/>
  <c r="P42" i="12"/>
  <c r="P38" i="12"/>
  <c r="P34" i="12"/>
  <c r="P30" i="12"/>
  <c r="P26" i="12"/>
  <c r="P22" i="12"/>
  <c r="P52" i="12"/>
  <c r="P48" i="12"/>
  <c r="P44" i="12"/>
  <c r="C55" i="12"/>
  <c r="P41" i="12"/>
  <c r="P37" i="12"/>
  <c r="P33" i="12"/>
  <c r="P29" i="12"/>
  <c r="P25" i="12"/>
  <c r="P21" i="12"/>
  <c r="P51" i="12"/>
  <c r="P47" i="12"/>
  <c r="P54" i="12"/>
  <c r="K19" i="12"/>
  <c r="K20" i="10"/>
  <c r="H21" i="10"/>
  <c r="M18" i="10"/>
  <c r="P17" i="10"/>
  <c r="C55" i="10"/>
  <c r="H22" i="8"/>
  <c r="K21" i="8"/>
  <c r="C55" i="8"/>
  <c r="F18" i="8" s="1"/>
  <c r="F13" i="8"/>
  <c r="M17" i="8"/>
  <c r="P16" i="8"/>
  <c r="O15" i="7"/>
  <c r="P15" i="7" s="1"/>
  <c r="N16" i="7"/>
  <c r="J15" i="7"/>
  <c r="K15" i="7" s="1"/>
  <c r="I16" i="7"/>
  <c r="H22" i="7"/>
  <c r="M16" i="7"/>
  <c r="C55" i="7"/>
  <c r="K19" i="6"/>
  <c r="H20" i="6"/>
  <c r="P20" i="6"/>
  <c r="M21" i="6"/>
  <c r="F30" i="12" l="1"/>
  <c r="F50" i="12"/>
  <c r="F40" i="12"/>
  <c r="F28" i="12"/>
  <c r="H22" i="12"/>
  <c r="K21" i="12"/>
  <c r="H22" i="10"/>
  <c r="K21" i="10"/>
  <c r="M19" i="10"/>
  <c r="P18" i="10"/>
  <c r="M18" i="8"/>
  <c r="P17" i="8"/>
  <c r="H23" i="8"/>
  <c r="K22" i="8"/>
  <c r="F28" i="7"/>
  <c r="O16" i="7"/>
  <c r="N17" i="7"/>
  <c r="I17" i="7"/>
  <c r="J16" i="7"/>
  <c r="K16" i="7" s="1"/>
  <c r="H23" i="7"/>
  <c r="M17" i="7"/>
  <c r="P16" i="7"/>
  <c r="H21" i="6"/>
  <c r="K20" i="6"/>
  <c r="P21" i="6"/>
  <c r="M22" i="6"/>
  <c r="H23" i="12" l="1"/>
  <c r="K22" i="12"/>
  <c r="H23" i="10"/>
  <c r="K22" i="10"/>
  <c r="M20" i="10"/>
  <c r="P19" i="10"/>
  <c r="M19" i="8"/>
  <c r="P18" i="8"/>
  <c r="H24" i="8"/>
  <c r="K23" i="8"/>
  <c r="N18" i="7"/>
  <c r="O17" i="7"/>
  <c r="P17" i="7" s="1"/>
  <c r="I18" i="7"/>
  <c r="J17" i="7"/>
  <c r="K17" i="7" s="1"/>
  <c r="H24" i="7"/>
  <c r="M18" i="7"/>
  <c r="P22" i="6"/>
  <c r="M23" i="6"/>
  <c r="H22" i="6"/>
  <c r="K21" i="6"/>
  <c r="H24" i="12" l="1"/>
  <c r="K23" i="12"/>
  <c r="M21" i="10"/>
  <c r="P20" i="10"/>
  <c r="H24" i="10"/>
  <c r="K23" i="10"/>
  <c r="H25" i="8"/>
  <c r="K24" i="8"/>
  <c r="M20" i="8"/>
  <c r="P19" i="8"/>
  <c r="N19" i="7"/>
  <c r="O18" i="7"/>
  <c r="P18" i="7" s="1"/>
  <c r="I19" i="7"/>
  <c r="J18" i="7"/>
  <c r="K18" i="7" s="1"/>
  <c r="M19" i="7"/>
  <c r="H25" i="7"/>
  <c r="H23" i="6"/>
  <c r="K22" i="6"/>
  <c r="P23" i="6"/>
  <c r="M24" i="6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13" i="4"/>
  <c r="E13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38" i="4"/>
  <c r="L34" i="4"/>
  <c r="L35" i="4"/>
  <c r="L36" i="4"/>
  <c r="L37" i="4"/>
  <c r="L33" i="4"/>
  <c r="L29" i="4"/>
  <c r="L30" i="4"/>
  <c r="L31" i="4"/>
  <c r="L32" i="4"/>
  <c r="L28" i="4"/>
  <c r="L24" i="4"/>
  <c r="L25" i="4"/>
  <c r="L26" i="4"/>
  <c r="L27" i="4"/>
  <c r="L23" i="4"/>
  <c r="L19" i="4"/>
  <c r="L20" i="4"/>
  <c r="L21" i="4"/>
  <c r="L22" i="4"/>
  <c r="L18" i="4"/>
  <c r="L14" i="4"/>
  <c r="L15" i="4"/>
  <c r="L16" i="4"/>
  <c r="L17" i="4"/>
  <c r="L13" i="4"/>
  <c r="M16" i="4"/>
  <c r="M13" i="4"/>
  <c r="G3" i="4"/>
  <c r="C13" i="3"/>
  <c r="C13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R17" i="4" s="1"/>
  <c r="Q16" i="4"/>
  <c r="J16" i="4"/>
  <c r="J17" i="4" s="1"/>
  <c r="Q15" i="4"/>
  <c r="R15" i="4" s="1"/>
  <c r="M15" i="4"/>
  <c r="J15" i="4"/>
  <c r="Q14" i="4"/>
  <c r="O14" i="4"/>
  <c r="O15" i="4" s="1"/>
  <c r="O16" i="4" s="1"/>
  <c r="O17" i="4" s="1"/>
  <c r="O18" i="4" s="1"/>
  <c r="M14" i="4"/>
  <c r="J14" i="4"/>
  <c r="Q13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13" i="3"/>
  <c r="F19" i="3"/>
  <c r="B15" i="3"/>
  <c r="B16" i="3"/>
  <c r="B17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13" i="3"/>
  <c r="M15" i="3"/>
  <c r="M16" i="3" s="1"/>
  <c r="M17" i="3" s="1"/>
  <c r="M18" i="3" s="1"/>
  <c r="M14" i="3"/>
  <c r="H15" i="3"/>
  <c r="H16" i="3"/>
  <c r="H17" i="3"/>
  <c r="H18" i="3"/>
  <c r="H19" i="3" s="1"/>
  <c r="H14" i="3"/>
  <c r="P14" i="3"/>
  <c r="P13" i="3"/>
  <c r="K14" i="3"/>
  <c r="K15" i="3"/>
  <c r="K16" i="3"/>
  <c r="K17" i="3"/>
  <c r="K18" i="3"/>
  <c r="K13" i="3"/>
  <c r="H25" i="12" l="1"/>
  <c r="K24" i="12"/>
  <c r="H25" i="10"/>
  <c r="K24" i="10"/>
  <c r="M22" i="10"/>
  <c r="P21" i="10"/>
  <c r="M21" i="8"/>
  <c r="P20" i="8"/>
  <c r="H26" i="8"/>
  <c r="K25" i="8"/>
  <c r="O19" i="7"/>
  <c r="P19" i="7" s="1"/>
  <c r="N20" i="7"/>
  <c r="J19" i="7"/>
  <c r="K19" i="7" s="1"/>
  <c r="I20" i="7"/>
  <c r="H26" i="7"/>
  <c r="M20" i="7"/>
  <c r="P24" i="6"/>
  <c r="M25" i="6"/>
  <c r="H24" i="6"/>
  <c r="K23" i="6"/>
  <c r="G6" i="4"/>
  <c r="R18" i="4"/>
  <c r="O19" i="4"/>
  <c r="O20" i="4" s="1"/>
  <c r="M17" i="4"/>
  <c r="J18" i="4"/>
  <c r="J19" i="4" s="1"/>
  <c r="C14" i="4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R14" i="4"/>
  <c r="R16" i="4"/>
  <c r="M19" i="3"/>
  <c r="M20" i="3" s="1"/>
  <c r="M21" i="3" s="1"/>
  <c r="M22" i="3" s="1"/>
  <c r="P18" i="3"/>
  <c r="P21" i="3"/>
  <c r="P20" i="3"/>
  <c r="P19" i="3"/>
  <c r="P15" i="3"/>
  <c r="P17" i="3"/>
  <c r="P16" i="3"/>
  <c r="K19" i="3"/>
  <c r="H20" i="3"/>
  <c r="H26" i="12" l="1"/>
  <c r="K25" i="12"/>
  <c r="M23" i="10"/>
  <c r="P22" i="10"/>
  <c r="H26" i="10"/>
  <c r="K25" i="10"/>
  <c r="H27" i="8"/>
  <c r="K26" i="8"/>
  <c r="M22" i="8"/>
  <c r="P21" i="8"/>
  <c r="N21" i="7"/>
  <c r="O20" i="7"/>
  <c r="I21" i="7"/>
  <c r="J20" i="7"/>
  <c r="K20" i="7" s="1"/>
  <c r="M21" i="7"/>
  <c r="P20" i="7"/>
  <c r="H27" i="7"/>
  <c r="P25" i="6"/>
  <c r="M26" i="6"/>
  <c r="H25" i="6"/>
  <c r="K24" i="6"/>
  <c r="C54" i="4"/>
  <c r="J20" i="4"/>
  <c r="M19" i="4"/>
  <c r="R20" i="4"/>
  <c r="O21" i="4"/>
  <c r="R19" i="4"/>
  <c r="M18" i="4"/>
  <c r="M23" i="3"/>
  <c r="P22" i="3"/>
  <c r="K20" i="3"/>
  <c r="H21" i="3"/>
  <c r="H27" i="12" l="1"/>
  <c r="K26" i="12"/>
  <c r="H27" i="10"/>
  <c r="K26" i="10"/>
  <c r="M24" i="10"/>
  <c r="P23" i="10"/>
  <c r="M23" i="8"/>
  <c r="P22" i="8"/>
  <c r="H28" i="8"/>
  <c r="K27" i="8"/>
  <c r="N22" i="7"/>
  <c r="O21" i="7"/>
  <c r="P21" i="7" s="1"/>
  <c r="I22" i="7"/>
  <c r="J21" i="7"/>
  <c r="K21" i="7" s="1"/>
  <c r="H28" i="7"/>
  <c r="M22" i="7"/>
  <c r="H26" i="6"/>
  <c r="K25" i="6"/>
  <c r="P26" i="6"/>
  <c r="M27" i="6"/>
  <c r="J21" i="4"/>
  <c r="M20" i="4"/>
  <c r="O22" i="4"/>
  <c r="R21" i="4"/>
  <c r="C55" i="4"/>
  <c r="H18" i="4" s="1"/>
  <c r="M24" i="3"/>
  <c r="P23" i="3"/>
  <c r="H22" i="3"/>
  <c r="K21" i="3"/>
  <c r="H28" i="12" l="1"/>
  <c r="K27" i="12"/>
  <c r="M25" i="10"/>
  <c r="P24" i="10"/>
  <c r="H28" i="10"/>
  <c r="K27" i="10"/>
  <c r="M24" i="8"/>
  <c r="P23" i="8"/>
  <c r="H29" i="8"/>
  <c r="K28" i="8"/>
  <c r="N23" i="7"/>
  <c r="O22" i="7"/>
  <c r="I23" i="7"/>
  <c r="J22" i="7"/>
  <c r="K22" i="7" s="1"/>
  <c r="M23" i="7"/>
  <c r="P22" i="7"/>
  <c r="H29" i="7"/>
  <c r="P27" i="6"/>
  <c r="M28" i="6"/>
  <c r="H27" i="6"/>
  <c r="K26" i="6"/>
  <c r="O23" i="4"/>
  <c r="R22" i="4"/>
  <c r="J22" i="4"/>
  <c r="M21" i="4"/>
  <c r="M25" i="3"/>
  <c r="P24" i="3"/>
  <c r="H23" i="3"/>
  <c r="K22" i="3"/>
  <c r="H29" i="12" l="1"/>
  <c r="K28" i="12"/>
  <c r="H29" i="10"/>
  <c r="K28" i="10"/>
  <c r="M26" i="10"/>
  <c r="P25" i="10"/>
  <c r="H30" i="8"/>
  <c r="K29" i="8"/>
  <c r="M25" i="8"/>
  <c r="P24" i="8"/>
  <c r="O23" i="7"/>
  <c r="N24" i="7"/>
  <c r="J23" i="7"/>
  <c r="K23" i="7" s="1"/>
  <c r="I24" i="7"/>
  <c r="H30" i="7"/>
  <c r="M24" i="7"/>
  <c r="P23" i="7"/>
  <c r="P28" i="6"/>
  <c r="M29" i="6"/>
  <c r="H28" i="6"/>
  <c r="K27" i="6"/>
  <c r="J23" i="4"/>
  <c r="M22" i="4"/>
  <c r="O24" i="4"/>
  <c r="R23" i="4"/>
  <c r="M26" i="3"/>
  <c r="P25" i="3"/>
  <c r="K23" i="3"/>
  <c r="H24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38" i="3"/>
  <c r="J34" i="3"/>
  <c r="J35" i="3"/>
  <c r="J36" i="3"/>
  <c r="J37" i="3"/>
  <c r="J33" i="3"/>
  <c r="J29" i="3"/>
  <c r="J30" i="3"/>
  <c r="J31" i="3"/>
  <c r="J32" i="3"/>
  <c r="J28" i="3"/>
  <c r="J24" i="3"/>
  <c r="J25" i="3"/>
  <c r="J26" i="3"/>
  <c r="J27" i="3"/>
  <c r="J23" i="3"/>
  <c r="J19" i="3"/>
  <c r="J20" i="3"/>
  <c r="J21" i="3"/>
  <c r="J22" i="3"/>
  <c r="J18" i="3"/>
  <c r="J14" i="3"/>
  <c r="J15" i="3"/>
  <c r="J16" i="3"/>
  <c r="J17" i="3"/>
  <c r="J13" i="3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H30" i="12" l="1"/>
  <c r="K29" i="12"/>
  <c r="H30" i="10"/>
  <c r="K29" i="10"/>
  <c r="M27" i="10"/>
  <c r="P26" i="10"/>
  <c r="M26" i="8"/>
  <c r="P25" i="8"/>
  <c r="H31" i="8"/>
  <c r="K30" i="8"/>
  <c r="O24" i="7"/>
  <c r="P24" i="7" s="1"/>
  <c r="N25" i="7"/>
  <c r="J24" i="7"/>
  <c r="K24" i="7" s="1"/>
  <c r="I25" i="7"/>
  <c r="M25" i="7"/>
  <c r="H31" i="7"/>
  <c r="P29" i="6"/>
  <c r="M30" i="6"/>
  <c r="H29" i="6"/>
  <c r="K28" i="6"/>
  <c r="R24" i="4"/>
  <c r="O25" i="4"/>
  <c r="J24" i="4"/>
  <c r="M23" i="4"/>
  <c r="C54" i="3"/>
  <c r="M27" i="3"/>
  <c r="P26" i="3"/>
  <c r="K24" i="3"/>
  <c r="H25" i="3"/>
  <c r="C55" i="3"/>
  <c r="F18" i="3" s="1"/>
  <c r="B14" i="3"/>
  <c r="H31" i="12" l="1"/>
  <c r="K30" i="12"/>
  <c r="M28" i="10"/>
  <c r="P27" i="10"/>
  <c r="H31" i="10"/>
  <c r="K30" i="10"/>
  <c r="H32" i="8"/>
  <c r="K31" i="8"/>
  <c r="M27" i="8"/>
  <c r="P26" i="8"/>
  <c r="N26" i="7"/>
  <c r="O25" i="7"/>
  <c r="P25" i="7" s="1"/>
  <c r="J25" i="7"/>
  <c r="K25" i="7" s="1"/>
  <c r="I26" i="7"/>
  <c r="H32" i="7"/>
  <c r="M26" i="7"/>
  <c r="H30" i="6"/>
  <c r="K29" i="6"/>
  <c r="P30" i="6"/>
  <c r="M31" i="6"/>
  <c r="J25" i="4"/>
  <c r="M24" i="4"/>
  <c r="O26" i="4"/>
  <c r="R25" i="4"/>
  <c r="F13" i="3"/>
  <c r="M28" i="3"/>
  <c r="P27" i="3"/>
  <c r="H26" i="3"/>
  <c r="K25" i="3"/>
  <c r="H32" i="12" l="1"/>
  <c r="K31" i="12"/>
  <c r="M29" i="10"/>
  <c r="P28" i="10"/>
  <c r="H32" i="10"/>
  <c r="K31" i="10"/>
  <c r="M28" i="8"/>
  <c r="P27" i="8"/>
  <c r="H33" i="8"/>
  <c r="K32" i="8"/>
  <c r="N27" i="7"/>
  <c r="O26" i="7"/>
  <c r="P26" i="7" s="1"/>
  <c r="I27" i="7"/>
  <c r="J26" i="7"/>
  <c r="K26" i="7" s="1"/>
  <c r="M27" i="7"/>
  <c r="H33" i="7"/>
  <c r="P31" i="6"/>
  <c r="M32" i="6"/>
  <c r="H31" i="6"/>
  <c r="K30" i="6"/>
  <c r="O27" i="4"/>
  <c r="R26" i="4"/>
  <c r="J26" i="4"/>
  <c r="M25" i="4"/>
  <c r="M29" i="3"/>
  <c r="P28" i="3"/>
  <c r="H27" i="3"/>
  <c r="K26" i="3"/>
  <c r="H33" i="12" l="1"/>
  <c r="K32" i="12"/>
  <c r="H33" i="10"/>
  <c r="K32" i="10"/>
  <c r="M30" i="10"/>
  <c r="P29" i="10"/>
  <c r="H34" i="8"/>
  <c r="K33" i="8"/>
  <c r="M29" i="8"/>
  <c r="P28" i="8"/>
  <c r="O27" i="7"/>
  <c r="P27" i="7" s="1"/>
  <c r="N28" i="7"/>
  <c r="J27" i="7"/>
  <c r="K27" i="7" s="1"/>
  <c r="I28" i="7"/>
  <c r="H34" i="7"/>
  <c r="M28" i="7"/>
  <c r="M33" i="6"/>
  <c r="P32" i="6"/>
  <c r="H32" i="6"/>
  <c r="K31" i="6"/>
  <c r="J27" i="4"/>
  <c r="M26" i="4"/>
  <c r="O28" i="4"/>
  <c r="R27" i="4"/>
  <c r="M30" i="3"/>
  <c r="P29" i="3"/>
  <c r="K27" i="3"/>
  <c r="H28" i="3"/>
  <c r="H34" i="12" l="1"/>
  <c r="K33" i="12"/>
  <c r="M31" i="10"/>
  <c r="P30" i="10"/>
  <c r="H34" i="10"/>
  <c r="K33" i="10"/>
  <c r="M30" i="8"/>
  <c r="P29" i="8"/>
  <c r="H35" i="8"/>
  <c r="K34" i="8"/>
  <c r="O28" i="7"/>
  <c r="N29" i="7"/>
  <c r="I29" i="7"/>
  <c r="J28" i="7"/>
  <c r="K28" i="7" s="1"/>
  <c r="M29" i="7"/>
  <c r="P28" i="7"/>
  <c r="H35" i="7"/>
  <c r="H33" i="6"/>
  <c r="K32" i="6"/>
  <c r="M34" i="6"/>
  <c r="P33" i="6"/>
  <c r="R28" i="4"/>
  <c r="O29" i="4"/>
  <c r="J28" i="4"/>
  <c r="M27" i="4"/>
  <c r="M31" i="3"/>
  <c r="P30" i="3"/>
  <c r="K28" i="3"/>
  <c r="H29" i="3"/>
  <c r="H35" i="12" l="1"/>
  <c r="K34" i="12"/>
  <c r="H35" i="10"/>
  <c r="K34" i="10"/>
  <c r="M32" i="10"/>
  <c r="P31" i="10"/>
  <c r="H36" i="8"/>
  <c r="K35" i="8"/>
  <c r="M31" i="8"/>
  <c r="P30" i="8"/>
  <c r="N30" i="7"/>
  <c r="O29" i="7"/>
  <c r="P29" i="7" s="1"/>
  <c r="I30" i="7"/>
  <c r="J29" i="7"/>
  <c r="K29" i="7" s="1"/>
  <c r="H36" i="7"/>
  <c r="M30" i="7"/>
  <c r="M35" i="6"/>
  <c r="P34" i="6"/>
  <c r="H34" i="6"/>
  <c r="K33" i="6"/>
  <c r="J29" i="4"/>
  <c r="M28" i="4"/>
  <c r="O30" i="4"/>
  <c r="R29" i="4"/>
  <c r="M32" i="3"/>
  <c r="P31" i="3"/>
  <c r="K29" i="3"/>
  <c r="H30" i="3"/>
  <c r="H36" i="12" l="1"/>
  <c r="K35" i="12"/>
  <c r="H36" i="10"/>
  <c r="K35" i="10"/>
  <c r="M33" i="10"/>
  <c r="P32" i="10"/>
  <c r="M32" i="8"/>
  <c r="P31" i="8"/>
  <c r="H37" i="8"/>
  <c r="K36" i="8"/>
  <c r="N31" i="7"/>
  <c r="O30" i="7"/>
  <c r="P30" i="7" s="1"/>
  <c r="I31" i="7"/>
  <c r="J30" i="7"/>
  <c r="K30" i="7" s="1"/>
  <c r="M31" i="7"/>
  <c r="H37" i="7"/>
  <c r="H35" i="6"/>
  <c r="K34" i="6"/>
  <c r="M36" i="6"/>
  <c r="P35" i="6"/>
  <c r="O31" i="4"/>
  <c r="R30" i="4"/>
  <c r="J30" i="4"/>
  <c r="M29" i="4"/>
  <c r="M33" i="3"/>
  <c r="P32" i="3"/>
  <c r="H31" i="3"/>
  <c r="K30" i="3"/>
  <c r="H37" i="12" l="1"/>
  <c r="K36" i="12"/>
  <c r="H37" i="10"/>
  <c r="K36" i="10"/>
  <c r="M34" i="10"/>
  <c r="P33" i="10"/>
  <c r="M33" i="8"/>
  <c r="P32" i="8"/>
  <c r="H38" i="8"/>
  <c r="K37" i="8"/>
  <c r="O31" i="7"/>
  <c r="P31" i="7" s="1"/>
  <c r="N32" i="7"/>
  <c r="J31" i="7"/>
  <c r="K31" i="7" s="1"/>
  <c r="I32" i="7"/>
  <c r="H38" i="7"/>
  <c r="M32" i="7"/>
  <c r="M37" i="6"/>
  <c r="P36" i="6"/>
  <c r="H36" i="6"/>
  <c r="K35" i="6"/>
  <c r="J31" i="4"/>
  <c r="M30" i="4"/>
  <c r="O32" i="4"/>
  <c r="R31" i="4"/>
  <c r="M34" i="3"/>
  <c r="P33" i="3"/>
  <c r="K31" i="3"/>
  <c r="H32" i="3"/>
  <c r="H38" i="12" l="1"/>
  <c r="K37" i="12"/>
  <c r="M35" i="10"/>
  <c r="P34" i="10"/>
  <c r="H38" i="10"/>
  <c r="K37" i="10"/>
  <c r="M34" i="8"/>
  <c r="P33" i="8"/>
  <c r="H39" i="8"/>
  <c r="K38" i="8"/>
  <c r="N33" i="7"/>
  <c r="O32" i="7"/>
  <c r="J32" i="7"/>
  <c r="K32" i="7" s="1"/>
  <c r="I33" i="7"/>
  <c r="M33" i="7"/>
  <c r="P32" i="7"/>
  <c r="H39" i="7"/>
  <c r="H37" i="6"/>
  <c r="K36" i="6"/>
  <c r="M38" i="6"/>
  <c r="P37" i="6"/>
  <c r="O33" i="4"/>
  <c r="R32" i="4"/>
  <c r="J32" i="4"/>
  <c r="M31" i="4"/>
  <c r="M35" i="3"/>
  <c r="P34" i="3"/>
  <c r="K32" i="3"/>
  <c r="H33" i="3"/>
  <c r="H39" i="12" l="1"/>
  <c r="K38" i="12"/>
  <c r="H39" i="10"/>
  <c r="K38" i="10"/>
  <c r="M36" i="10"/>
  <c r="P35" i="10"/>
  <c r="M35" i="8"/>
  <c r="P34" i="8"/>
  <c r="H40" i="8"/>
  <c r="K39" i="8"/>
  <c r="N34" i="7"/>
  <c r="O33" i="7"/>
  <c r="P33" i="7" s="1"/>
  <c r="I34" i="7"/>
  <c r="J33" i="7"/>
  <c r="K33" i="7" s="1"/>
  <c r="H40" i="7"/>
  <c r="M34" i="7"/>
  <c r="M39" i="6"/>
  <c r="P38" i="6"/>
  <c r="H38" i="6"/>
  <c r="K37" i="6"/>
  <c r="J33" i="4"/>
  <c r="M32" i="4"/>
  <c r="O34" i="4"/>
  <c r="R33" i="4"/>
  <c r="M36" i="3"/>
  <c r="P35" i="3"/>
  <c r="H34" i="3"/>
  <c r="K33" i="3"/>
  <c r="H40" i="12" l="1"/>
  <c r="K39" i="12"/>
  <c r="M37" i="10"/>
  <c r="P36" i="10"/>
  <c r="H40" i="10"/>
  <c r="K39" i="10"/>
  <c r="H41" i="8"/>
  <c r="K40" i="8"/>
  <c r="M36" i="8"/>
  <c r="P35" i="8"/>
  <c r="N35" i="7"/>
  <c r="O34" i="7"/>
  <c r="P34" i="7" s="1"/>
  <c r="I35" i="7"/>
  <c r="J34" i="7"/>
  <c r="K34" i="7" s="1"/>
  <c r="M35" i="7"/>
  <c r="H41" i="7"/>
  <c r="H39" i="6"/>
  <c r="K38" i="6"/>
  <c r="M40" i="6"/>
  <c r="P39" i="6"/>
  <c r="O35" i="4"/>
  <c r="R34" i="4"/>
  <c r="J34" i="4"/>
  <c r="M33" i="4"/>
  <c r="M37" i="3"/>
  <c r="P36" i="3"/>
  <c r="H35" i="3"/>
  <c r="K34" i="3"/>
  <c r="H41" i="12" l="1"/>
  <c r="K40" i="12"/>
  <c r="H41" i="10"/>
  <c r="K40" i="10"/>
  <c r="M38" i="10"/>
  <c r="P37" i="10"/>
  <c r="M37" i="8"/>
  <c r="P36" i="8"/>
  <c r="H42" i="8"/>
  <c r="K41" i="8"/>
  <c r="O35" i="7"/>
  <c r="P35" i="7" s="1"/>
  <c r="N36" i="7"/>
  <c r="J35" i="7"/>
  <c r="K35" i="7" s="1"/>
  <c r="I36" i="7"/>
  <c r="H42" i="7"/>
  <c r="M36" i="7"/>
  <c r="M41" i="6"/>
  <c r="P40" i="6"/>
  <c r="H40" i="6"/>
  <c r="K39" i="6"/>
  <c r="J35" i="4"/>
  <c r="M34" i="4"/>
  <c r="O36" i="4"/>
  <c r="R35" i="4"/>
  <c r="M38" i="3"/>
  <c r="P37" i="3"/>
  <c r="K35" i="3"/>
  <c r="H36" i="3"/>
  <c r="H42" i="12" l="1"/>
  <c r="K41" i="12"/>
  <c r="M39" i="10"/>
  <c r="P38" i="10"/>
  <c r="H42" i="10"/>
  <c r="K41" i="10"/>
  <c r="H43" i="8"/>
  <c r="K42" i="8"/>
  <c r="M38" i="8"/>
  <c r="P37" i="8"/>
  <c r="O36" i="7"/>
  <c r="P36" i="7" s="1"/>
  <c r="N37" i="7"/>
  <c r="J36" i="7"/>
  <c r="K36" i="7" s="1"/>
  <c r="I37" i="7"/>
  <c r="M37" i="7"/>
  <c r="H43" i="7"/>
  <c r="H41" i="6"/>
  <c r="K40" i="6"/>
  <c r="M42" i="6"/>
  <c r="P41" i="6"/>
  <c r="O37" i="4"/>
  <c r="R36" i="4"/>
  <c r="J36" i="4"/>
  <c r="M35" i="4"/>
  <c r="M39" i="3"/>
  <c r="P38" i="3"/>
  <c r="K36" i="3"/>
  <c r="H37" i="3"/>
  <c r="H43" i="12" l="1"/>
  <c r="K42" i="12"/>
  <c r="H43" i="10"/>
  <c r="K42" i="10"/>
  <c r="M40" i="10"/>
  <c r="P39" i="10"/>
  <c r="M39" i="8"/>
  <c r="P38" i="8"/>
  <c r="H44" i="8"/>
  <c r="K43" i="8"/>
  <c r="N38" i="7"/>
  <c r="O37" i="7"/>
  <c r="P37" i="7" s="1"/>
  <c r="I38" i="7"/>
  <c r="J37" i="7"/>
  <c r="K37" i="7" s="1"/>
  <c r="H44" i="7"/>
  <c r="M38" i="7"/>
  <c r="M43" i="6"/>
  <c r="P42" i="6"/>
  <c r="H42" i="6"/>
  <c r="K41" i="6"/>
  <c r="J37" i="4"/>
  <c r="M36" i="4"/>
  <c r="O38" i="4"/>
  <c r="R37" i="4"/>
  <c r="M40" i="3"/>
  <c r="P39" i="3"/>
  <c r="K37" i="3"/>
  <c r="H38" i="3"/>
  <c r="H44" i="12" l="1"/>
  <c r="K43" i="12"/>
  <c r="M41" i="10"/>
  <c r="P40" i="10"/>
  <c r="H44" i="10"/>
  <c r="K43" i="10"/>
  <c r="H45" i="8"/>
  <c r="K44" i="8"/>
  <c r="M40" i="8"/>
  <c r="P39" i="8"/>
  <c r="N39" i="7"/>
  <c r="O38" i="7"/>
  <c r="P38" i="7" s="1"/>
  <c r="I39" i="7"/>
  <c r="J38" i="7"/>
  <c r="K38" i="7" s="1"/>
  <c r="M39" i="7"/>
  <c r="H45" i="7"/>
  <c r="H43" i="6"/>
  <c r="K42" i="6"/>
  <c r="M44" i="6"/>
  <c r="P43" i="6"/>
  <c r="O39" i="4"/>
  <c r="R38" i="4"/>
  <c r="J38" i="4"/>
  <c r="M37" i="4"/>
  <c r="M41" i="3"/>
  <c r="P40" i="3"/>
  <c r="H39" i="3"/>
  <c r="K38" i="3"/>
  <c r="H45" i="12" l="1"/>
  <c r="K44" i="12"/>
  <c r="H45" i="10"/>
  <c r="K44" i="10"/>
  <c r="M42" i="10"/>
  <c r="P41" i="10"/>
  <c r="M41" i="8"/>
  <c r="P40" i="8"/>
  <c r="H46" i="8"/>
  <c r="K45" i="8"/>
  <c r="O39" i="7"/>
  <c r="N40" i="7"/>
  <c r="J39" i="7"/>
  <c r="K39" i="7" s="1"/>
  <c r="I40" i="7"/>
  <c r="H46" i="7"/>
  <c r="M40" i="7"/>
  <c r="P39" i="7"/>
  <c r="M45" i="6"/>
  <c r="P44" i="6"/>
  <c r="H44" i="6"/>
  <c r="K43" i="6"/>
  <c r="J39" i="4"/>
  <c r="M38" i="4"/>
  <c r="O40" i="4"/>
  <c r="R39" i="4"/>
  <c r="M42" i="3"/>
  <c r="P41" i="3"/>
  <c r="K39" i="3"/>
  <c r="H40" i="3"/>
  <c r="H46" i="12" l="1"/>
  <c r="K45" i="12"/>
  <c r="M43" i="10"/>
  <c r="P42" i="10"/>
  <c r="H46" i="10"/>
  <c r="K45" i="10"/>
  <c r="H47" i="8"/>
  <c r="K46" i="8"/>
  <c r="M42" i="8"/>
  <c r="P41" i="8"/>
  <c r="O40" i="7"/>
  <c r="N41" i="7"/>
  <c r="J40" i="7"/>
  <c r="K40" i="7" s="1"/>
  <c r="I41" i="7"/>
  <c r="M41" i="7"/>
  <c r="P40" i="7"/>
  <c r="H47" i="7"/>
  <c r="H45" i="6"/>
  <c r="K44" i="6"/>
  <c r="M46" i="6"/>
  <c r="P45" i="6"/>
  <c r="O41" i="4"/>
  <c r="R40" i="4"/>
  <c r="J40" i="4"/>
  <c r="M39" i="4"/>
  <c r="M43" i="3"/>
  <c r="P42" i="3"/>
  <c r="K40" i="3"/>
  <c r="H41" i="3"/>
  <c r="H47" i="12" l="1"/>
  <c r="K46" i="12"/>
  <c r="H47" i="10"/>
  <c r="K46" i="10"/>
  <c r="M44" i="10"/>
  <c r="P43" i="10"/>
  <c r="M43" i="8"/>
  <c r="P42" i="8"/>
  <c r="H48" i="8"/>
  <c r="K47" i="8"/>
  <c r="N42" i="7"/>
  <c r="O41" i="7"/>
  <c r="P41" i="7" s="1"/>
  <c r="I42" i="7"/>
  <c r="J41" i="7"/>
  <c r="K41" i="7" s="1"/>
  <c r="H48" i="7"/>
  <c r="M42" i="7"/>
  <c r="M47" i="6"/>
  <c r="P46" i="6"/>
  <c r="H46" i="6"/>
  <c r="K45" i="6"/>
  <c r="J41" i="4"/>
  <c r="M40" i="4"/>
  <c r="O42" i="4"/>
  <c r="R41" i="4"/>
  <c r="M44" i="3"/>
  <c r="P43" i="3"/>
  <c r="K41" i="3"/>
  <c r="H42" i="3"/>
  <c r="H48" i="12" l="1"/>
  <c r="K47" i="12"/>
  <c r="M45" i="10"/>
  <c r="P44" i="10"/>
  <c r="H48" i="10"/>
  <c r="K47" i="10"/>
  <c r="H49" i="8"/>
  <c r="K48" i="8"/>
  <c r="M44" i="8"/>
  <c r="P43" i="8"/>
  <c r="N43" i="7"/>
  <c r="O42" i="7"/>
  <c r="I43" i="7"/>
  <c r="J42" i="7"/>
  <c r="K42" i="7" s="1"/>
  <c r="M43" i="7"/>
  <c r="P42" i="7"/>
  <c r="H49" i="7"/>
  <c r="H47" i="6"/>
  <c r="K46" i="6"/>
  <c r="M48" i="6"/>
  <c r="P47" i="6"/>
  <c r="O43" i="4"/>
  <c r="R42" i="4"/>
  <c r="J42" i="4"/>
  <c r="M41" i="4"/>
  <c r="M45" i="3"/>
  <c r="P44" i="3"/>
  <c r="H43" i="3"/>
  <c r="K42" i="3"/>
  <c r="H49" i="12" l="1"/>
  <c r="K48" i="12"/>
  <c r="H49" i="10"/>
  <c r="K48" i="10"/>
  <c r="M46" i="10"/>
  <c r="P45" i="10"/>
  <c r="H50" i="8"/>
  <c r="K49" i="8"/>
  <c r="M45" i="8"/>
  <c r="P44" i="8"/>
  <c r="O43" i="7"/>
  <c r="N44" i="7"/>
  <c r="J43" i="7"/>
  <c r="K43" i="7" s="1"/>
  <c r="I44" i="7"/>
  <c r="H50" i="7"/>
  <c r="M44" i="7"/>
  <c r="P43" i="7"/>
  <c r="M49" i="6"/>
  <c r="P48" i="6"/>
  <c r="H48" i="6"/>
  <c r="K47" i="6"/>
  <c r="J43" i="4"/>
  <c r="M42" i="4"/>
  <c r="O44" i="4"/>
  <c r="R43" i="4"/>
  <c r="M46" i="3"/>
  <c r="P45" i="3"/>
  <c r="K43" i="3"/>
  <c r="H44" i="3"/>
  <c r="H50" i="12" l="1"/>
  <c r="K49" i="12"/>
  <c r="M47" i="10"/>
  <c r="P46" i="10"/>
  <c r="H50" i="10"/>
  <c r="K49" i="10"/>
  <c r="H51" i="8"/>
  <c r="K50" i="8"/>
  <c r="M46" i="8"/>
  <c r="P45" i="8"/>
  <c r="N45" i="7"/>
  <c r="O44" i="7"/>
  <c r="P44" i="7" s="1"/>
  <c r="J44" i="7"/>
  <c r="K44" i="7" s="1"/>
  <c r="I45" i="7"/>
  <c r="M45" i="7"/>
  <c r="H51" i="7"/>
  <c r="H49" i="6"/>
  <c r="K48" i="6"/>
  <c r="M50" i="6"/>
  <c r="P49" i="6"/>
  <c r="O45" i="4"/>
  <c r="R44" i="4"/>
  <c r="J44" i="4"/>
  <c r="M43" i="4"/>
  <c r="M47" i="3"/>
  <c r="P46" i="3"/>
  <c r="K44" i="3"/>
  <c r="H45" i="3"/>
  <c r="H51" i="12" l="1"/>
  <c r="K50" i="12"/>
  <c r="H51" i="10"/>
  <c r="K50" i="10"/>
  <c r="M48" i="10"/>
  <c r="P47" i="10"/>
  <c r="M47" i="8"/>
  <c r="P46" i="8"/>
  <c r="H52" i="8"/>
  <c r="K51" i="8"/>
  <c r="N46" i="7"/>
  <c r="O45" i="7"/>
  <c r="I46" i="7"/>
  <c r="J45" i="7"/>
  <c r="K45" i="7" s="1"/>
  <c r="H52" i="7"/>
  <c r="M46" i="7"/>
  <c r="P45" i="7"/>
  <c r="M51" i="6"/>
  <c r="P50" i="6"/>
  <c r="H50" i="6"/>
  <c r="K49" i="6"/>
  <c r="J45" i="4"/>
  <c r="M44" i="4"/>
  <c r="O46" i="4"/>
  <c r="R45" i="4"/>
  <c r="M48" i="3"/>
  <c r="P47" i="3"/>
  <c r="K45" i="3"/>
  <c r="H46" i="3"/>
  <c r="H52" i="12" l="1"/>
  <c r="K51" i="12"/>
  <c r="M49" i="10"/>
  <c r="P48" i="10"/>
  <c r="H52" i="10"/>
  <c r="K51" i="10"/>
  <c r="M48" i="8"/>
  <c r="P47" i="8"/>
  <c r="H53" i="8"/>
  <c r="K52" i="8"/>
  <c r="N47" i="7"/>
  <c r="O46" i="7"/>
  <c r="I47" i="7"/>
  <c r="J46" i="7"/>
  <c r="K46" i="7" s="1"/>
  <c r="M47" i="7"/>
  <c r="P46" i="7"/>
  <c r="H53" i="7"/>
  <c r="H51" i="6"/>
  <c r="K50" i="6"/>
  <c r="M52" i="6"/>
  <c r="P51" i="6"/>
  <c r="O47" i="4"/>
  <c r="R46" i="4"/>
  <c r="J46" i="4"/>
  <c r="M45" i="4"/>
  <c r="M49" i="3"/>
  <c r="P48" i="3"/>
  <c r="H47" i="3"/>
  <c r="K46" i="3"/>
  <c r="H53" i="12" l="1"/>
  <c r="K52" i="12"/>
  <c r="H53" i="10"/>
  <c r="K52" i="10"/>
  <c r="M50" i="10"/>
  <c r="P49" i="10"/>
  <c r="H54" i="8"/>
  <c r="K53" i="8"/>
  <c r="M49" i="8"/>
  <c r="P48" i="8"/>
  <c r="O47" i="7"/>
  <c r="P47" i="7" s="1"/>
  <c r="N48" i="7"/>
  <c r="J47" i="7"/>
  <c r="K47" i="7" s="1"/>
  <c r="I48" i="7"/>
  <c r="H54" i="7"/>
  <c r="M48" i="7"/>
  <c r="M53" i="6"/>
  <c r="P52" i="6"/>
  <c r="H52" i="6"/>
  <c r="K51" i="6"/>
  <c r="J47" i="4"/>
  <c r="M46" i="4"/>
  <c r="O48" i="4"/>
  <c r="R47" i="4"/>
  <c r="M50" i="3"/>
  <c r="P49" i="3"/>
  <c r="K47" i="3"/>
  <c r="H48" i="3"/>
  <c r="H54" i="12" l="1"/>
  <c r="K53" i="12"/>
  <c r="M51" i="10"/>
  <c r="P50" i="10"/>
  <c r="H54" i="10"/>
  <c r="K53" i="10"/>
  <c r="M50" i="8"/>
  <c r="P49" i="8"/>
  <c r="H55" i="8"/>
  <c r="K55" i="8" s="1"/>
  <c r="K54" i="8"/>
  <c r="O48" i="7"/>
  <c r="P48" i="7" s="1"/>
  <c r="N49" i="7"/>
  <c r="J48" i="7"/>
  <c r="K48" i="7" s="1"/>
  <c r="I49" i="7"/>
  <c r="M49" i="7"/>
  <c r="H55" i="7"/>
  <c r="H53" i="6"/>
  <c r="K52" i="6"/>
  <c r="M54" i="6"/>
  <c r="P53" i="6"/>
  <c r="O49" i="4"/>
  <c r="R48" i="4"/>
  <c r="J48" i="4"/>
  <c r="M47" i="4"/>
  <c r="M51" i="3"/>
  <c r="P50" i="3"/>
  <c r="K48" i="3"/>
  <c r="H49" i="3"/>
  <c r="H55" i="12" l="1"/>
  <c r="K55" i="12" s="1"/>
  <c r="K54" i="12"/>
  <c r="H55" i="10"/>
  <c r="K55" i="10" s="1"/>
  <c r="K54" i="10"/>
  <c r="M52" i="10"/>
  <c r="P51" i="10"/>
  <c r="F14" i="8"/>
  <c r="M51" i="8"/>
  <c r="P50" i="8"/>
  <c r="N50" i="7"/>
  <c r="O49" i="7"/>
  <c r="I50" i="7"/>
  <c r="J49" i="7"/>
  <c r="K49" i="7" s="1"/>
  <c r="M50" i="7"/>
  <c r="P49" i="7"/>
  <c r="M55" i="6"/>
  <c r="P55" i="6" s="1"/>
  <c r="P54" i="6"/>
  <c r="H54" i="6"/>
  <c r="K53" i="6"/>
  <c r="J49" i="4"/>
  <c r="M48" i="4"/>
  <c r="O50" i="4"/>
  <c r="R49" i="4"/>
  <c r="M52" i="3"/>
  <c r="P51" i="3"/>
  <c r="K49" i="3"/>
  <c r="H50" i="3"/>
  <c r="F29" i="12" l="1"/>
  <c r="F29" i="10"/>
  <c r="F39" i="10"/>
  <c r="F49" i="10"/>
  <c r="M53" i="10"/>
  <c r="P52" i="10"/>
  <c r="M52" i="8"/>
  <c r="P51" i="8"/>
  <c r="N51" i="7"/>
  <c r="O50" i="7"/>
  <c r="I51" i="7"/>
  <c r="J50" i="7"/>
  <c r="K50" i="7" s="1"/>
  <c r="M51" i="7"/>
  <c r="P50" i="7"/>
  <c r="H55" i="6"/>
  <c r="K55" i="6" s="1"/>
  <c r="K54" i="6"/>
  <c r="O51" i="4"/>
  <c r="R50" i="4"/>
  <c r="J50" i="4"/>
  <c r="M49" i="4"/>
  <c r="M53" i="3"/>
  <c r="P52" i="3"/>
  <c r="H51" i="3"/>
  <c r="K50" i="3"/>
  <c r="M54" i="10" l="1"/>
  <c r="P53" i="10"/>
  <c r="M53" i="8"/>
  <c r="P52" i="8"/>
  <c r="O51" i="7"/>
  <c r="P51" i="7" s="1"/>
  <c r="N52" i="7"/>
  <c r="J51" i="7"/>
  <c r="K51" i="7" s="1"/>
  <c r="I52" i="7"/>
  <c r="M52" i="7"/>
  <c r="J51" i="4"/>
  <c r="M50" i="4"/>
  <c r="O52" i="4"/>
  <c r="R51" i="4"/>
  <c r="M54" i="3"/>
  <c r="P53" i="3"/>
  <c r="K51" i="3"/>
  <c r="H52" i="3"/>
  <c r="M55" i="10" l="1"/>
  <c r="P55" i="10" s="1"/>
  <c r="P54" i="10"/>
  <c r="M54" i="8"/>
  <c r="P53" i="8"/>
  <c r="N53" i="7"/>
  <c r="O52" i="7"/>
  <c r="I53" i="7"/>
  <c r="J52" i="7"/>
  <c r="K52" i="7" s="1"/>
  <c r="M53" i="7"/>
  <c r="P52" i="7"/>
  <c r="O53" i="4"/>
  <c r="R52" i="4"/>
  <c r="J52" i="4"/>
  <c r="M51" i="4"/>
  <c r="M55" i="3"/>
  <c r="P55" i="3" s="1"/>
  <c r="P54" i="3"/>
  <c r="K52" i="3"/>
  <c r="H53" i="3"/>
  <c r="F30" i="10" l="1"/>
  <c r="F40" i="10"/>
  <c r="F50" i="10"/>
  <c r="M55" i="8"/>
  <c r="P55" i="8" s="1"/>
  <c r="F15" i="8" s="1"/>
  <c r="F20" i="8" s="1"/>
  <c r="P54" i="8"/>
  <c r="N54" i="7"/>
  <c r="O53" i="7"/>
  <c r="P53" i="7" s="1"/>
  <c r="I54" i="7"/>
  <c r="J53" i="7"/>
  <c r="K53" i="7" s="1"/>
  <c r="M54" i="7"/>
  <c r="J53" i="4"/>
  <c r="M52" i="4"/>
  <c r="O54" i="4"/>
  <c r="R53" i="4"/>
  <c r="F15" i="3"/>
  <c r="F20" i="3" s="1"/>
  <c r="K53" i="3"/>
  <c r="H54" i="3"/>
  <c r="N55" i="7" l="1"/>
  <c r="O55" i="7" s="1"/>
  <c r="O54" i="7"/>
  <c r="I55" i="7"/>
  <c r="J55" i="7" s="1"/>
  <c r="K55" i="7" s="1"/>
  <c r="J54" i="7"/>
  <c r="K54" i="7" s="1"/>
  <c r="M55" i="7"/>
  <c r="P54" i="7"/>
  <c r="O55" i="4"/>
  <c r="R55" i="4" s="1"/>
  <c r="R54" i="4"/>
  <c r="J54" i="4"/>
  <c r="M53" i="4"/>
  <c r="H55" i="3"/>
  <c r="K55" i="3" s="1"/>
  <c r="K54" i="3"/>
  <c r="P55" i="7" l="1"/>
  <c r="F30" i="7" s="1"/>
  <c r="F20" i="7"/>
  <c r="F50" i="7"/>
  <c r="F29" i="7"/>
  <c r="F19" i="7"/>
  <c r="F39" i="7"/>
  <c r="F49" i="7"/>
  <c r="J55" i="4"/>
  <c r="M55" i="4" s="1"/>
  <c r="M54" i="4"/>
  <c r="H20" i="4"/>
  <c r="F14" i="3"/>
  <c r="F40" i="7" l="1"/>
  <c r="H14" i="4"/>
  <c r="H19" i="4" s="1"/>
  <c r="C17" i="6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</calcChain>
</file>

<file path=xl/sharedStrings.xml><?xml version="1.0" encoding="utf-8"?>
<sst xmlns="http://schemas.openxmlformats.org/spreadsheetml/2006/main" count="270" uniqueCount="34">
  <si>
    <t>Company 1</t>
  </si>
  <si>
    <t>Company 2</t>
  </si>
  <si>
    <t>Company 3</t>
  </si>
  <si>
    <t>Benefit Type</t>
  </si>
  <si>
    <t>Key Plan Provisions</t>
  </si>
  <si>
    <t>401(k) Plan</t>
  </si>
  <si>
    <t>Cash Balance Plan</t>
  </si>
  <si>
    <t>Final Average Pay Plan</t>
  </si>
  <si>
    <t>Contribution varies by years of service -
0-5 years: 3%
5-10 years: 4%
10-15 years: 5%
15-20 years: 6%
20-25 years: 7%
25+ years: 8%</t>
  </si>
  <si>
    <t>Company matches 100% of the first 6% contributed by employee</t>
  </si>
  <si>
    <t>Pay Increase</t>
  </si>
  <si>
    <t>Investment Return</t>
  </si>
  <si>
    <t>Treasury Rates</t>
  </si>
  <si>
    <t>Age 65 Lump Sum Factor</t>
  </si>
  <si>
    <t>Current Age</t>
  </si>
  <si>
    <t>Retirement Age</t>
  </si>
  <si>
    <t>Current Salary</t>
  </si>
  <si>
    <t>1.5% per year of service (max 30), with pay including highest average 3 years</t>
  </si>
  <si>
    <t>Year</t>
  </si>
  <si>
    <t>Salary</t>
  </si>
  <si>
    <t>Age 65 Lump Sum Values</t>
  </si>
  <si>
    <t xml:space="preserve">A </t>
  </si>
  <si>
    <t>B</t>
  </si>
  <si>
    <t>C</t>
  </si>
  <si>
    <t>Annual Benefits</t>
  </si>
  <si>
    <t xml:space="preserve">A  </t>
  </si>
  <si>
    <t>Goal</t>
  </si>
  <si>
    <t>Contribution</t>
  </si>
  <si>
    <t>Age 22</t>
  </si>
  <si>
    <t>Age 32</t>
  </si>
  <si>
    <t>Age 42</t>
  </si>
  <si>
    <t>Age 52</t>
  </si>
  <si>
    <t>Male Life Expectancy</t>
  </si>
  <si>
    <t>Female 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</si>
</sst>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</numFmts>
  <fonts count="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/>
    <xf numFmtId="9" fontId="0" fillId="0" borderId="4" xfId="0" applyNumberFormat="1" applyBorder="1" applyAlignment="1">
      <alignment horizontal="right" vertical="center"/>
    </xf>
    <xf numFmtId="9" fontId="0" fillId="0" borderId="11" xfId="0" applyNumberFormat="1" applyBorder="1" applyAlignment="1">
      <alignment horizontal="right" vertical="center"/>
    </xf>
    <xf numFmtId="165" fontId="0" fillId="0" borderId="11" xfId="1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65" fontId="0" fillId="0" borderId="10" xfId="1" applyNumberFormat="1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65" fontId="0" fillId="0" borderId="4" xfId="1" applyNumberFormat="1" applyFont="1" applyBorder="1" applyAlignment="1">
      <alignment horizontal="right" vertical="center"/>
    </xf>
    <xf numFmtId="41" fontId="0" fillId="0" borderId="10" xfId="4" applyFont="1" applyBorder="1" applyAlignment="1">
      <alignment horizontal="right" vertical="center"/>
    </xf>
    <xf numFmtId="165" fontId="0" fillId="0" borderId="15" xfId="1" applyNumberFormat="1" applyFont="1" applyBorder="1" applyAlignment="1">
      <alignment horizontal="righ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4" fontId="0" fillId="0" borderId="0" xfId="5" applyFont="1"/>
    <xf numFmtId="164" fontId="0" fillId="0" borderId="0" xfId="0" applyNumberFormat="1"/>
    <xf numFmtId="9" fontId="0" fillId="0" borderId="0" xfId="0" applyNumberFormat="1" applyBorder="1" applyAlignment="1">
      <alignment horizontal="right" vertical="center"/>
    </xf>
    <xf numFmtId="165" fontId="0" fillId="0" borderId="0" xfId="1" applyNumberFormat="1" applyFont="1" applyBorder="1" applyAlignment="1">
      <alignment horizontal="right" vertical="center"/>
    </xf>
    <xf numFmtId="41" fontId="0" fillId="0" borderId="0" xfId="4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9" fontId="0" fillId="0" borderId="0" xfId="0" applyNumberFormat="1"/>
    <xf numFmtId="0" fontId="0" fillId="0" borderId="0" xfId="0" applyFont="1"/>
    <xf numFmtId="0" fontId="3" fillId="0" borderId="0" xfId="0" applyFont="1" applyAlignment="1">
      <alignment horizontal="center"/>
    </xf>
    <xf numFmtId="6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6">
    <cellStyle name="Comma" xfId="1" builtinId="3"/>
    <cellStyle name="Comma [0]" xfId="4" builtinId="6"/>
    <cellStyle name="Comma 2" xfId="3"/>
    <cellStyle name="Currency" xfId="5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Current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SensitivityAnalysis-CurrentAge'!$E$11,'SensitivityAnalysis-CurrentAge'!$E$13:$E$15,'SensitivityAnalysis-CurrentAge'!$E$21,'SensitivityAnalysis-CurrentAge'!$E$23:$E$25,'SensitivityAnalysis-CurrentAge'!$E$31,'SensitivityAnalysis-CurrentAge'!$E$33:$E$35,'SensitivityAnalysis-CurrentAge'!$E$41,'SensitivityAnalysis-CurrentAge'!$E$43:$E$45)</c:f>
              <c:strCache>
                <c:ptCount val="16"/>
                <c:pt idx="0">
                  <c:v>Age 22</c:v>
                </c:pt>
                <c:pt idx="1">
                  <c:v>A </c:v>
                </c:pt>
                <c:pt idx="2">
                  <c:v>B</c:v>
                </c:pt>
                <c:pt idx="3">
                  <c:v>C</c:v>
                </c:pt>
                <c:pt idx="4">
                  <c:v>Age 32</c:v>
                </c:pt>
                <c:pt idx="5">
                  <c:v>A </c:v>
                </c:pt>
                <c:pt idx="6">
                  <c:v>B</c:v>
                </c:pt>
                <c:pt idx="7">
                  <c:v>C</c:v>
                </c:pt>
                <c:pt idx="8">
                  <c:v>Age 42</c:v>
                </c:pt>
                <c:pt idx="9">
                  <c:v>A </c:v>
                </c:pt>
                <c:pt idx="10">
                  <c:v>B</c:v>
                </c:pt>
                <c:pt idx="11">
                  <c:v>C</c:v>
                </c:pt>
                <c:pt idx="12">
                  <c:v>Age 52</c:v>
                </c:pt>
                <c:pt idx="13">
                  <c:v>A </c:v>
                </c:pt>
                <c:pt idx="14">
                  <c:v>B</c:v>
                </c:pt>
                <c:pt idx="15">
                  <c:v>C</c:v>
                </c:pt>
              </c:strCache>
            </c:strRef>
          </c:cat>
          <c:val>
            <c:numRef>
              <c:f>('SensitivityAnalysis-CurrentAge'!$F$11,'SensitivityAnalysis-CurrentAge'!$F$13:$F$15,'SensitivityAnalysis-CurrentAge'!$F$21,'SensitivityAnalysis-CurrentAge'!$F$23:$F$25,'SensitivityAnalysis-CurrentAge'!$F$31,'SensitivityAnalysis-CurrentAge'!$F$33:$F$35,'SensitivityAnalysis-CurrentAge'!$F$41,'SensitivityAnalysis-CurrentAge'!$F$43:$F$45)</c:f>
              <c:numCache>
                <c:formatCode>_-"$"* #,##0.00_-;\-"$"* #,##0.00_-;_-"$"* "-"??_-;_-@_-</c:formatCode>
                <c:ptCount val="16"/>
                <c:pt idx="1">
                  <c:v>1482146.9938596215</c:v>
                </c:pt>
                <c:pt idx="2">
                  <c:v>1403662.6200416121</c:v>
                </c:pt>
                <c:pt idx="3">
                  <c:v>3103765.9767193445</c:v>
                </c:pt>
                <c:pt idx="5">
                  <c:v>1102856.5591134182</c:v>
                </c:pt>
                <c:pt idx="6">
                  <c:v>1172238.6869123399</c:v>
                </c:pt>
                <c:pt idx="7">
                  <c:v>2756630.0770254359</c:v>
                </c:pt>
                <c:pt idx="9">
                  <c:v>820628.85464023473</c:v>
                </c:pt>
                <c:pt idx="10">
                  <c:v>843298.74530127388</c:v>
                </c:pt>
                <c:pt idx="11">
                  <c:v>2248511.5164197017</c:v>
                </c:pt>
                <c:pt idx="13">
                  <c:v>610624.9371264677</c:v>
                </c:pt>
                <c:pt idx="14">
                  <c:v>469590.37183390697</c:v>
                </c:pt>
                <c:pt idx="15">
                  <c:v>1504755.3337266943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B-4EF6-857B-DB5671C13B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14861704"/>
        <c:axId val="514865968"/>
      </c:barChart>
      <c:catAx>
        <c:axId val="51486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5968"/>
        <c:crosses val="autoZero"/>
        <c:auto val="1"/>
        <c:lblAlgn val="ctr"/>
        <c:lblOffset val="100"/>
        <c:noMultiLvlLbl val="0"/>
      </c:catAx>
      <c:valAx>
        <c:axId val="5148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Current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'SensitivityAnalysis-CurrentPay'!$E$11,'SensitivityAnalysis-CurrentPay'!$E$13:$E$15,'SensitivityAnalysis-CurrentPay'!$E$21,'SensitivityAnalysis-CurrentPay'!$E$23:$E$25,'SensitivityAnalysis-CurrentPay'!$E$31,'SensitivityAnalysis-CurrentPay'!$E$33:$E$35,'SensitivityAnalysis-CurrentPay'!$E$41,'SensitivityAnalysis-CurrentPay'!$E$43:$E$45)</c:f>
              <c:strCache>
                <c:ptCount val="16"/>
                <c:pt idx="0">
                  <c:v>$50,000 </c:v>
                </c:pt>
                <c:pt idx="1">
                  <c:v>A </c:v>
                </c:pt>
                <c:pt idx="2">
                  <c:v>B</c:v>
                </c:pt>
                <c:pt idx="3">
                  <c:v>C</c:v>
                </c:pt>
                <c:pt idx="4">
                  <c:v>$70,000 </c:v>
                </c:pt>
                <c:pt idx="5">
                  <c:v>A </c:v>
                </c:pt>
                <c:pt idx="6">
                  <c:v>B</c:v>
                </c:pt>
                <c:pt idx="7">
                  <c:v>C</c:v>
                </c:pt>
                <c:pt idx="8">
                  <c:v>$100,000 </c:v>
                </c:pt>
                <c:pt idx="9">
                  <c:v>A </c:v>
                </c:pt>
                <c:pt idx="10">
                  <c:v>B</c:v>
                </c:pt>
                <c:pt idx="11">
                  <c:v>C</c:v>
                </c:pt>
                <c:pt idx="12">
                  <c:v>$150,000 </c:v>
                </c:pt>
                <c:pt idx="13">
                  <c:v>A </c:v>
                </c:pt>
                <c:pt idx="14">
                  <c:v>B</c:v>
                </c:pt>
                <c:pt idx="15">
                  <c:v>C</c:v>
                </c:pt>
              </c:strCache>
            </c:strRef>
          </c:cat>
          <c:val>
            <c:numRef>
              <c:f>('SensitivityAnalysis-CurrentPay'!$F$11,'SensitivityAnalysis-CurrentPay'!$F$13:$F$15,'SensitivityAnalysis-CurrentPay'!$F$21,'SensitivityAnalysis-CurrentPay'!$F$23:$F$25,'SensitivityAnalysis-CurrentPay'!$F$31,'SensitivityAnalysis-CurrentPay'!$F$33:$F$35,'SensitivityAnalysis-CurrentPay'!$F$41,'SensitivityAnalysis-CurrentPay'!$F$43:$F$45)</c:f>
              <c:numCache>
                <c:formatCode>General</c:formatCode>
                <c:ptCount val="16"/>
                <c:pt idx="1">
                  <c:v>1058676.4241854448</c:v>
                </c:pt>
                <c:pt idx="2">
                  <c:v>1002616.1571725806</c:v>
                </c:pt>
                <c:pt idx="3">
                  <c:v>2216975.6976566748</c:v>
                </c:pt>
                <c:pt idx="5">
                  <c:v>1482146.9938596215</c:v>
                </c:pt>
                <c:pt idx="6">
                  <c:v>1403662.6200416121</c:v>
                </c:pt>
                <c:pt idx="7">
                  <c:v>3103765.9767193445</c:v>
                </c:pt>
                <c:pt idx="9">
                  <c:v>2117352.8483708897</c:v>
                </c:pt>
                <c:pt idx="10">
                  <c:v>2005232.3143451612</c:v>
                </c:pt>
                <c:pt idx="11">
                  <c:v>4433951.3953133496</c:v>
                </c:pt>
                <c:pt idx="13">
                  <c:v>3176029.2725563343</c:v>
                </c:pt>
                <c:pt idx="14">
                  <c:v>3007848.4715177417</c:v>
                </c:pt>
                <c:pt idx="15">
                  <c:v>6650927.0929700248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4-4911-A833-31C73F39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48651288"/>
        <c:axId val="448663096"/>
      </c:barChart>
      <c:catAx>
        <c:axId val="44865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63096"/>
        <c:crosses val="autoZero"/>
        <c:auto val="1"/>
        <c:lblAlgn val="ctr"/>
        <c:lblOffset val="100"/>
        <c:noMultiLvlLbl val="0"/>
      </c:catAx>
      <c:valAx>
        <c:axId val="44866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5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</a:t>
            </a:r>
            <a:r>
              <a:rPr lang="en-US" baseline="0"/>
              <a:t>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'SensitivityAnalysis-Mortality'!$E$11</c:f>
              <c:strCache>
                <c:ptCount val="1"/>
                <c:pt idx="0">
                  <c:v>Male Life Expectancy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'SensitivityAnalysis-Mortality'!$G$34</c:f>
              <c:numCache>
                <c:formatCode>General</c:formatCode>
                <c:ptCount val="1"/>
              </c:numCache>
            </c:numRef>
          </c:cat>
          <c:val>
            <c:numRef>
              <c:f>'SensitivityAnalysis-Mortality'!$F$11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28B-4629-8672-1789126A3A51}"/>
            </c:ext>
          </c:extLst>
        </c:ser>
        <c:ser>
          <c:idx val="1"/>
          <c:order val="1"/>
          <c:tx>
            <c:strRef>
              <c:f>'SensitivityAnalysis-Mortality'!$E$18</c:f>
              <c:strCache>
                <c:ptCount val="1"/>
                <c:pt idx="0">
                  <c:v>A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8B-4629-8672-1789126A3A51}"/>
              </c:ext>
            </c:extLst>
          </c:dPt>
          <c:cat>
            <c:numRef>
              <c:f>'SensitivityAnalysis-Mortality'!$G$34</c:f>
              <c:numCache>
                <c:formatCode>General</c:formatCode>
                <c:ptCount val="1"/>
              </c:numCache>
            </c:numRef>
          </c:cat>
          <c:val>
            <c:numRef>
              <c:f>'SensitivityAnalysis-Mortality'!$F$18</c:f>
              <c:numCache>
                <c:formatCode>_-"$"* #,##0.00_-;\-"$"* #,##0.00_-;_-"$"* "-"??_-;_-@_-</c:formatCode>
                <c:ptCount val="1"/>
                <c:pt idx="0">
                  <c:v>105867.64241854439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B-4629-8672-1789126A3A51}"/>
            </c:ext>
          </c:extLst>
        </c:ser>
        <c:ser>
          <c:idx val="2"/>
          <c:order val="2"/>
          <c:tx>
            <c:strRef>
              <c:f>'SensitivityAnalysis-Mortality'!$E$19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'SensitivityAnalysis-Mortality'!$G$34</c:f>
              <c:numCache>
                <c:formatCode>General</c:formatCode>
                <c:ptCount val="1"/>
              </c:numCache>
            </c:numRef>
          </c:cat>
          <c:val>
            <c:numRef>
              <c:f>'SensitivityAnalysis-Mortality'!$F$19</c:f>
              <c:numCache>
                <c:formatCode>_-"$"* #,##0.00_-;\-"$"* #,##0.00_-;_-"$"* "-"??_-;_-@_-</c:formatCode>
                <c:ptCount val="1"/>
                <c:pt idx="0">
                  <c:v>127772.40265095657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B-4629-8672-1789126A3A51}"/>
            </c:ext>
          </c:extLst>
        </c:ser>
        <c:ser>
          <c:idx val="3"/>
          <c:order val="3"/>
          <c:tx>
            <c:strRef>
              <c:f>'SensitivityAnalysis-Mortality'!$E$20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'SensitivityAnalysis-Mortality'!$G$34</c:f>
              <c:numCache>
                <c:formatCode>General</c:formatCode>
                <c:ptCount val="1"/>
              </c:numCache>
            </c:numRef>
          </c:cat>
          <c:val>
            <c:numRef>
              <c:f>'SensitivityAnalysis-Mortality'!$F$20</c:f>
              <c:numCache>
                <c:formatCode>_-"$"* #,##0.00_-;\-"$"* #,##0.00_-;_-"$"* "-"??_-;_-@_-</c:formatCode>
                <c:ptCount val="1"/>
                <c:pt idx="0">
                  <c:v>282529.17079174408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8B-4629-8672-1789126A3A51}"/>
            </c:ext>
          </c:extLst>
        </c:ser>
        <c:ser>
          <c:idx val="4"/>
          <c:order val="4"/>
          <c:tx>
            <c:strRef>
              <c:f>'SensitivityAnalysis-Mortality'!$E$21</c:f>
              <c:strCache>
                <c:ptCount val="1"/>
                <c:pt idx="0">
                  <c:v>Female Life Expectancy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'SensitivityAnalysis-Mortality'!$G$34</c:f>
              <c:numCache>
                <c:formatCode>General</c:formatCode>
                <c:ptCount val="1"/>
              </c:numCache>
            </c:numRef>
          </c:cat>
          <c:val>
            <c:numRef>
              <c:f>'SensitivityAnalysis-Mortality'!$F$21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228B-4629-8672-1789126A3A51}"/>
            </c:ext>
          </c:extLst>
        </c:ser>
        <c:ser>
          <c:idx val="5"/>
          <c:order val="5"/>
          <c:tx>
            <c:strRef>
              <c:f>'SensitivityAnalysis-Mortality'!$E$28</c:f>
              <c:strCache>
                <c:ptCount val="1"/>
                <c:pt idx="0">
                  <c:v>A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'SensitivityAnalysis-Mortality'!$G$34</c:f>
              <c:numCache>
                <c:formatCode>General</c:formatCode>
                <c:ptCount val="1"/>
              </c:numCache>
            </c:numRef>
          </c:cat>
          <c:val>
            <c:numRef>
              <c:f>'SensitivityAnalysis-Mortality'!$F$28</c:f>
              <c:numCache>
                <c:formatCode>_-"$"* #,##0.00_-;\-"$"* #,##0.00_-;_-"$"* "-"??_-;_-@_-</c:formatCode>
                <c:ptCount val="1"/>
                <c:pt idx="0">
                  <c:v>105867.64241854439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8B-4629-8672-1789126A3A51}"/>
            </c:ext>
          </c:extLst>
        </c:ser>
        <c:ser>
          <c:idx val="6"/>
          <c:order val="6"/>
          <c:tx>
            <c:strRef>
              <c:f>'SensitivityAnalysis-Mortality'!$E$29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'SensitivityAnalysis-Mortality'!$G$34</c:f>
              <c:numCache>
                <c:formatCode>General</c:formatCode>
                <c:ptCount val="1"/>
              </c:numCache>
            </c:numRef>
          </c:cat>
          <c:val>
            <c:numRef>
              <c:f>'SensitivityAnalysis-Mortality'!$F$29</c:f>
              <c:numCache>
                <c:formatCode>_-"$"* #,##0.00_-;\-"$"* #,##0.00_-;_-"$"* "-"??_-;_-@_-</c:formatCode>
                <c:ptCount val="1"/>
                <c:pt idx="0">
                  <c:v>115829.15861524647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8B-4629-8672-1789126A3A51}"/>
            </c:ext>
          </c:extLst>
        </c:ser>
        <c:ser>
          <c:idx val="7"/>
          <c:order val="7"/>
          <c:tx>
            <c:strRef>
              <c:f>'SensitivityAnalysis-Mortality'!$E$30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'SensitivityAnalysis-Mortality'!$G$34</c:f>
              <c:numCache>
                <c:formatCode>General</c:formatCode>
                <c:ptCount val="1"/>
              </c:numCache>
            </c:numRef>
          </c:cat>
          <c:val>
            <c:numRef>
              <c:f>'SensitivityAnalysis-Mortality'!$F$30</c:f>
              <c:numCache>
                <c:formatCode>_-"$"* #,##0.00_-;\-"$"* #,##0.00_-;_-"$"* "-"??_-;_-@_-</c:formatCode>
                <c:ptCount val="1"/>
                <c:pt idx="0">
                  <c:v>256120.378564596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8B-4629-8672-1789126A3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72856"/>
        <c:axId val="514871216"/>
      </c:barChart>
      <c:catAx>
        <c:axId val="51487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71216"/>
        <c:crosses val="autoZero"/>
        <c:auto val="1"/>
        <c:lblAlgn val="ctr"/>
        <c:lblOffset val="100"/>
        <c:noMultiLvlLbl val="0"/>
      </c:catAx>
      <c:valAx>
        <c:axId val="5148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7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Investment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('SensitivityAnalysis-IR'!$E$11,'SensitivityAnalysis-IR'!$E$14:$E$15,'SensitivityAnalysis-IR'!$E$21,'SensitivityAnalysis-IR'!$E$24:$E$25,'SensitivityAnalysis-IR'!$E$31,'SensitivityAnalysis-IR'!$E$34:$E$35,'SensitivityAnalysis-IR'!$E$41,'SensitivityAnalysis-IR'!$E$44:$E$45)</c:f>
              <c:strCache>
                <c:ptCount val="12"/>
                <c:pt idx="0">
                  <c:v>6%</c:v>
                </c:pt>
                <c:pt idx="1">
                  <c:v>B</c:v>
                </c:pt>
                <c:pt idx="2">
                  <c:v>C</c:v>
                </c:pt>
                <c:pt idx="3">
                  <c:v>7%</c:v>
                </c:pt>
                <c:pt idx="4">
                  <c:v>B</c:v>
                </c:pt>
                <c:pt idx="5">
                  <c:v>C</c:v>
                </c:pt>
                <c:pt idx="6">
                  <c:v>8%</c:v>
                </c:pt>
                <c:pt idx="7">
                  <c:v>B</c:v>
                </c:pt>
                <c:pt idx="8">
                  <c:v>C</c:v>
                </c:pt>
                <c:pt idx="9">
                  <c:v>9%</c:v>
                </c:pt>
                <c:pt idx="10">
                  <c:v>B</c:v>
                </c:pt>
                <c:pt idx="11">
                  <c:v>C</c:v>
                </c:pt>
              </c:strCache>
            </c:strRef>
          </c:cat>
          <c:val>
            <c:numRef>
              <c:f>('SensitivityAnalysis-IR'!$F$11,'SensitivityAnalysis-IR'!$F$14:$F$15,'SensitivityAnalysis-IR'!$F$21,'SensitivityAnalysis-IR'!$F$24:$F$25,'SensitivityAnalysis-IR'!$F$31,'SensitivityAnalysis-IR'!$F$34:$F$35,'SensitivityAnalysis-IR'!$F$41,'SensitivityAnalysis-IR'!$F$44:$F$45)</c:f>
              <c:numCache>
                <c:formatCode>General</c:formatCode>
                <c:ptCount val="12"/>
                <c:pt idx="1">
                  <c:v>1140528.3017806245</c:v>
                </c:pt>
                <c:pt idx="2">
                  <c:v>2432062.6019945336</c:v>
                </c:pt>
                <c:pt idx="4">
                  <c:v>1403662.6200416121</c:v>
                </c:pt>
                <c:pt idx="5">
                  <c:v>3103765.9767193445</c:v>
                </c:pt>
                <c:pt idx="7">
                  <c:v>1744724.5415978385</c:v>
                </c:pt>
                <c:pt idx="8">
                  <c:v>3998756.7737777499</c:v>
                </c:pt>
                <c:pt idx="10">
                  <c:v>2189062.5605983972</c:v>
                </c:pt>
                <c:pt idx="11">
                  <c:v>5195623.0301863933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6-4023-9F7F-2E13A461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0925376"/>
        <c:axId val="510918160"/>
      </c:barChart>
      <c:catAx>
        <c:axId val="510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18160"/>
        <c:crosses val="autoZero"/>
        <c:auto val="1"/>
        <c:lblAlgn val="ctr"/>
        <c:lblOffset val="100"/>
        <c:noMultiLvlLbl val="0"/>
      </c:catAx>
      <c:valAx>
        <c:axId val="5109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2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401(k)</a:t>
            </a:r>
            <a:r>
              <a:rPr lang="en-US" baseline="0"/>
              <a:t> 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'SensitivityAnalysis-DiscreSpend'!$E$11,'SensitivityAnalysis-DiscreSpend'!$E$15,'SensitivityAnalysis-DiscreSpend'!$E$21,'SensitivityAnalysis-DiscreSpend'!$E$25,'SensitivityAnalysis-DiscreSpend'!$E$31,'SensitivityAnalysis-DiscreSpend'!$E$35,'SensitivityAnalysis-DiscreSpend'!$E$41,'SensitivityAnalysis-DiscreSpend'!$E$45)</c:f>
              <c:strCache>
                <c:ptCount val="8"/>
                <c:pt idx="0">
                  <c:v>5%</c:v>
                </c:pt>
                <c:pt idx="1">
                  <c:v>C</c:v>
                </c:pt>
                <c:pt idx="2">
                  <c:v>6%</c:v>
                </c:pt>
                <c:pt idx="3">
                  <c:v>C</c:v>
                </c:pt>
                <c:pt idx="4">
                  <c:v>7%</c:v>
                </c:pt>
                <c:pt idx="5">
                  <c:v>C</c:v>
                </c:pt>
                <c:pt idx="6">
                  <c:v>8%</c:v>
                </c:pt>
                <c:pt idx="7">
                  <c:v>C</c:v>
                </c:pt>
              </c:strCache>
            </c:strRef>
          </c:cat>
          <c:val>
            <c:numRef>
              <c:f>('SensitivityAnalysis-DiscreSpend'!$F$11,'SensitivityAnalysis-DiscreSpend'!$F$15,'SensitivityAnalysis-DiscreSpend'!$F$21,'SensitivityAnalysis-DiscreSpend'!$F$25,'SensitivityAnalysis-DiscreSpend'!$F$31,'SensitivityAnalysis-DiscreSpend'!$F$35,'SensitivityAnalysis-DiscreSpend'!$F$41,'SensitivityAnalysis-DiscreSpend'!$F$45)</c:f>
              <c:numCache>
                <c:formatCode>General</c:formatCode>
                <c:ptCount val="8"/>
                <c:pt idx="1">
                  <c:v>2586471.6472661202</c:v>
                </c:pt>
                <c:pt idx="3">
                  <c:v>3103765.9767193445</c:v>
                </c:pt>
                <c:pt idx="5">
                  <c:v>3362413.1414459562</c:v>
                </c:pt>
                <c:pt idx="7">
                  <c:v>3621060.3061725693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4-4DE6-80EA-0EE5B916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9196920"/>
        <c:axId val="509196264"/>
      </c:barChart>
      <c:catAx>
        <c:axId val="5091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6264"/>
        <c:crosses val="autoZero"/>
        <c:auto val="1"/>
        <c:lblAlgn val="ctr"/>
        <c:lblOffset val="100"/>
        <c:noMultiLvlLbl val="0"/>
      </c:catAx>
      <c:valAx>
        <c:axId val="5091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55</xdr:row>
      <xdr:rowOff>152400</xdr:rowOff>
    </xdr:from>
    <xdr:to>
      <xdr:col>8</xdr:col>
      <xdr:colOff>247650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0E536-B105-4F49-B399-34F45AAB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56</xdr:row>
      <xdr:rowOff>146050</xdr:rowOff>
    </xdr:from>
    <xdr:to>
      <xdr:col>8</xdr:col>
      <xdr:colOff>238125</xdr:colOff>
      <xdr:row>74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983161-9538-448E-800A-64676E6CB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56</xdr:row>
      <xdr:rowOff>12700</xdr:rowOff>
    </xdr:from>
    <xdr:to>
      <xdr:col>8</xdr:col>
      <xdr:colOff>244475</xdr:colOff>
      <xdr:row>73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DAC72-32BE-4003-8B04-F9CF4D732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55</xdr:row>
      <xdr:rowOff>146050</xdr:rowOff>
    </xdr:from>
    <xdr:to>
      <xdr:col>8</xdr:col>
      <xdr:colOff>238125</xdr:colOff>
      <xdr:row>73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BF55F-8F94-459B-AAE0-6D9AE45B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612775</xdr:colOff>
      <xdr:row>56</xdr:row>
      <xdr:rowOff>31750</xdr:rowOff>
    </xdr:from>
    <xdr:to>
      <xdr:col>10</xdr:col>
      <xdr:colOff>66675</xdr:colOff>
      <xdr:row>73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E28142-3F33-42C6-BF3C-7C56EB03E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3" sqref="D13"/>
    </sheetView>
  </sheetViews>
  <sheetFormatPr baseColWidth="10" defaultColWidth="9.33203125" defaultRowHeight="13" x14ac:dyDescent="0.15"/>
  <cols>
    <col min="1" max="1" width="9.33203125" style="3"/>
    <col min="2" max="2" width="20.6640625" style="1" customWidth="1"/>
    <col min="3" max="5" width="31.83203125" style="3" customWidth="1"/>
    <col min="6" max="16384" width="9.33203125" style="3"/>
  </cols>
  <sheetData>
    <row r="1" spans="1:8" s="1" customFormat="1" ht="28" customHeight="1" thickBot="1" x14ac:dyDescent="0.2">
      <c r="A1" s="3"/>
      <c r="C1" s="3"/>
      <c r="D1" s="3"/>
      <c r="E1" s="3"/>
      <c r="F1" s="3"/>
      <c r="G1" s="3"/>
      <c r="H1" s="3"/>
    </row>
    <row r="2" spans="1:8" ht="28" customHeight="1" thickBot="1" x14ac:dyDescent="0.2">
      <c r="A2" s="1"/>
      <c r="B2" s="13"/>
      <c r="C2" s="6" t="s">
        <v>0</v>
      </c>
      <c r="D2" s="6" t="s">
        <v>1</v>
      </c>
      <c r="E2" s="7" t="s">
        <v>2</v>
      </c>
      <c r="F2" s="1"/>
      <c r="G2" s="1"/>
      <c r="H2" s="1"/>
    </row>
    <row r="3" spans="1:8" ht="107" customHeight="1" x14ac:dyDescent="0.15">
      <c r="B3" s="8" t="s">
        <v>3</v>
      </c>
      <c r="C3" s="5" t="s">
        <v>7</v>
      </c>
      <c r="D3" s="5" t="s">
        <v>6</v>
      </c>
      <c r="E3" s="9" t="s">
        <v>5</v>
      </c>
    </row>
    <row r="4" spans="1:8" ht="92" thickBot="1" x14ac:dyDescent="0.2">
      <c r="B4" s="10" t="s">
        <v>4</v>
      </c>
      <c r="C4" s="11" t="s">
        <v>17</v>
      </c>
      <c r="D4" s="11" t="s">
        <v>8</v>
      </c>
      <c r="E4" s="12" t="s">
        <v>9</v>
      </c>
    </row>
    <row r="5" spans="1:8" x14ac:dyDescent="0.15">
      <c r="C5" s="2"/>
      <c r="D5" s="2"/>
      <c r="E5" s="2"/>
    </row>
    <row r="6" spans="1:8" x14ac:dyDescent="0.15">
      <c r="C6" s="2"/>
      <c r="D6" s="2"/>
      <c r="E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7"/>
  <sheetViews>
    <sheetView workbookViewId="0">
      <selection activeCell="P58" sqref="P58"/>
    </sheetView>
  </sheetViews>
  <sheetFormatPr baseColWidth="10" defaultColWidth="8.83203125" defaultRowHeight="13" x14ac:dyDescent="0.15"/>
  <cols>
    <col min="2" max="2" width="23.5" customWidth="1"/>
    <col min="3" max="3" width="12.1640625" bestFit="1" customWidth="1"/>
    <col min="6" max="6" width="14.6640625" bestFit="1" customWidth="1"/>
    <col min="9" max="9" width="12.1640625" bestFit="1" customWidth="1"/>
    <col min="10" max="11" width="11.1640625" bestFit="1" customWidth="1"/>
    <col min="14" max="14" width="12.1640625" bestFit="1" customWidth="1"/>
    <col min="15" max="15" width="11.1640625" bestFit="1" customWidth="1"/>
    <col min="16" max="16" width="13.6640625" bestFit="1" customWidth="1"/>
  </cols>
  <sheetData>
    <row r="1" spans="2:16" ht="14" thickBot="1" x14ac:dyDescent="0.2">
      <c r="B1" s="4"/>
    </row>
    <row r="2" spans="2:16" x14ac:dyDescent="0.15">
      <c r="B2" s="23" t="s">
        <v>10</v>
      </c>
      <c r="C2" s="14">
        <v>0.03</v>
      </c>
    </row>
    <row r="3" spans="2:16" x14ac:dyDescent="0.15">
      <c r="B3" s="24" t="s">
        <v>11</v>
      </c>
      <c r="C3" s="15">
        <v>7.0000000000000007E-2</v>
      </c>
    </row>
    <row r="4" spans="2:16" x14ac:dyDescent="0.15">
      <c r="B4" s="24" t="s">
        <v>12</v>
      </c>
      <c r="C4" s="15">
        <v>0.04</v>
      </c>
    </row>
    <row r="5" spans="2:16" ht="14" thickBot="1" x14ac:dyDescent="0.2">
      <c r="B5" s="25" t="s">
        <v>13</v>
      </c>
      <c r="C5" s="18">
        <v>14</v>
      </c>
    </row>
    <row r="6" spans="2:16" ht="14" thickBot="1" x14ac:dyDescent="0.2">
      <c r="B6" s="19"/>
      <c r="C6" s="16"/>
    </row>
    <row r="7" spans="2:16" x14ac:dyDescent="0.15">
      <c r="B7" s="23" t="s">
        <v>14</v>
      </c>
      <c r="C7" s="20">
        <v>22</v>
      </c>
    </row>
    <row r="8" spans="2:16" ht="14" thickBot="1" x14ac:dyDescent="0.2">
      <c r="B8" s="25" t="s">
        <v>15</v>
      </c>
      <c r="C8" s="21">
        <v>65</v>
      </c>
    </row>
    <row r="9" spans="2:16" ht="14" thickBot="1" x14ac:dyDescent="0.2">
      <c r="B9" s="19"/>
      <c r="C9" s="17"/>
    </row>
    <row r="10" spans="2:16" ht="14" thickBot="1" x14ac:dyDescent="0.2">
      <c r="B10" s="26" t="s">
        <v>16</v>
      </c>
      <c r="C10" s="22">
        <v>70000</v>
      </c>
    </row>
    <row r="11" spans="2:16" x14ac:dyDescent="0.15">
      <c r="B11" s="4"/>
    </row>
    <row r="12" spans="2:16" x14ac:dyDescent="0.15">
      <c r="B12" s="27" t="s">
        <v>18</v>
      </c>
      <c r="C12" s="1" t="s">
        <v>19</v>
      </c>
      <c r="E12" s="1" t="s">
        <v>20</v>
      </c>
      <c r="H12" s="27" t="s">
        <v>18</v>
      </c>
      <c r="I12" s="1" t="s">
        <v>19</v>
      </c>
      <c r="M12" s="1" t="s">
        <v>18</v>
      </c>
      <c r="N12" s="1" t="s">
        <v>19</v>
      </c>
    </row>
    <row r="13" spans="2:16" x14ac:dyDescent="0.15">
      <c r="B13">
        <f>1</f>
        <v>1</v>
      </c>
      <c r="C13" s="28">
        <f>C$10</f>
        <v>70000</v>
      </c>
      <c r="E13" t="s">
        <v>21</v>
      </c>
      <c r="F13" s="29">
        <f>(AVERAGE(C54:C56)*0.015*30)*14</f>
        <v>1503941.1576536363</v>
      </c>
      <c r="H13">
        <v>1</v>
      </c>
      <c r="I13" s="28">
        <v>70000</v>
      </c>
      <c r="J13" s="29">
        <f>I13*3%</f>
        <v>2100</v>
      </c>
      <c r="K13" s="28">
        <f>J13*(1+$C$3)^(43-H13)</f>
        <v>36002.939238226885</v>
      </c>
      <c r="M13">
        <v>1</v>
      </c>
      <c r="N13" s="28">
        <v>70000</v>
      </c>
      <c r="O13" s="29">
        <f>N13*12%</f>
        <v>8400</v>
      </c>
      <c r="P13" s="28">
        <f>O13*(1+$C$3)^(43-M13)</f>
        <v>144011.75695290754</v>
      </c>
    </row>
    <row r="14" spans="2:16" x14ac:dyDescent="0.15">
      <c r="B14">
        <f>B13+1</f>
        <v>2</v>
      </c>
      <c r="C14" s="28">
        <f>C13*(1+$C$2)</f>
        <v>72100</v>
      </c>
      <c r="E14" t="s">
        <v>22</v>
      </c>
      <c r="F14" s="29">
        <f>SUM(K13:K55)</f>
        <v>1403662.6200416121</v>
      </c>
      <c r="H14">
        <f>H13+1</f>
        <v>2</v>
      </c>
      <c r="I14" s="28">
        <v>72100</v>
      </c>
      <c r="J14" s="29">
        <f t="shared" ref="J14:J17" si="0">I14*3%</f>
        <v>2163</v>
      </c>
      <c r="K14" s="28">
        <f t="shared" ref="K14:K55" si="1">J14*(1+$C$3)^(43-H14)</f>
        <v>34657.034967638967</v>
      </c>
      <c r="M14">
        <f>M13+1</f>
        <v>2</v>
      </c>
      <c r="N14" s="28">
        <v>72100</v>
      </c>
      <c r="O14" s="29">
        <f t="shared" ref="O14:O55" si="2">N14*12%</f>
        <v>8652</v>
      </c>
      <c r="P14" s="28">
        <f t="shared" ref="P14:P55" si="3">O14*(1+$C$3)^(43-M14)</f>
        <v>138628.13987055587</v>
      </c>
    </row>
    <row r="15" spans="2:16" x14ac:dyDescent="0.15">
      <c r="B15">
        <f t="shared" ref="B15:B55" si="4">B14+1</f>
        <v>3</v>
      </c>
      <c r="C15" s="28">
        <f t="shared" ref="C15:C55" si="5">C14*(1+$C$2)</f>
        <v>74263</v>
      </c>
      <c r="E15" t="s">
        <v>23</v>
      </c>
      <c r="F15" s="29">
        <f>SUM(P13:P55)</f>
        <v>3103765.9767193445</v>
      </c>
      <c r="H15">
        <f t="shared" ref="H15:H55" si="6">H14+1</f>
        <v>3</v>
      </c>
      <c r="I15" s="28">
        <v>74263</v>
      </c>
      <c r="J15" s="29">
        <f t="shared" si="0"/>
        <v>2227.89</v>
      </c>
      <c r="K15" s="28">
        <f t="shared" si="1"/>
        <v>33361.444875390778</v>
      </c>
      <c r="M15">
        <f t="shared" ref="M15:M55" si="7">M14+1</f>
        <v>3</v>
      </c>
      <c r="N15" s="28">
        <v>74263</v>
      </c>
      <c r="O15" s="29">
        <f t="shared" si="2"/>
        <v>8911.56</v>
      </c>
      <c r="P15" s="28">
        <f t="shared" si="3"/>
        <v>133445.77950156311</v>
      </c>
    </row>
    <row r="16" spans="2:16" x14ac:dyDescent="0.15">
      <c r="B16">
        <f t="shared" si="4"/>
        <v>4</v>
      </c>
      <c r="C16" s="28">
        <f t="shared" si="5"/>
        <v>76490.89</v>
      </c>
      <c r="H16">
        <f t="shared" si="6"/>
        <v>4</v>
      </c>
      <c r="I16" s="28">
        <v>76490.89</v>
      </c>
      <c r="J16" s="29">
        <f t="shared" si="0"/>
        <v>2294.7266999999997</v>
      </c>
      <c r="K16" s="28">
        <f t="shared" si="1"/>
        <v>32114.28805761916</v>
      </c>
      <c r="M16">
        <f t="shared" si="7"/>
        <v>4</v>
      </c>
      <c r="N16" s="28">
        <v>76490.89</v>
      </c>
      <c r="O16" s="29">
        <f t="shared" si="2"/>
        <v>9178.9067999999988</v>
      </c>
      <c r="P16" s="28">
        <f t="shared" si="3"/>
        <v>128457.15223047664</v>
      </c>
    </row>
    <row r="17" spans="2:16" x14ac:dyDescent="0.15">
      <c r="B17">
        <f t="shared" si="4"/>
        <v>5</v>
      </c>
      <c r="C17" s="28">
        <f t="shared" si="5"/>
        <v>78785.616699999999</v>
      </c>
      <c r="E17" s="1" t="s">
        <v>24</v>
      </c>
      <c r="H17">
        <f t="shared" si="6"/>
        <v>5</v>
      </c>
      <c r="I17" s="28">
        <v>78785.616699999999</v>
      </c>
      <c r="J17" s="29">
        <f t="shared" si="0"/>
        <v>2363.5685009999997</v>
      </c>
      <c r="K17" s="28">
        <f t="shared" si="1"/>
        <v>30913.753924624049</v>
      </c>
      <c r="M17">
        <f t="shared" si="7"/>
        <v>5</v>
      </c>
      <c r="N17" s="28">
        <v>78785.616699999999</v>
      </c>
      <c r="O17" s="29">
        <f t="shared" si="2"/>
        <v>9454.274003999999</v>
      </c>
      <c r="P17" s="28">
        <f t="shared" si="3"/>
        <v>123655.01569849619</v>
      </c>
    </row>
    <row r="18" spans="2:16" x14ac:dyDescent="0.15">
      <c r="B18">
        <f t="shared" si="4"/>
        <v>6</v>
      </c>
      <c r="C18" s="28">
        <f t="shared" si="5"/>
        <v>81149.185201</v>
      </c>
      <c r="E18" t="s">
        <v>25</v>
      </c>
      <c r="F18" s="29">
        <f>AVERAGE(C53:C55)*0.015*30</f>
        <v>105867.64241854439</v>
      </c>
      <c r="H18">
        <f t="shared" si="6"/>
        <v>6</v>
      </c>
      <c r="I18" s="28">
        <v>81149.185201</v>
      </c>
      <c r="J18" s="29">
        <f>I18*4%</f>
        <v>3245.96740804</v>
      </c>
      <c r="K18" s="28">
        <f t="shared" si="1"/>
        <v>39677.466096402211</v>
      </c>
      <c r="M18">
        <f t="shared" si="7"/>
        <v>6</v>
      </c>
      <c r="N18" s="28">
        <v>81149.185201</v>
      </c>
      <c r="O18" s="29">
        <f t="shared" si="2"/>
        <v>9737.90222412</v>
      </c>
      <c r="P18" s="28">
        <f t="shared" si="3"/>
        <v>119032.39828920664</v>
      </c>
    </row>
    <row r="19" spans="2:16" x14ac:dyDescent="0.15">
      <c r="B19">
        <f t="shared" si="4"/>
        <v>7</v>
      </c>
      <c r="C19" s="28">
        <f t="shared" si="5"/>
        <v>83583.660757029997</v>
      </c>
      <c r="E19" t="s">
        <v>22</v>
      </c>
      <c r="F19" s="29">
        <f>F14/(1.04*(1-(1.04^(-14)))/0.04)</f>
        <v>127772.40265095657</v>
      </c>
      <c r="H19">
        <f t="shared" si="6"/>
        <v>7</v>
      </c>
      <c r="I19" s="28">
        <v>83583.660757029997</v>
      </c>
      <c r="J19" s="29">
        <f t="shared" ref="J19:J22" si="8">I19*4%</f>
        <v>3343.3464302811999</v>
      </c>
      <c r="K19" s="28">
        <f t="shared" si="1"/>
        <v>38194.196335789042</v>
      </c>
      <c r="M19">
        <f t="shared" si="7"/>
        <v>7</v>
      </c>
      <c r="N19" s="28">
        <v>83583.660757029997</v>
      </c>
      <c r="O19" s="29">
        <f t="shared" si="2"/>
        <v>10030.039290843599</v>
      </c>
      <c r="P19" s="28">
        <f t="shared" si="3"/>
        <v>114582.58900736712</v>
      </c>
    </row>
    <row r="20" spans="2:16" x14ac:dyDescent="0.15">
      <c r="B20">
        <f t="shared" si="4"/>
        <v>8</v>
      </c>
      <c r="C20" s="28">
        <f t="shared" si="5"/>
        <v>86091.170579740894</v>
      </c>
      <c r="E20" t="s">
        <v>23</v>
      </c>
      <c r="F20" s="29">
        <f>F15/(1.04*(1-(1.04^(-14)))/0.04)</f>
        <v>282529.17079174408</v>
      </c>
      <c r="H20">
        <f t="shared" si="6"/>
        <v>8</v>
      </c>
      <c r="I20" s="28">
        <v>86091.170579740894</v>
      </c>
      <c r="J20" s="29">
        <f t="shared" si="8"/>
        <v>3443.6468231896361</v>
      </c>
      <c r="K20" s="28">
        <f t="shared" si="1"/>
        <v>36766.375912021227</v>
      </c>
      <c r="M20">
        <f t="shared" si="7"/>
        <v>8</v>
      </c>
      <c r="N20" s="28">
        <v>86091.170579740894</v>
      </c>
      <c r="O20" s="29">
        <f t="shared" si="2"/>
        <v>10330.940469568906</v>
      </c>
      <c r="P20" s="28">
        <f t="shared" si="3"/>
        <v>110299.12773606367</v>
      </c>
    </row>
    <row r="21" spans="2:16" x14ac:dyDescent="0.15">
      <c r="B21">
        <f t="shared" si="4"/>
        <v>9</v>
      </c>
      <c r="C21" s="28">
        <f t="shared" si="5"/>
        <v>88673.90569713313</v>
      </c>
      <c r="H21">
        <f t="shared" si="6"/>
        <v>9</v>
      </c>
      <c r="I21" s="28">
        <v>88673.90569713313</v>
      </c>
      <c r="J21" s="29">
        <f t="shared" si="8"/>
        <v>3546.9562278853255</v>
      </c>
      <c r="K21" s="28">
        <f t="shared" si="1"/>
        <v>35391.931952693332</v>
      </c>
      <c r="M21">
        <f t="shared" si="7"/>
        <v>9</v>
      </c>
      <c r="N21" s="28">
        <v>88673.90569713313</v>
      </c>
      <c r="O21" s="29">
        <f t="shared" si="2"/>
        <v>10640.868683655975</v>
      </c>
      <c r="P21" s="28">
        <f t="shared" si="3"/>
        <v>106175.79585807999</v>
      </c>
    </row>
    <row r="22" spans="2:16" x14ac:dyDescent="0.15">
      <c r="B22">
        <f t="shared" si="4"/>
        <v>10</v>
      </c>
      <c r="C22" s="28">
        <f t="shared" si="5"/>
        <v>91334.122868047125</v>
      </c>
      <c r="H22">
        <f t="shared" si="6"/>
        <v>10</v>
      </c>
      <c r="I22" s="28">
        <v>91334.122868047125</v>
      </c>
      <c r="J22" s="29">
        <f t="shared" si="8"/>
        <v>3653.3649147218853</v>
      </c>
      <c r="K22" s="28">
        <f t="shared" si="1"/>
        <v>34068.86907595714</v>
      </c>
      <c r="M22">
        <f t="shared" si="7"/>
        <v>10</v>
      </c>
      <c r="N22" s="28">
        <v>91334.122868047125</v>
      </c>
      <c r="O22" s="29">
        <f t="shared" si="2"/>
        <v>10960.094744165655</v>
      </c>
      <c r="P22" s="28">
        <f t="shared" si="3"/>
        <v>102206.60722787141</v>
      </c>
    </row>
    <row r="23" spans="2:16" x14ac:dyDescent="0.15">
      <c r="B23">
        <f t="shared" si="4"/>
        <v>11</v>
      </c>
      <c r="C23" s="28">
        <f t="shared" si="5"/>
        <v>94074.14655408854</v>
      </c>
      <c r="H23">
        <f t="shared" si="6"/>
        <v>11</v>
      </c>
      <c r="I23" s="28">
        <v>94074.14655408854</v>
      </c>
      <c r="J23" s="29">
        <f>I23*5%</f>
        <v>4703.7073277044274</v>
      </c>
      <c r="K23" s="28">
        <f t="shared" si="1"/>
        <v>40994.083117097958</v>
      </c>
      <c r="M23">
        <f t="shared" si="7"/>
        <v>11</v>
      </c>
      <c r="N23" s="28">
        <v>94074.14655408854</v>
      </c>
      <c r="O23" s="29">
        <f t="shared" si="2"/>
        <v>11288.897586490624</v>
      </c>
      <c r="P23" s="28">
        <f t="shared" si="3"/>
        <v>98385.799481035079</v>
      </c>
    </row>
    <row r="24" spans="2:16" x14ac:dyDescent="0.15">
      <c r="B24">
        <f t="shared" si="4"/>
        <v>12</v>
      </c>
      <c r="C24" s="28">
        <f t="shared" si="5"/>
        <v>96896.370950711193</v>
      </c>
      <c r="H24">
        <f t="shared" si="6"/>
        <v>12</v>
      </c>
      <c r="I24" s="28">
        <v>96896.370950711193</v>
      </c>
      <c r="J24" s="29">
        <f t="shared" ref="J24:J27" si="9">I24*5%</f>
        <v>4844.8185475355594</v>
      </c>
      <c r="K24" s="28">
        <f t="shared" si="1"/>
        <v>39461.594028608313</v>
      </c>
      <c r="M24">
        <f t="shared" si="7"/>
        <v>12</v>
      </c>
      <c r="N24" s="28">
        <v>96896.370950711193</v>
      </c>
      <c r="O24" s="29">
        <f t="shared" si="2"/>
        <v>11627.564514085343</v>
      </c>
      <c r="P24" s="28">
        <f t="shared" si="3"/>
        <v>94707.825668659949</v>
      </c>
    </row>
    <row r="25" spans="2:16" x14ac:dyDescent="0.15">
      <c r="B25">
        <f t="shared" si="4"/>
        <v>13</v>
      </c>
      <c r="C25" s="28">
        <f t="shared" si="5"/>
        <v>99803.262079232532</v>
      </c>
      <c r="H25">
        <f t="shared" si="6"/>
        <v>13</v>
      </c>
      <c r="I25" s="28">
        <v>99803.262079232532</v>
      </c>
      <c r="J25" s="29">
        <f t="shared" si="9"/>
        <v>4990.1631039616268</v>
      </c>
      <c r="K25" s="28">
        <f t="shared" si="1"/>
        <v>37986.394251837904</v>
      </c>
      <c r="M25">
        <f t="shared" si="7"/>
        <v>13</v>
      </c>
      <c r="N25" s="28">
        <v>99803.262079232532</v>
      </c>
      <c r="O25" s="29">
        <f t="shared" si="2"/>
        <v>11976.391449507904</v>
      </c>
      <c r="P25" s="28">
        <f t="shared" si="3"/>
        <v>91167.346204410976</v>
      </c>
    </row>
    <row r="26" spans="2:16" x14ac:dyDescent="0.15">
      <c r="B26">
        <f t="shared" si="4"/>
        <v>14</v>
      </c>
      <c r="C26" s="28">
        <f t="shared" si="5"/>
        <v>102797.35994160951</v>
      </c>
      <c r="H26">
        <f t="shared" si="6"/>
        <v>14</v>
      </c>
      <c r="I26" s="28">
        <v>102797.35994160951</v>
      </c>
      <c r="J26" s="29">
        <f t="shared" si="9"/>
        <v>5139.867997080476</v>
      </c>
      <c r="K26" s="28">
        <f t="shared" si="1"/>
        <v>36566.342130273872</v>
      </c>
      <c r="M26">
        <f t="shared" si="7"/>
        <v>14</v>
      </c>
      <c r="N26" s="28">
        <v>102797.35994160951</v>
      </c>
      <c r="O26" s="29">
        <f t="shared" si="2"/>
        <v>12335.683192993141</v>
      </c>
      <c r="P26" s="28">
        <f t="shared" si="3"/>
        <v>87759.221112657295</v>
      </c>
    </row>
    <row r="27" spans="2:16" x14ac:dyDescent="0.15">
      <c r="B27">
        <f t="shared" si="4"/>
        <v>15</v>
      </c>
      <c r="C27" s="28">
        <f t="shared" si="5"/>
        <v>105881.2807398578</v>
      </c>
      <c r="H27">
        <f t="shared" si="6"/>
        <v>15</v>
      </c>
      <c r="I27" s="28">
        <v>105881.2807398578</v>
      </c>
      <c r="J27" s="29">
        <f t="shared" si="9"/>
        <v>5294.0640369928906</v>
      </c>
      <c r="K27" s="28">
        <f t="shared" si="1"/>
        <v>35199.376069329061</v>
      </c>
      <c r="M27">
        <f t="shared" si="7"/>
        <v>15</v>
      </c>
      <c r="N27" s="28">
        <v>105881.2807398578</v>
      </c>
      <c r="O27" s="29">
        <f t="shared" si="2"/>
        <v>12705.753688782936</v>
      </c>
      <c r="P27" s="28">
        <f t="shared" si="3"/>
        <v>84478.502566389725</v>
      </c>
    </row>
    <row r="28" spans="2:16" x14ac:dyDescent="0.15">
      <c r="B28">
        <f t="shared" si="4"/>
        <v>16</v>
      </c>
      <c r="C28" s="28">
        <f t="shared" si="5"/>
        <v>109057.71916205353</v>
      </c>
      <c r="H28">
        <f t="shared" si="6"/>
        <v>16</v>
      </c>
      <c r="I28" s="28">
        <v>109057.71916205353</v>
      </c>
      <c r="J28" s="29">
        <f>Assumptions!I28*6%</f>
        <v>6543.4631497232112</v>
      </c>
      <c r="K28" s="28">
        <f t="shared" si="1"/>
        <v>40660.213852047396</v>
      </c>
      <c r="M28">
        <f t="shared" si="7"/>
        <v>16</v>
      </c>
      <c r="N28" s="28">
        <v>109057.71916205353</v>
      </c>
      <c r="O28" s="29">
        <f t="shared" si="2"/>
        <v>13086.926299446422</v>
      </c>
      <c r="P28" s="28">
        <f t="shared" si="3"/>
        <v>81320.427704094793</v>
      </c>
    </row>
    <row r="29" spans="2:16" x14ac:dyDescent="0.15">
      <c r="B29">
        <f t="shared" si="4"/>
        <v>17</v>
      </c>
      <c r="C29" s="28">
        <f t="shared" si="5"/>
        <v>112329.45073691514</v>
      </c>
      <c r="H29">
        <f t="shared" si="6"/>
        <v>17</v>
      </c>
      <c r="I29" s="28">
        <v>112329.45073691514</v>
      </c>
      <c r="J29" s="29">
        <f>Assumptions!I29*6%</f>
        <v>6739.7670442149083</v>
      </c>
      <c r="K29" s="28">
        <f t="shared" si="1"/>
        <v>39140.20585757833</v>
      </c>
      <c r="M29">
        <f t="shared" si="7"/>
        <v>17</v>
      </c>
      <c r="N29" s="28">
        <v>112329.45073691514</v>
      </c>
      <c r="O29" s="29">
        <f t="shared" si="2"/>
        <v>13479.534088429817</v>
      </c>
      <c r="P29" s="28">
        <f t="shared" si="3"/>
        <v>78280.411715156661</v>
      </c>
    </row>
    <row r="30" spans="2:16" x14ac:dyDescent="0.15">
      <c r="B30">
        <f t="shared" si="4"/>
        <v>18</v>
      </c>
      <c r="C30" s="28">
        <f t="shared" si="5"/>
        <v>115699.33425902259</v>
      </c>
      <c r="H30">
        <f t="shared" si="6"/>
        <v>18</v>
      </c>
      <c r="I30" s="28">
        <v>115699.33425902259</v>
      </c>
      <c r="J30" s="29">
        <f>Assumptions!I30*6%</f>
        <v>6941.9600555413554</v>
      </c>
      <c r="K30" s="28">
        <f t="shared" si="1"/>
        <v>37677.020591874469</v>
      </c>
      <c r="M30">
        <f t="shared" si="7"/>
        <v>18</v>
      </c>
      <c r="N30" s="28">
        <v>115699.33425902259</v>
      </c>
      <c r="O30" s="29">
        <f t="shared" si="2"/>
        <v>13883.920111082711</v>
      </c>
      <c r="P30" s="28">
        <f t="shared" si="3"/>
        <v>75354.041183748937</v>
      </c>
    </row>
    <row r="31" spans="2:16" x14ac:dyDescent="0.15">
      <c r="B31">
        <f t="shared" si="4"/>
        <v>19</v>
      </c>
      <c r="C31" s="28">
        <f t="shared" si="5"/>
        <v>119170.31428679328</v>
      </c>
      <c r="H31">
        <f t="shared" si="6"/>
        <v>19</v>
      </c>
      <c r="I31" s="28">
        <v>119170.31428679328</v>
      </c>
      <c r="J31" s="29">
        <f>Assumptions!I31*6%</f>
        <v>7150.2188572075966</v>
      </c>
      <c r="K31" s="28">
        <f t="shared" si="1"/>
        <v>36268.533840776363</v>
      </c>
      <c r="M31">
        <f t="shared" si="7"/>
        <v>19</v>
      </c>
      <c r="N31" s="28">
        <v>119170.31428679328</v>
      </c>
      <c r="O31" s="29">
        <f t="shared" si="2"/>
        <v>14300.437714415193</v>
      </c>
      <c r="P31" s="28">
        <f t="shared" si="3"/>
        <v>72537.067681552726</v>
      </c>
    </row>
    <row r="32" spans="2:16" x14ac:dyDescent="0.15">
      <c r="B32">
        <f t="shared" si="4"/>
        <v>20</v>
      </c>
      <c r="C32" s="28">
        <f t="shared" si="5"/>
        <v>122745.42371539708</v>
      </c>
      <c r="H32">
        <f t="shared" si="6"/>
        <v>20</v>
      </c>
      <c r="I32" s="28">
        <v>122745.42371539708</v>
      </c>
      <c r="J32" s="29">
        <f>Assumptions!I32*6%</f>
        <v>7364.7254229238242</v>
      </c>
      <c r="K32" s="28">
        <f t="shared" si="1"/>
        <v>34912.700799999671</v>
      </c>
      <c r="M32">
        <f t="shared" si="7"/>
        <v>20</v>
      </c>
      <c r="N32" s="28">
        <v>122745.42371539708</v>
      </c>
      <c r="O32" s="29">
        <f t="shared" si="2"/>
        <v>14729.450845847648</v>
      </c>
      <c r="P32" s="28">
        <f t="shared" si="3"/>
        <v>69825.401599999343</v>
      </c>
    </row>
    <row r="33" spans="2:16" x14ac:dyDescent="0.15">
      <c r="B33">
        <f t="shared" si="4"/>
        <v>21</v>
      </c>
      <c r="C33" s="28">
        <f t="shared" si="5"/>
        <v>126427.78642685899</v>
      </c>
      <c r="H33">
        <f t="shared" si="6"/>
        <v>21</v>
      </c>
      <c r="I33" s="28">
        <v>126427.78642685899</v>
      </c>
      <c r="J33" s="29">
        <f>I33*7%</f>
        <v>8849.9450498801307</v>
      </c>
      <c r="K33" s="28">
        <f t="shared" si="1"/>
        <v>39208.811957632039</v>
      </c>
      <c r="M33">
        <f t="shared" si="7"/>
        <v>21</v>
      </c>
      <c r="N33" s="28">
        <v>126427.78642685899</v>
      </c>
      <c r="O33" s="29">
        <f t="shared" si="2"/>
        <v>15171.334371223078</v>
      </c>
      <c r="P33" s="28">
        <f t="shared" si="3"/>
        <v>67215.106213083476</v>
      </c>
    </row>
    <row r="34" spans="2:16" x14ac:dyDescent="0.15">
      <c r="B34">
        <f t="shared" si="4"/>
        <v>22</v>
      </c>
      <c r="C34" s="28">
        <f t="shared" si="5"/>
        <v>130220.62001966477</v>
      </c>
      <c r="H34">
        <f t="shared" si="6"/>
        <v>22</v>
      </c>
      <c r="I34" s="28">
        <v>130220.62001966477</v>
      </c>
      <c r="J34" s="29">
        <f t="shared" ref="J34:J37" si="10">I34*7%</f>
        <v>9115.4434013765349</v>
      </c>
      <c r="K34" s="28">
        <f t="shared" si="1"/>
        <v>37743.061977907477</v>
      </c>
      <c r="M34">
        <f t="shared" si="7"/>
        <v>22</v>
      </c>
      <c r="N34" s="28">
        <v>130220.62001966477</v>
      </c>
      <c r="O34" s="29">
        <f t="shared" si="2"/>
        <v>15626.474402359772</v>
      </c>
      <c r="P34" s="28">
        <f t="shared" si="3"/>
        <v>64702.391962127098</v>
      </c>
    </row>
    <row r="35" spans="2:16" x14ac:dyDescent="0.15">
      <c r="B35">
        <f t="shared" si="4"/>
        <v>23</v>
      </c>
      <c r="C35" s="28">
        <f t="shared" si="5"/>
        <v>134127.23862025471</v>
      </c>
      <c r="H35">
        <f t="shared" si="6"/>
        <v>23</v>
      </c>
      <c r="I35" s="28">
        <v>134127.23862025471</v>
      </c>
      <c r="J35" s="29">
        <f t="shared" si="10"/>
        <v>9388.9067034178297</v>
      </c>
      <c r="K35" s="28">
        <f t="shared" si="1"/>
        <v>36332.106389948312</v>
      </c>
      <c r="M35">
        <f t="shared" si="7"/>
        <v>23</v>
      </c>
      <c r="N35" s="28">
        <v>134127.23862025471</v>
      </c>
      <c r="O35" s="29">
        <f t="shared" si="2"/>
        <v>16095.268634430564</v>
      </c>
      <c r="P35" s="28">
        <f t="shared" si="3"/>
        <v>62283.610954197102</v>
      </c>
    </row>
    <row r="36" spans="2:16" x14ac:dyDescent="0.15">
      <c r="B36">
        <f t="shared" si="4"/>
        <v>24</v>
      </c>
      <c r="C36" s="28">
        <f t="shared" si="5"/>
        <v>138151.05577886236</v>
      </c>
      <c r="H36">
        <f t="shared" si="6"/>
        <v>24</v>
      </c>
      <c r="I36" s="28">
        <v>138151.05577886236</v>
      </c>
      <c r="J36" s="29">
        <f t="shared" si="10"/>
        <v>9670.5739045203663</v>
      </c>
      <c r="K36" s="28">
        <f t="shared" si="1"/>
        <v>34973.896805277356</v>
      </c>
      <c r="M36">
        <f t="shared" si="7"/>
        <v>24</v>
      </c>
      <c r="N36" s="28">
        <v>138151.05577886236</v>
      </c>
      <c r="O36" s="29">
        <f t="shared" si="2"/>
        <v>16578.12669346348</v>
      </c>
      <c r="P36" s="28">
        <f t="shared" si="3"/>
        <v>59955.251666189739</v>
      </c>
    </row>
    <row r="37" spans="2:16" x14ac:dyDescent="0.15">
      <c r="B37">
        <f t="shared" si="4"/>
        <v>25</v>
      </c>
      <c r="C37" s="28">
        <f t="shared" si="5"/>
        <v>142295.58745222824</v>
      </c>
      <c r="H37">
        <f t="shared" si="6"/>
        <v>25</v>
      </c>
      <c r="I37" s="28">
        <v>142295.58745222824</v>
      </c>
      <c r="J37" s="29">
        <f t="shared" si="10"/>
        <v>9960.6911216559783</v>
      </c>
      <c r="K37" s="28">
        <f t="shared" si="1"/>
        <v>33666.461410687552</v>
      </c>
      <c r="M37">
        <f t="shared" si="7"/>
        <v>25</v>
      </c>
      <c r="N37" s="28">
        <v>142295.58745222824</v>
      </c>
      <c r="O37" s="29">
        <f t="shared" si="2"/>
        <v>17075.470494267389</v>
      </c>
      <c r="P37" s="28">
        <f t="shared" si="3"/>
        <v>57713.933846892935</v>
      </c>
    </row>
    <row r="38" spans="2:16" x14ac:dyDescent="0.15">
      <c r="B38">
        <f t="shared" si="4"/>
        <v>26</v>
      </c>
      <c r="C38" s="28">
        <f t="shared" si="5"/>
        <v>146564.45507579509</v>
      </c>
      <c r="H38">
        <f t="shared" si="6"/>
        <v>26</v>
      </c>
      <c r="I38" s="28">
        <v>146564.45507579509</v>
      </c>
      <c r="J38" s="29">
        <f>I38*8%</f>
        <v>11725.156406063608</v>
      </c>
      <c r="K38" s="28">
        <f t="shared" si="1"/>
        <v>37037.602406417274</v>
      </c>
      <c r="M38">
        <f t="shared" si="7"/>
        <v>26</v>
      </c>
      <c r="N38" s="28">
        <v>146564.45507579509</v>
      </c>
      <c r="O38" s="29">
        <f t="shared" si="2"/>
        <v>17587.734609095409</v>
      </c>
      <c r="P38" s="28">
        <f t="shared" si="3"/>
        <v>55556.403609625901</v>
      </c>
    </row>
    <row r="39" spans="2:16" x14ac:dyDescent="0.15">
      <c r="B39">
        <f t="shared" si="4"/>
        <v>27</v>
      </c>
      <c r="C39" s="28">
        <f t="shared" si="5"/>
        <v>150961.38872806894</v>
      </c>
      <c r="H39">
        <f t="shared" si="6"/>
        <v>27</v>
      </c>
      <c r="I39" s="28">
        <v>150961.38872806894</v>
      </c>
      <c r="J39" s="29">
        <f t="shared" ref="J39:J55" si="11">I39*8%</f>
        <v>12076.911098245515</v>
      </c>
      <c r="K39" s="28">
        <f t="shared" si="1"/>
        <v>35653.019138887656</v>
      </c>
      <c r="M39">
        <f t="shared" si="7"/>
        <v>27</v>
      </c>
      <c r="N39" s="28">
        <v>150961.38872806894</v>
      </c>
      <c r="O39" s="29">
        <f t="shared" si="2"/>
        <v>18115.366647368272</v>
      </c>
      <c r="P39" s="28">
        <f t="shared" si="3"/>
        <v>53479.528708331476</v>
      </c>
    </row>
    <row r="40" spans="2:16" x14ac:dyDescent="0.15">
      <c r="B40">
        <f t="shared" si="4"/>
        <v>28</v>
      </c>
      <c r="C40" s="28">
        <f t="shared" si="5"/>
        <v>155490.23038991101</v>
      </c>
      <c r="H40">
        <f t="shared" si="6"/>
        <v>28</v>
      </c>
      <c r="I40" s="28">
        <v>155490.23038991101</v>
      </c>
      <c r="J40" s="29">
        <f t="shared" si="11"/>
        <v>12439.218431192881</v>
      </c>
      <c r="K40" s="28">
        <f t="shared" si="1"/>
        <v>34320.195993508685</v>
      </c>
      <c r="M40">
        <f t="shared" si="7"/>
        <v>28</v>
      </c>
      <c r="N40" s="28">
        <v>155490.23038991101</v>
      </c>
      <c r="O40" s="29">
        <f t="shared" si="2"/>
        <v>18658.827646789319</v>
      </c>
      <c r="P40" s="28">
        <f t="shared" si="3"/>
        <v>51480.293990263017</v>
      </c>
    </row>
    <row r="41" spans="2:16" x14ac:dyDescent="0.15">
      <c r="B41">
        <f t="shared" si="4"/>
        <v>29</v>
      </c>
      <c r="C41" s="28">
        <f t="shared" si="5"/>
        <v>160154.93730160836</v>
      </c>
      <c r="H41">
        <f t="shared" si="6"/>
        <v>29</v>
      </c>
      <c r="I41" s="28">
        <v>160154.93730160836</v>
      </c>
      <c r="J41" s="29">
        <f t="shared" si="11"/>
        <v>12812.394984128669</v>
      </c>
      <c r="K41" s="28">
        <f t="shared" si="1"/>
        <v>33037.198012442932</v>
      </c>
      <c r="M41">
        <f t="shared" si="7"/>
        <v>29</v>
      </c>
      <c r="N41" s="28">
        <v>160154.93730160836</v>
      </c>
      <c r="O41" s="29">
        <f t="shared" si="2"/>
        <v>19218.592476193004</v>
      </c>
      <c r="P41" s="28">
        <f t="shared" si="3"/>
        <v>49555.797018664402</v>
      </c>
    </row>
    <row r="42" spans="2:16" x14ac:dyDescent="0.15">
      <c r="B42">
        <f t="shared" si="4"/>
        <v>30</v>
      </c>
      <c r="C42" s="28">
        <f t="shared" si="5"/>
        <v>164959.5854206566</v>
      </c>
      <c r="H42">
        <f t="shared" si="6"/>
        <v>30</v>
      </c>
      <c r="I42" s="28">
        <v>164959.5854206566</v>
      </c>
      <c r="J42" s="29">
        <f t="shared" si="11"/>
        <v>13196.766833652528</v>
      </c>
      <c r="K42" s="28">
        <f t="shared" si="1"/>
        <v>31802.16257272544</v>
      </c>
      <c r="M42">
        <f t="shared" si="7"/>
        <v>30</v>
      </c>
      <c r="N42" s="28">
        <v>164959.5854206566</v>
      </c>
      <c r="O42" s="29">
        <f t="shared" si="2"/>
        <v>19795.15025047879</v>
      </c>
      <c r="P42" s="28">
        <f t="shared" si="3"/>
        <v>47703.243859088157</v>
      </c>
    </row>
    <row r="43" spans="2:16" x14ac:dyDescent="0.15">
      <c r="B43">
        <f t="shared" si="4"/>
        <v>31</v>
      </c>
      <c r="C43" s="28">
        <f t="shared" si="5"/>
        <v>169908.37298327629</v>
      </c>
      <c r="H43">
        <f t="shared" si="6"/>
        <v>31</v>
      </c>
      <c r="I43" s="28">
        <v>169908.37298327629</v>
      </c>
      <c r="J43" s="29">
        <f t="shared" si="11"/>
        <v>13592.669838662103</v>
      </c>
      <c r="K43" s="28">
        <f t="shared" si="1"/>
        <v>30613.296682156262</v>
      </c>
      <c r="M43">
        <f t="shared" si="7"/>
        <v>31</v>
      </c>
      <c r="N43" s="28">
        <v>169908.37298327629</v>
      </c>
      <c r="O43" s="29">
        <f t="shared" si="2"/>
        <v>20389.004757993152</v>
      </c>
      <c r="P43" s="28">
        <f t="shared" si="3"/>
        <v>45919.945023234388</v>
      </c>
    </row>
    <row r="44" spans="2:16" x14ac:dyDescent="0.15">
      <c r="B44">
        <f t="shared" si="4"/>
        <v>32</v>
      </c>
      <c r="C44" s="28">
        <f t="shared" si="5"/>
        <v>175005.62417277458</v>
      </c>
      <c r="H44">
        <f t="shared" si="6"/>
        <v>32</v>
      </c>
      <c r="I44" s="28">
        <v>175005.62417277458</v>
      </c>
      <c r="J44" s="29">
        <f t="shared" si="11"/>
        <v>14000.449933821967</v>
      </c>
      <c r="K44" s="28">
        <f t="shared" si="1"/>
        <v>29468.87437628127</v>
      </c>
      <c r="M44">
        <f t="shared" si="7"/>
        <v>32</v>
      </c>
      <c r="N44" s="28">
        <v>175005.62417277458</v>
      </c>
      <c r="O44" s="29">
        <f t="shared" si="2"/>
        <v>21000.674900732949</v>
      </c>
      <c r="P44" s="28">
        <f t="shared" si="3"/>
        <v>44203.3115644219</v>
      </c>
    </row>
    <row r="45" spans="2:16" x14ac:dyDescent="0.15">
      <c r="B45">
        <f t="shared" si="4"/>
        <v>33</v>
      </c>
      <c r="C45" s="28">
        <f t="shared" si="5"/>
        <v>180255.79289795781</v>
      </c>
      <c r="H45">
        <f t="shared" si="6"/>
        <v>33</v>
      </c>
      <c r="I45" s="28">
        <v>180255.79289795781</v>
      </c>
      <c r="J45" s="29">
        <f t="shared" si="11"/>
        <v>14420.463431836626</v>
      </c>
      <c r="K45" s="28">
        <f t="shared" si="1"/>
        <v>28367.234212681968</v>
      </c>
      <c r="M45">
        <f t="shared" si="7"/>
        <v>33</v>
      </c>
      <c r="N45" s="28">
        <v>180255.79289795781</v>
      </c>
      <c r="O45" s="29">
        <f t="shared" si="2"/>
        <v>21630.695147754937</v>
      </c>
      <c r="P45" s="28">
        <f t="shared" si="3"/>
        <v>42550.851319022942</v>
      </c>
    </row>
    <row r="46" spans="2:16" x14ac:dyDescent="0.15">
      <c r="B46">
        <f t="shared" si="4"/>
        <v>34</v>
      </c>
      <c r="C46" s="28">
        <f t="shared" si="5"/>
        <v>185663.46668489656</v>
      </c>
      <c r="H46">
        <f t="shared" si="6"/>
        <v>34</v>
      </c>
      <c r="I46" s="28">
        <v>185663.46668489656</v>
      </c>
      <c r="J46" s="29">
        <f t="shared" si="11"/>
        <v>14853.077334791726</v>
      </c>
      <c r="K46" s="28">
        <f t="shared" si="1"/>
        <v>27306.77685893685</v>
      </c>
      <c r="M46">
        <f t="shared" si="7"/>
        <v>34</v>
      </c>
      <c r="N46" s="28">
        <v>185663.46668489656</v>
      </c>
      <c r="O46" s="29">
        <f t="shared" si="2"/>
        <v>22279.616002187588</v>
      </c>
      <c r="P46" s="28">
        <f t="shared" si="3"/>
        <v>40960.165288405275</v>
      </c>
    </row>
    <row r="47" spans="2:16" x14ac:dyDescent="0.15">
      <c r="B47">
        <f t="shared" si="4"/>
        <v>35</v>
      </c>
      <c r="C47" s="28">
        <f t="shared" si="5"/>
        <v>191233.37068544346</v>
      </c>
      <c r="H47">
        <f t="shared" si="6"/>
        <v>35</v>
      </c>
      <c r="I47" s="28">
        <v>191233.37068544346</v>
      </c>
      <c r="J47" s="29">
        <f t="shared" si="11"/>
        <v>15298.669654835478</v>
      </c>
      <c r="K47" s="28">
        <f t="shared" si="1"/>
        <v>26285.962770752292</v>
      </c>
      <c r="M47">
        <f t="shared" si="7"/>
        <v>35</v>
      </c>
      <c r="N47" s="28">
        <v>191233.37068544346</v>
      </c>
      <c r="O47" s="29">
        <f t="shared" si="2"/>
        <v>22948.004482253215</v>
      </c>
      <c r="P47" s="28">
        <f t="shared" si="3"/>
        <v>39428.944156128433</v>
      </c>
    </row>
    <row r="48" spans="2:16" x14ac:dyDescent="0.15">
      <c r="B48">
        <f t="shared" si="4"/>
        <v>36</v>
      </c>
      <c r="C48" s="28">
        <f t="shared" si="5"/>
        <v>196970.37180600676</v>
      </c>
      <c r="H48">
        <f t="shared" si="6"/>
        <v>36</v>
      </c>
      <c r="I48" s="28">
        <v>196970.37180600676</v>
      </c>
      <c r="J48" s="29">
        <f t="shared" si="11"/>
        <v>15757.62974448054</v>
      </c>
      <c r="K48" s="28">
        <f t="shared" si="1"/>
        <v>25303.30995689239</v>
      </c>
      <c r="M48">
        <f t="shared" si="7"/>
        <v>36</v>
      </c>
      <c r="N48" s="28">
        <v>196970.37180600676</v>
      </c>
      <c r="O48" s="29">
        <f t="shared" si="2"/>
        <v>23636.444616720812</v>
      </c>
      <c r="P48" s="28">
        <f t="shared" si="3"/>
        <v>37954.96493533859</v>
      </c>
    </row>
    <row r="49" spans="2:16" x14ac:dyDescent="0.15">
      <c r="B49">
        <f t="shared" si="4"/>
        <v>37</v>
      </c>
      <c r="C49" s="28">
        <f t="shared" si="5"/>
        <v>202879.48296018696</v>
      </c>
      <c r="H49">
        <f t="shared" si="6"/>
        <v>37</v>
      </c>
      <c r="I49" s="28">
        <v>202879.48296018696</v>
      </c>
      <c r="J49" s="29">
        <f t="shared" si="11"/>
        <v>16230.358636814957</v>
      </c>
      <c r="K49" s="28">
        <f t="shared" si="1"/>
        <v>24357.391827662766</v>
      </c>
      <c r="M49">
        <f t="shared" si="7"/>
        <v>37</v>
      </c>
      <c r="N49" s="28">
        <v>202879.48296018696</v>
      </c>
      <c r="O49" s="29">
        <f t="shared" si="2"/>
        <v>24345.537955222433</v>
      </c>
      <c r="P49" s="28">
        <f t="shared" si="3"/>
        <v>36536.08774149415</v>
      </c>
    </row>
    <row r="50" spans="2:16" x14ac:dyDescent="0.15">
      <c r="B50">
        <f t="shared" si="4"/>
        <v>38</v>
      </c>
      <c r="C50" s="28">
        <f t="shared" si="5"/>
        <v>208965.86744899256</v>
      </c>
      <c r="H50">
        <f t="shared" si="6"/>
        <v>38</v>
      </c>
      <c r="I50" s="28">
        <v>208965.86744899256</v>
      </c>
      <c r="J50" s="29">
        <f t="shared" si="11"/>
        <v>16717.269395919404</v>
      </c>
      <c r="K50" s="28">
        <f t="shared" si="1"/>
        <v>23446.835123824905</v>
      </c>
      <c r="M50">
        <f t="shared" si="7"/>
        <v>38</v>
      </c>
      <c r="N50" s="28">
        <v>208965.86744899256</v>
      </c>
      <c r="O50" s="29">
        <f t="shared" si="2"/>
        <v>25075.904093879108</v>
      </c>
      <c r="P50" s="28">
        <f t="shared" si="3"/>
        <v>35170.25268573736</v>
      </c>
    </row>
    <row r="51" spans="2:16" x14ac:dyDescent="0.15">
      <c r="B51">
        <f t="shared" si="4"/>
        <v>39</v>
      </c>
      <c r="C51" s="28">
        <f t="shared" si="5"/>
        <v>215234.84347246235</v>
      </c>
      <c r="H51">
        <f t="shared" si="6"/>
        <v>39</v>
      </c>
      <c r="I51" s="28">
        <v>215234.84347246235</v>
      </c>
      <c r="J51" s="29">
        <f t="shared" si="11"/>
        <v>17218.787477796988</v>
      </c>
      <c r="K51" s="28">
        <f t="shared" si="1"/>
        <v>22570.317922934257</v>
      </c>
      <c r="M51">
        <f t="shared" si="7"/>
        <v>39</v>
      </c>
      <c r="N51" s="28">
        <v>215234.84347246235</v>
      </c>
      <c r="O51" s="29">
        <f t="shared" si="2"/>
        <v>25828.181216695481</v>
      </c>
      <c r="P51" s="28">
        <f t="shared" si="3"/>
        <v>33855.476884401382</v>
      </c>
    </row>
    <row r="52" spans="2:16" x14ac:dyDescent="0.15">
      <c r="B52">
        <f t="shared" si="4"/>
        <v>40</v>
      </c>
      <c r="C52" s="28">
        <f t="shared" si="5"/>
        <v>221691.88877663622</v>
      </c>
      <c r="H52">
        <f t="shared" si="6"/>
        <v>40</v>
      </c>
      <c r="I52" s="28">
        <v>221691.88877663622</v>
      </c>
      <c r="J52" s="29">
        <f t="shared" si="11"/>
        <v>17735.351102130899</v>
      </c>
      <c r="K52" s="28">
        <f t="shared" si="1"/>
        <v>21726.567720207746</v>
      </c>
      <c r="M52">
        <f t="shared" si="7"/>
        <v>40</v>
      </c>
      <c r="N52" s="28">
        <v>221691.88877663622</v>
      </c>
      <c r="O52" s="29">
        <f t="shared" si="2"/>
        <v>26603.026653196346</v>
      </c>
      <c r="P52" s="28">
        <f t="shared" si="3"/>
        <v>32589.851580311613</v>
      </c>
    </row>
    <row r="53" spans="2:16" x14ac:dyDescent="0.15">
      <c r="B53">
        <f t="shared" si="4"/>
        <v>41</v>
      </c>
      <c r="C53" s="28">
        <f t="shared" si="5"/>
        <v>228342.6454399353</v>
      </c>
      <c r="H53">
        <f t="shared" si="6"/>
        <v>41</v>
      </c>
      <c r="I53" s="28">
        <v>228342.6454399353</v>
      </c>
      <c r="J53" s="29">
        <f t="shared" si="11"/>
        <v>18267.411635194825</v>
      </c>
      <c r="K53" s="28">
        <f t="shared" si="1"/>
        <v>20914.359581134555</v>
      </c>
      <c r="M53">
        <f t="shared" si="7"/>
        <v>41</v>
      </c>
      <c r="N53" s="28">
        <v>228342.6454399353</v>
      </c>
      <c r="O53" s="29">
        <f t="shared" si="2"/>
        <v>27401.117452792234</v>
      </c>
      <c r="P53" s="28">
        <f t="shared" si="3"/>
        <v>31371.539371701831</v>
      </c>
    </row>
    <row r="54" spans="2:16" x14ac:dyDescent="0.15">
      <c r="B54">
        <f t="shared" si="4"/>
        <v>42</v>
      </c>
      <c r="C54" s="28">
        <f t="shared" si="5"/>
        <v>235192.92480313336</v>
      </c>
      <c r="H54">
        <f t="shared" si="6"/>
        <v>42</v>
      </c>
      <c r="I54" s="28">
        <v>235192.92480313336</v>
      </c>
      <c r="J54" s="29">
        <f t="shared" si="11"/>
        <v>18815.433984250671</v>
      </c>
      <c r="K54" s="28">
        <f t="shared" si="1"/>
        <v>20132.514363148217</v>
      </c>
      <c r="M54">
        <f t="shared" si="7"/>
        <v>42</v>
      </c>
      <c r="N54" s="28">
        <v>235192.92480313336</v>
      </c>
      <c r="O54" s="29">
        <f t="shared" si="2"/>
        <v>28223.150976376</v>
      </c>
      <c r="P54" s="28">
        <f t="shared" si="3"/>
        <v>30198.771544722324</v>
      </c>
    </row>
    <row r="55" spans="2:16" x14ac:dyDescent="0.15">
      <c r="B55">
        <f t="shared" si="4"/>
        <v>43</v>
      </c>
      <c r="C55" s="28">
        <f t="shared" si="5"/>
        <v>242248.71254722736</v>
      </c>
      <c r="H55">
        <f t="shared" si="6"/>
        <v>43</v>
      </c>
      <c r="I55" s="28">
        <v>242248.71254722736</v>
      </c>
      <c r="J55" s="29">
        <f t="shared" si="11"/>
        <v>19379.897003778191</v>
      </c>
      <c r="K55" s="28">
        <f t="shared" si="1"/>
        <v>19379.897003778191</v>
      </c>
      <c r="M55">
        <f t="shared" si="7"/>
        <v>43</v>
      </c>
      <c r="N55" s="28">
        <v>242248.71254722736</v>
      </c>
      <c r="O55" s="29">
        <f t="shared" si="2"/>
        <v>29069.845505667283</v>
      </c>
      <c r="P55" s="28">
        <f t="shared" si="3"/>
        <v>29069.845505667283</v>
      </c>
    </row>
    <row r="56" spans="2:16" x14ac:dyDescent="0.15">
      <c r="C56" s="28"/>
      <c r="I56" s="28"/>
      <c r="J56" s="29"/>
      <c r="K56" s="28"/>
    </row>
    <row r="57" spans="2:16" x14ac:dyDescent="0.15">
      <c r="P57" s="29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7"/>
  <sheetViews>
    <sheetView workbookViewId="0">
      <selection activeCell="H13" sqref="H13"/>
    </sheetView>
  </sheetViews>
  <sheetFormatPr baseColWidth="10" defaultColWidth="8.83203125" defaultRowHeight="13" x14ac:dyDescent="0.15"/>
  <cols>
    <col min="2" max="2" width="23.5" customWidth="1"/>
    <col min="3" max="3" width="12.1640625" bestFit="1" customWidth="1"/>
    <col min="4" max="5" width="12.1640625" customWidth="1"/>
    <col min="7" max="7" width="13.6640625" bestFit="1" customWidth="1"/>
    <col min="8" max="8" width="14.6640625" bestFit="1" customWidth="1"/>
    <col min="11" max="11" width="12.1640625" bestFit="1" customWidth="1"/>
    <col min="12" max="12" width="11.1640625" bestFit="1" customWidth="1"/>
    <col min="13" max="13" width="12.1640625" bestFit="1" customWidth="1"/>
    <col min="16" max="16" width="12.1640625" bestFit="1" customWidth="1"/>
    <col min="17" max="17" width="11.1640625" bestFit="1" customWidth="1"/>
    <col min="18" max="18" width="13.6640625" bestFit="1" customWidth="1"/>
  </cols>
  <sheetData>
    <row r="1" spans="2:18" ht="14" thickBot="1" x14ac:dyDescent="0.2">
      <c r="B1" s="4"/>
    </row>
    <row r="2" spans="2:18" x14ac:dyDescent="0.15">
      <c r="B2" s="23" t="s">
        <v>10</v>
      </c>
      <c r="C2" s="14">
        <v>0.03</v>
      </c>
      <c r="D2" s="30"/>
      <c r="E2" s="30"/>
      <c r="G2" s="1" t="s">
        <v>26</v>
      </c>
    </row>
    <row r="3" spans="2:18" x14ac:dyDescent="0.15">
      <c r="B3" s="24" t="s">
        <v>11</v>
      </c>
      <c r="C3" s="15">
        <v>7.0000000000000007E-2</v>
      </c>
      <c r="D3" s="30"/>
      <c r="E3" s="30"/>
      <c r="G3" s="29">
        <f>11*C55</f>
        <v>2664735.838019501</v>
      </c>
    </row>
    <row r="4" spans="2:18" x14ac:dyDescent="0.15">
      <c r="B4" s="24" t="s">
        <v>12</v>
      </c>
      <c r="C4" s="15">
        <v>0.04</v>
      </c>
      <c r="D4" s="30"/>
      <c r="E4" s="30"/>
    </row>
    <row r="5" spans="2:18" ht="14" thickBot="1" x14ac:dyDescent="0.2">
      <c r="B5" s="25" t="s">
        <v>13</v>
      </c>
      <c r="C5" s="18">
        <v>14</v>
      </c>
      <c r="D5" s="31"/>
      <c r="E5" s="31"/>
      <c r="G5" s="1" t="s">
        <v>27</v>
      </c>
    </row>
    <row r="6" spans="2:18" ht="14" thickBot="1" x14ac:dyDescent="0.2">
      <c r="B6" s="19"/>
      <c r="C6" s="16"/>
      <c r="D6" s="31"/>
      <c r="E6" s="31"/>
      <c r="G6" s="29">
        <f>SUM(E13:E55)</f>
        <v>2845118.8119927333</v>
      </c>
    </row>
    <row r="7" spans="2:18" x14ac:dyDescent="0.15">
      <c r="B7" s="23" t="s">
        <v>14</v>
      </c>
      <c r="C7" s="20">
        <v>22</v>
      </c>
      <c r="D7" s="31"/>
      <c r="E7" s="31"/>
    </row>
    <row r="8" spans="2:18" ht="14" thickBot="1" x14ac:dyDescent="0.2">
      <c r="B8" s="25" t="s">
        <v>15</v>
      </c>
      <c r="C8" s="21">
        <v>65</v>
      </c>
      <c r="D8" s="32"/>
      <c r="E8" s="32"/>
    </row>
    <row r="9" spans="2:18" ht="14" thickBot="1" x14ac:dyDescent="0.2">
      <c r="B9" s="19"/>
      <c r="C9" s="17"/>
      <c r="D9" s="33"/>
      <c r="E9" s="33"/>
    </row>
    <row r="10" spans="2:18" ht="14" thickBot="1" x14ac:dyDescent="0.2">
      <c r="B10" s="26" t="s">
        <v>16</v>
      </c>
      <c r="C10" s="22">
        <v>70000</v>
      </c>
      <c r="D10" s="31"/>
      <c r="E10" s="31"/>
    </row>
    <row r="11" spans="2:18" x14ac:dyDescent="0.15">
      <c r="B11" s="4"/>
    </row>
    <row r="12" spans="2:18" x14ac:dyDescent="0.15">
      <c r="B12" s="27" t="s">
        <v>18</v>
      </c>
      <c r="C12" s="1" t="s">
        <v>19</v>
      </c>
      <c r="D12" s="1"/>
      <c r="E12" s="1"/>
      <c r="G12" s="1" t="s">
        <v>20</v>
      </c>
      <c r="J12" s="27" t="s">
        <v>18</v>
      </c>
      <c r="K12" s="1" t="s">
        <v>19</v>
      </c>
      <c r="O12" s="1" t="s">
        <v>18</v>
      </c>
      <c r="P12" s="1" t="s">
        <v>19</v>
      </c>
    </row>
    <row r="13" spans="2:18" x14ac:dyDescent="0.15">
      <c r="B13">
        <f>1</f>
        <v>1</v>
      </c>
      <c r="C13" s="28">
        <f>C$10</f>
        <v>70000</v>
      </c>
      <c r="D13" s="28">
        <f>C13*11%</f>
        <v>7700</v>
      </c>
      <c r="E13" s="28">
        <f>D13*(1+$C$3)^(43-B13)</f>
        <v>132010.7772068319</v>
      </c>
      <c r="G13" t="s">
        <v>21</v>
      </c>
      <c r="H13" s="29">
        <f>(AVERAGE(C53:C55)*0.0266*30)*14</f>
        <v>2628340.6691110623</v>
      </c>
      <c r="J13">
        <v>1</v>
      </c>
      <c r="K13" s="28">
        <v>70000</v>
      </c>
      <c r="L13" s="29">
        <f>K13*9%</f>
        <v>6300</v>
      </c>
      <c r="M13" s="28">
        <f>L13*(1+$C$3)^(43-J13)</f>
        <v>108008.81771468066</v>
      </c>
      <c r="O13">
        <v>1</v>
      </c>
      <c r="P13" s="28">
        <v>70000</v>
      </c>
      <c r="Q13" s="29">
        <f>P13*12%</f>
        <v>8400</v>
      </c>
      <c r="R13" s="28">
        <f>Q13*(1+$C$3)^(43-O13)</f>
        <v>144011.75695290754</v>
      </c>
    </row>
    <row r="14" spans="2:18" x14ac:dyDescent="0.15">
      <c r="B14">
        <f>B13+1</f>
        <v>2</v>
      </c>
      <c r="C14" s="28">
        <f>C13*(1+$C$2)</f>
        <v>72100</v>
      </c>
      <c r="D14" s="28">
        <f t="shared" ref="D14:D55" si="0">C14*11%</f>
        <v>7931</v>
      </c>
      <c r="E14" s="28">
        <f t="shared" ref="E14:E55" si="1">D14*(1+$C$3)^(43-B14)</f>
        <v>127075.79488134288</v>
      </c>
      <c r="G14" t="s">
        <v>22</v>
      </c>
      <c r="H14" s="29">
        <f>SUM(M13:M55)</f>
        <v>2955545.6084012855</v>
      </c>
      <c r="J14">
        <f>J13+1</f>
        <v>2</v>
      </c>
      <c r="K14" s="28">
        <v>72100</v>
      </c>
      <c r="L14" s="29">
        <f t="shared" ref="L14:L17" si="2">K14*9%</f>
        <v>6489</v>
      </c>
      <c r="M14" s="28">
        <f t="shared" ref="M14:M55" si="3">L14*(1+$C$3)^(43-J14)</f>
        <v>103971.10490291689</v>
      </c>
      <c r="O14">
        <f>O13+1</f>
        <v>2</v>
      </c>
      <c r="P14" s="28">
        <v>72100</v>
      </c>
      <c r="Q14" s="29">
        <f t="shared" ref="Q14:Q55" si="4">P14*12%</f>
        <v>8652</v>
      </c>
      <c r="R14" s="28">
        <f t="shared" ref="R14:R55" si="5">Q14*(1+$C$3)^(43-O14)</f>
        <v>138628.13987055587</v>
      </c>
    </row>
    <row r="15" spans="2:18" x14ac:dyDescent="0.15">
      <c r="B15">
        <f t="shared" ref="B15:B55" si="6">B14+1</f>
        <v>3</v>
      </c>
      <c r="C15" s="28">
        <f t="shared" ref="C15:C55" si="7">C14*(1+$C$2)</f>
        <v>74263</v>
      </c>
      <c r="D15" s="28">
        <f t="shared" si="0"/>
        <v>8168.93</v>
      </c>
      <c r="E15" s="28">
        <f t="shared" si="1"/>
        <v>122325.29787643287</v>
      </c>
      <c r="G15" t="s">
        <v>23</v>
      </c>
      <c r="H15" s="29">
        <f>SUM(R13:R55)</f>
        <v>3103765.9767193445</v>
      </c>
      <c r="J15">
        <f t="shared" ref="J15:J55" si="8">J14+1</f>
        <v>3</v>
      </c>
      <c r="K15" s="28">
        <v>74263</v>
      </c>
      <c r="L15" s="29">
        <f t="shared" si="2"/>
        <v>6683.67</v>
      </c>
      <c r="M15" s="28">
        <f t="shared" si="3"/>
        <v>100084.33462617235</v>
      </c>
      <c r="O15">
        <f t="shared" ref="O15:O55" si="9">O14+1</f>
        <v>3</v>
      </c>
      <c r="P15" s="28">
        <v>74263</v>
      </c>
      <c r="Q15" s="29">
        <f t="shared" si="4"/>
        <v>8911.56</v>
      </c>
      <c r="R15" s="28">
        <f t="shared" si="5"/>
        <v>133445.77950156311</v>
      </c>
    </row>
    <row r="16" spans="2:18" x14ac:dyDescent="0.15">
      <c r="B16">
        <f t="shared" si="6"/>
        <v>4</v>
      </c>
      <c r="C16" s="28">
        <f t="shared" si="7"/>
        <v>76490.89</v>
      </c>
      <c r="D16" s="28">
        <f t="shared" si="0"/>
        <v>8413.9979000000003</v>
      </c>
      <c r="E16" s="28">
        <f t="shared" si="1"/>
        <v>117752.3895446036</v>
      </c>
      <c r="J16">
        <f t="shared" si="8"/>
        <v>4</v>
      </c>
      <c r="K16" s="28">
        <v>76490.89</v>
      </c>
      <c r="L16" s="29">
        <f t="shared" si="2"/>
        <v>6884.1800999999996</v>
      </c>
      <c r="M16" s="28">
        <f t="shared" si="3"/>
        <v>96342.864172857488</v>
      </c>
      <c r="O16">
        <f t="shared" si="9"/>
        <v>4</v>
      </c>
      <c r="P16" s="28">
        <v>76490.89</v>
      </c>
      <c r="Q16" s="29">
        <f t="shared" si="4"/>
        <v>9178.9067999999988</v>
      </c>
      <c r="R16" s="28">
        <f t="shared" si="5"/>
        <v>128457.15223047664</v>
      </c>
    </row>
    <row r="17" spans="2:18" x14ac:dyDescent="0.15">
      <c r="B17">
        <f t="shared" si="6"/>
        <v>5</v>
      </c>
      <c r="C17" s="28">
        <f t="shared" si="7"/>
        <v>78785.616699999999</v>
      </c>
      <c r="D17" s="28">
        <f t="shared" si="0"/>
        <v>8666.4178369999991</v>
      </c>
      <c r="E17" s="28">
        <f t="shared" si="1"/>
        <v>113350.43105695485</v>
      </c>
      <c r="G17" s="1" t="s">
        <v>24</v>
      </c>
      <c r="J17">
        <f t="shared" si="8"/>
        <v>5</v>
      </c>
      <c r="K17" s="28">
        <v>78785.616699999999</v>
      </c>
      <c r="L17" s="29">
        <f t="shared" si="2"/>
        <v>7090.7055029999992</v>
      </c>
      <c r="M17" s="28">
        <f t="shared" si="3"/>
        <v>92741.261773872146</v>
      </c>
      <c r="O17">
        <f t="shared" si="9"/>
        <v>5</v>
      </c>
      <c r="P17" s="28">
        <v>78785.616699999999</v>
      </c>
      <c r="Q17" s="29">
        <f t="shared" si="4"/>
        <v>9454.274003999999</v>
      </c>
      <c r="R17" s="28">
        <f t="shared" si="5"/>
        <v>123655.01569849619</v>
      </c>
    </row>
    <row r="18" spans="2:18" x14ac:dyDescent="0.15">
      <c r="B18">
        <f t="shared" si="6"/>
        <v>6</v>
      </c>
      <c r="C18" s="28">
        <f t="shared" si="7"/>
        <v>81149.185201</v>
      </c>
      <c r="D18" s="28">
        <f t="shared" si="0"/>
        <v>8926.41037211</v>
      </c>
      <c r="E18" s="28">
        <f t="shared" si="1"/>
        <v>109113.03176510609</v>
      </c>
      <c r="G18" t="s">
        <v>25</v>
      </c>
      <c r="H18" s="29">
        <f>AVERAGE(C53:C55)*0.015*30</f>
        <v>105867.64241854439</v>
      </c>
      <c r="J18">
        <f t="shared" si="8"/>
        <v>6</v>
      </c>
      <c r="K18" s="28">
        <v>81149.185201</v>
      </c>
      <c r="L18" s="29">
        <f>K18*10%</f>
        <v>8114.9185201</v>
      </c>
      <c r="M18" s="28">
        <f t="shared" si="3"/>
        <v>99193.665241005539</v>
      </c>
      <c r="O18">
        <f t="shared" si="9"/>
        <v>6</v>
      </c>
      <c r="P18" s="28">
        <v>81149.185201</v>
      </c>
      <c r="Q18" s="29">
        <f t="shared" si="4"/>
        <v>9737.90222412</v>
      </c>
      <c r="R18" s="28">
        <f t="shared" si="5"/>
        <v>119032.39828920664</v>
      </c>
    </row>
    <row r="19" spans="2:18" x14ac:dyDescent="0.15">
      <c r="B19">
        <f t="shared" si="6"/>
        <v>7</v>
      </c>
      <c r="C19" s="28">
        <f t="shared" si="7"/>
        <v>83583.660757029997</v>
      </c>
      <c r="D19" s="28">
        <f t="shared" si="0"/>
        <v>9194.202683273299</v>
      </c>
      <c r="E19" s="28">
        <f t="shared" si="1"/>
        <v>105034.03992341986</v>
      </c>
      <c r="G19" t="s">
        <v>22</v>
      </c>
      <c r="H19" s="29">
        <f>H14/(1.04*(1-(1.04^(-14)))/0.04)</f>
        <v>269036.98804682872</v>
      </c>
      <c r="J19">
        <f t="shared" si="8"/>
        <v>7</v>
      </c>
      <c r="K19" s="28">
        <v>83583.660757029997</v>
      </c>
      <c r="L19" s="29">
        <f t="shared" ref="L19:L22" si="10">K19*10%</f>
        <v>8358.3660757029993</v>
      </c>
      <c r="M19" s="28">
        <f t="shared" si="3"/>
        <v>95485.490839472594</v>
      </c>
      <c r="O19">
        <f t="shared" si="9"/>
        <v>7</v>
      </c>
      <c r="P19" s="28">
        <v>83583.660757029997</v>
      </c>
      <c r="Q19" s="29">
        <f t="shared" si="4"/>
        <v>10030.039290843599</v>
      </c>
      <c r="R19" s="28">
        <f t="shared" si="5"/>
        <v>114582.58900736712</v>
      </c>
    </row>
    <row r="20" spans="2:18" x14ac:dyDescent="0.15">
      <c r="B20">
        <f t="shared" si="6"/>
        <v>8</v>
      </c>
      <c r="C20" s="28">
        <f t="shared" si="7"/>
        <v>86091.170579740894</v>
      </c>
      <c r="D20" s="28">
        <f t="shared" si="0"/>
        <v>9470.0287637714991</v>
      </c>
      <c r="E20" s="28">
        <f t="shared" si="1"/>
        <v>101107.53375805839</v>
      </c>
      <c r="G20" t="s">
        <v>23</v>
      </c>
      <c r="H20" s="29">
        <f>H15/(1.04*(1-(1.04^(-14)))/0.04)</f>
        <v>282529.17079174408</v>
      </c>
      <c r="J20">
        <f t="shared" si="8"/>
        <v>8</v>
      </c>
      <c r="K20" s="28">
        <v>86091.170579740894</v>
      </c>
      <c r="L20" s="29">
        <f t="shared" si="10"/>
        <v>8609.1170579740901</v>
      </c>
      <c r="M20" s="28">
        <f t="shared" si="3"/>
        <v>91915.939780053071</v>
      </c>
      <c r="O20">
        <f t="shared" si="9"/>
        <v>8</v>
      </c>
      <c r="P20" s="28">
        <v>86091.170579740894</v>
      </c>
      <c r="Q20" s="29">
        <f t="shared" si="4"/>
        <v>10330.940469568906</v>
      </c>
      <c r="R20" s="28">
        <f t="shared" si="5"/>
        <v>110299.12773606367</v>
      </c>
    </row>
    <row r="21" spans="2:18" x14ac:dyDescent="0.15">
      <c r="B21">
        <f t="shared" si="6"/>
        <v>9</v>
      </c>
      <c r="C21" s="28">
        <f t="shared" si="7"/>
        <v>88673.90569713313</v>
      </c>
      <c r="D21" s="28">
        <f t="shared" si="0"/>
        <v>9754.1296266846439</v>
      </c>
      <c r="E21" s="28">
        <f t="shared" si="1"/>
        <v>97327.812869906658</v>
      </c>
      <c r="J21">
        <f t="shared" si="8"/>
        <v>9</v>
      </c>
      <c r="K21" s="28">
        <v>88673.90569713313</v>
      </c>
      <c r="L21" s="29">
        <f t="shared" si="10"/>
        <v>8867.3905697133141</v>
      </c>
      <c r="M21" s="28">
        <f t="shared" si="3"/>
        <v>88479.829881733342</v>
      </c>
      <c r="O21">
        <f t="shared" si="9"/>
        <v>9</v>
      </c>
      <c r="P21" s="28">
        <v>88673.90569713313</v>
      </c>
      <c r="Q21" s="29">
        <f t="shared" si="4"/>
        <v>10640.868683655975</v>
      </c>
      <c r="R21" s="28">
        <f t="shared" si="5"/>
        <v>106175.79585807999</v>
      </c>
    </row>
    <row r="22" spans="2:18" x14ac:dyDescent="0.15">
      <c r="B22">
        <f t="shared" si="6"/>
        <v>10</v>
      </c>
      <c r="C22" s="28">
        <f t="shared" si="7"/>
        <v>91334.122868047125</v>
      </c>
      <c r="D22" s="28">
        <f t="shared" si="0"/>
        <v>10046.753515485183</v>
      </c>
      <c r="E22" s="28">
        <f t="shared" si="1"/>
        <v>93689.389958882108</v>
      </c>
      <c r="J22">
        <f t="shared" si="8"/>
        <v>10</v>
      </c>
      <c r="K22" s="28">
        <v>91334.122868047125</v>
      </c>
      <c r="L22" s="29">
        <f t="shared" si="10"/>
        <v>9133.4122868047125</v>
      </c>
      <c r="M22" s="28">
        <f t="shared" si="3"/>
        <v>85172.172689892832</v>
      </c>
      <c r="O22">
        <f t="shared" si="9"/>
        <v>10</v>
      </c>
      <c r="P22" s="28">
        <v>91334.122868047125</v>
      </c>
      <c r="Q22" s="29">
        <f t="shared" si="4"/>
        <v>10960.094744165655</v>
      </c>
      <c r="R22" s="28">
        <f t="shared" si="5"/>
        <v>102206.60722787141</v>
      </c>
    </row>
    <row r="23" spans="2:18" x14ac:dyDescent="0.15">
      <c r="B23">
        <f t="shared" si="6"/>
        <v>11</v>
      </c>
      <c r="C23" s="28">
        <f t="shared" si="7"/>
        <v>94074.14655408854</v>
      </c>
      <c r="D23" s="28">
        <f t="shared" si="0"/>
        <v>10348.156120949739</v>
      </c>
      <c r="E23" s="28">
        <f t="shared" si="1"/>
        <v>90186.982857615498</v>
      </c>
      <c r="J23">
        <f t="shared" si="8"/>
        <v>11</v>
      </c>
      <c r="K23" s="28">
        <v>94074.14655408854</v>
      </c>
      <c r="L23" s="29">
        <f>K23*11%</f>
        <v>10348.156120949739</v>
      </c>
      <c r="M23" s="28">
        <f t="shared" si="3"/>
        <v>90186.982857615498</v>
      </c>
      <c r="O23">
        <f t="shared" si="9"/>
        <v>11</v>
      </c>
      <c r="P23" s="28">
        <v>94074.14655408854</v>
      </c>
      <c r="Q23" s="29">
        <f t="shared" si="4"/>
        <v>11288.897586490624</v>
      </c>
      <c r="R23" s="28">
        <f t="shared" si="5"/>
        <v>98385.799481035079</v>
      </c>
    </row>
    <row r="24" spans="2:18" x14ac:dyDescent="0.15">
      <c r="B24">
        <f t="shared" si="6"/>
        <v>12</v>
      </c>
      <c r="C24" s="28">
        <f t="shared" si="7"/>
        <v>96896.370950711193</v>
      </c>
      <c r="D24" s="28">
        <f t="shared" si="0"/>
        <v>10658.600804578231</v>
      </c>
      <c r="E24" s="28">
        <f t="shared" si="1"/>
        <v>86815.506862938288</v>
      </c>
      <c r="J24">
        <f t="shared" si="8"/>
        <v>12</v>
      </c>
      <c r="K24" s="28">
        <v>96896.370950711193</v>
      </c>
      <c r="L24" s="29">
        <f t="shared" ref="L24:L27" si="11">K24*11%</f>
        <v>10658.600804578231</v>
      </c>
      <c r="M24" s="28">
        <f t="shared" si="3"/>
        <v>86815.506862938288</v>
      </c>
      <c r="O24">
        <f t="shared" si="9"/>
        <v>12</v>
      </c>
      <c r="P24" s="28">
        <v>96896.370950711193</v>
      </c>
      <c r="Q24" s="29">
        <f t="shared" si="4"/>
        <v>11627.564514085343</v>
      </c>
      <c r="R24" s="28">
        <f t="shared" si="5"/>
        <v>94707.825668659949</v>
      </c>
    </row>
    <row r="25" spans="2:18" x14ac:dyDescent="0.15">
      <c r="B25">
        <f t="shared" si="6"/>
        <v>13</v>
      </c>
      <c r="C25" s="28">
        <f t="shared" si="7"/>
        <v>99803.262079232532</v>
      </c>
      <c r="D25" s="28">
        <f t="shared" si="0"/>
        <v>10978.358828715578</v>
      </c>
      <c r="E25" s="28">
        <f t="shared" si="1"/>
        <v>83570.067354043378</v>
      </c>
      <c r="J25">
        <f t="shared" si="8"/>
        <v>13</v>
      </c>
      <c r="K25" s="28">
        <v>99803.262079232532</v>
      </c>
      <c r="L25" s="29">
        <f t="shared" si="11"/>
        <v>10978.358828715578</v>
      </c>
      <c r="M25" s="28">
        <f t="shared" si="3"/>
        <v>83570.067354043378</v>
      </c>
      <c r="O25">
        <f t="shared" si="9"/>
        <v>13</v>
      </c>
      <c r="P25" s="28">
        <v>99803.262079232532</v>
      </c>
      <c r="Q25" s="29">
        <f t="shared" si="4"/>
        <v>11976.391449507904</v>
      </c>
      <c r="R25" s="28">
        <f t="shared" si="5"/>
        <v>91167.346204410976</v>
      </c>
    </row>
    <row r="26" spans="2:18" x14ac:dyDescent="0.15">
      <c r="B26">
        <f t="shared" si="6"/>
        <v>14</v>
      </c>
      <c r="C26" s="28">
        <f t="shared" si="7"/>
        <v>102797.35994160951</v>
      </c>
      <c r="D26" s="28">
        <f t="shared" si="0"/>
        <v>11307.709593577047</v>
      </c>
      <c r="E26" s="28">
        <f t="shared" si="1"/>
        <v>80445.952686602526</v>
      </c>
      <c r="J26">
        <f t="shared" si="8"/>
        <v>14</v>
      </c>
      <c r="K26" s="28">
        <v>102797.35994160951</v>
      </c>
      <c r="L26" s="29">
        <f t="shared" si="11"/>
        <v>11307.709593577047</v>
      </c>
      <c r="M26" s="28">
        <f t="shared" si="3"/>
        <v>80445.952686602526</v>
      </c>
      <c r="O26">
        <f t="shared" si="9"/>
        <v>14</v>
      </c>
      <c r="P26" s="28">
        <v>102797.35994160951</v>
      </c>
      <c r="Q26" s="29">
        <f t="shared" si="4"/>
        <v>12335.683192993141</v>
      </c>
      <c r="R26" s="28">
        <f t="shared" si="5"/>
        <v>87759.221112657295</v>
      </c>
    </row>
    <row r="27" spans="2:18" x14ac:dyDescent="0.15">
      <c r="B27">
        <f t="shared" si="6"/>
        <v>15</v>
      </c>
      <c r="C27" s="28">
        <f t="shared" si="7"/>
        <v>105881.2807398578</v>
      </c>
      <c r="D27" s="28">
        <f t="shared" si="0"/>
        <v>11646.940881384358</v>
      </c>
      <c r="E27" s="28">
        <f t="shared" si="1"/>
        <v>77438.627352523923</v>
      </c>
      <c r="J27">
        <f t="shared" si="8"/>
        <v>15</v>
      </c>
      <c r="K27" s="28">
        <v>105881.2807398578</v>
      </c>
      <c r="L27" s="29">
        <f t="shared" si="11"/>
        <v>11646.940881384358</v>
      </c>
      <c r="M27" s="28">
        <f t="shared" si="3"/>
        <v>77438.627352523923</v>
      </c>
      <c r="O27">
        <f t="shared" si="9"/>
        <v>15</v>
      </c>
      <c r="P27" s="28">
        <v>105881.2807398578</v>
      </c>
      <c r="Q27" s="29">
        <f t="shared" si="4"/>
        <v>12705.753688782936</v>
      </c>
      <c r="R27" s="28">
        <f t="shared" si="5"/>
        <v>84478.502566389725</v>
      </c>
    </row>
    <row r="28" spans="2:18" x14ac:dyDescent="0.15">
      <c r="B28">
        <f t="shared" si="6"/>
        <v>16</v>
      </c>
      <c r="C28" s="28">
        <f t="shared" si="7"/>
        <v>109057.71916205353</v>
      </c>
      <c r="D28" s="28">
        <f t="shared" si="0"/>
        <v>11996.349107825888</v>
      </c>
      <c r="E28" s="28">
        <f t="shared" si="1"/>
        <v>74543.725395420232</v>
      </c>
      <c r="J28">
        <f t="shared" si="8"/>
        <v>16</v>
      </c>
      <c r="K28" s="28">
        <v>109057.71916205353</v>
      </c>
      <c r="L28" s="29">
        <f>'Value Adjustment'!K28*12%</f>
        <v>13086.926299446422</v>
      </c>
      <c r="M28" s="28">
        <f t="shared" si="3"/>
        <v>81320.427704094793</v>
      </c>
      <c r="O28">
        <f t="shared" si="9"/>
        <v>16</v>
      </c>
      <c r="P28" s="28">
        <v>109057.71916205353</v>
      </c>
      <c r="Q28" s="29">
        <f t="shared" si="4"/>
        <v>13086.926299446422</v>
      </c>
      <c r="R28" s="28">
        <f t="shared" si="5"/>
        <v>81320.427704094793</v>
      </c>
    </row>
    <row r="29" spans="2:18" x14ac:dyDescent="0.15">
      <c r="B29">
        <f t="shared" si="6"/>
        <v>17</v>
      </c>
      <c r="C29" s="28">
        <f t="shared" si="7"/>
        <v>112329.45073691514</v>
      </c>
      <c r="D29" s="28">
        <f t="shared" si="0"/>
        <v>12356.239581060665</v>
      </c>
      <c r="E29" s="28">
        <f t="shared" si="1"/>
        <v>71757.044072226941</v>
      </c>
      <c r="J29">
        <f t="shared" si="8"/>
        <v>17</v>
      </c>
      <c r="K29" s="28">
        <v>112329.45073691514</v>
      </c>
      <c r="L29" s="29">
        <f>'Value Adjustment'!K29*12%</f>
        <v>13479.534088429817</v>
      </c>
      <c r="M29" s="28">
        <f t="shared" si="3"/>
        <v>78280.411715156661</v>
      </c>
      <c r="O29">
        <f t="shared" si="9"/>
        <v>17</v>
      </c>
      <c r="P29" s="28">
        <v>112329.45073691514</v>
      </c>
      <c r="Q29" s="29">
        <f t="shared" si="4"/>
        <v>13479.534088429817</v>
      </c>
      <c r="R29" s="28">
        <f t="shared" si="5"/>
        <v>78280.411715156661</v>
      </c>
    </row>
    <row r="30" spans="2:18" x14ac:dyDescent="0.15">
      <c r="B30">
        <f t="shared" si="6"/>
        <v>18</v>
      </c>
      <c r="C30" s="28">
        <f t="shared" si="7"/>
        <v>115699.33425902259</v>
      </c>
      <c r="D30" s="28">
        <f t="shared" si="0"/>
        <v>12726.926768492485</v>
      </c>
      <c r="E30" s="28">
        <f t="shared" si="1"/>
        <v>69074.537751769865</v>
      </c>
      <c r="J30">
        <f t="shared" si="8"/>
        <v>18</v>
      </c>
      <c r="K30" s="28">
        <v>115699.33425902259</v>
      </c>
      <c r="L30" s="29">
        <f>'Value Adjustment'!K30*12%</f>
        <v>13883.920111082711</v>
      </c>
      <c r="M30" s="28">
        <f t="shared" si="3"/>
        <v>75354.041183748937</v>
      </c>
      <c r="O30">
        <f t="shared" si="9"/>
        <v>18</v>
      </c>
      <c r="P30" s="28">
        <v>115699.33425902259</v>
      </c>
      <c r="Q30" s="29">
        <f t="shared" si="4"/>
        <v>13883.920111082711</v>
      </c>
      <c r="R30" s="28">
        <f t="shared" si="5"/>
        <v>75354.041183748937</v>
      </c>
    </row>
    <row r="31" spans="2:18" x14ac:dyDescent="0.15">
      <c r="B31">
        <f t="shared" si="6"/>
        <v>19</v>
      </c>
      <c r="C31" s="28">
        <f t="shared" si="7"/>
        <v>119170.31428679328</v>
      </c>
      <c r="D31" s="28">
        <f t="shared" si="0"/>
        <v>13108.73457154726</v>
      </c>
      <c r="E31" s="28">
        <f t="shared" si="1"/>
        <v>66492.312041423327</v>
      </c>
      <c r="J31">
        <f t="shared" si="8"/>
        <v>19</v>
      </c>
      <c r="K31" s="28">
        <v>119170.31428679328</v>
      </c>
      <c r="L31" s="29">
        <f>'Value Adjustment'!K31*12%</f>
        <v>14300.437714415193</v>
      </c>
      <c r="M31" s="28">
        <f t="shared" si="3"/>
        <v>72537.067681552726</v>
      </c>
      <c r="O31">
        <f t="shared" si="9"/>
        <v>19</v>
      </c>
      <c r="P31" s="28">
        <v>119170.31428679328</v>
      </c>
      <c r="Q31" s="29">
        <f t="shared" si="4"/>
        <v>14300.437714415193</v>
      </c>
      <c r="R31" s="28">
        <f t="shared" si="5"/>
        <v>72537.067681552726</v>
      </c>
    </row>
    <row r="32" spans="2:18" x14ac:dyDescent="0.15">
      <c r="B32">
        <f t="shared" si="6"/>
        <v>20</v>
      </c>
      <c r="C32" s="28">
        <f t="shared" si="7"/>
        <v>122745.42371539708</v>
      </c>
      <c r="D32" s="28">
        <f t="shared" si="0"/>
        <v>13501.996608693678</v>
      </c>
      <c r="E32" s="28">
        <f t="shared" si="1"/>
        <v>64006.618133332733</v>
      </c>
      <c r="J32">
        <f t="shared" si="8"/>
        <v>20</v>
      </c>
      <c r="K32" s="28">
        <v>122745.42371539708</v>
      </c>
      <c r="L32" s="29">
        <f>'Value Adjustment'!K32*12%</f>
        <v>14729.450845847648</v>
      </c>
      <c r="M32" s="28">
        <f t="shared" si="3"/>
        <v>69825.401599999343</v>
      </c>
      <c r="O32">
        <f t="shared" si="9"/>
        <v>20</v>
      </c>
      <c r="P32" s="28">
        <v>122745.42371539708</v>
      </c>
      <c r="Q32" s="29">
        <f t="shared" si="4"/>
        <v>14729.450845847648</v>
      </c>
      <c r="R32" s="28">
        <f t="shared" si="5"/>
        <v>69825.401599999343</v>
      </c>
    </row>
    <row r="33" spans="2:18" x14ac:dyDescent="0.15">
      <c r="B33">
        <f t="shared" si="6"/>
        <v>21</v>
      </c>
      <c r="C33" s="28">
        <f t="shared" si="7"/>
        <v>126427.78642685899</v>
      </c>
      <c r="D33" s="28">
        <f t="shared" si="0"/>
        <v>13907.056506954488</v>
      </c>
      <c r="E33" s="28">
        <f t="shared" si="1"/>
        <v>61613.84736199319</v>
      </c>
      <c r="J33">
        <f t="shared" si="8"/>
        <v>21</v>
      </c>
      <c r="K33" s="28">
        <v>126427.78642685899</v>
      </c>
      <c r="L33" s="29">
        <f>K33*13%</f>
        <v>16435.61223549167</v>
      </c>
      <c r="M33" s="28">
        <f t="shared" si="3"/>
        <v>72816.365064173777</v>
      </c>
      <c r="O33">
        <f t="shared" si="9"/>
        <v>21</v>
      </c>
      <c r="P33" s="28">
        <v>126427.78642685899</v>
      </c>
      <c r="Q33" s="29">
        <f t="shared" si="4"/>
        <v>15171.334371223078</v>
      </c>
      <c r="R33" s="28">
        <f t="shared" si="5"/>
        <v>67215.106213083476</v>
      </c>
    </row>
    <row r="34" spans="2:18" x14ac:dyDescent="0.15">
      <c r="B34">
        <f t="shared" si="6"/>
        <v>22</v>
      </c>
      <c r="C34" s="28">
        <f t="shared" si="7"/>
        <v>130220.62001966477</v>
      </c>
      <c r="D34" s="28">
        <f t="shared" si="0"/>
        <v>14324.268202163124</v>
      </c>
      <c r="E34" s="28">
        <f t="shared" si="1"/>
        <v>59310.525965283166</v>
      </c>
      <c r="J34">
        <f t="shared" si="8"/>
        <v>22</v>
      </c>
      <c r="K34" s="28">
        <v>130220.62001966477</v>
      </c>
      <c r="L34" s="29">
        <f t="shared" ref="L34:L37" si="12">K34*13%</f>
        <v>16928.680602556422</v>
      </c>
      <c r="M34" s="28">
        <f t="shared" si="3"/>
        <v>70094.257958971022</v>
      </c>
      <c r="O34">
        <f t="shared" si="9"/>
        <v>22</v>
      </c>
      <c r="P34" s="28">
        <v>130220.62001966477</v>
      </c>
      <c r="Q34" s="29">
        <f t="shared" si="4"/>
        <v>15626.474402359772</v>
      </c>
      <c r="R34" s="28">
        <f t="shared" si="5"/>
        <v>64702.391962127098</v>
      </c>
    </row>
    <row r="35" spans="2:18" x14ac:dyDescent="0.15">
      <c r="B35">
        <f t="shared" si="6"/>
        <v>23</v>
      </c>
      <c r="C35" s="28">
        <f t="shared" si="7"/>
        <v>134127.23862025471</v>
      </c>
      <c r="D35" s="28">
        <f t="shared" si="0"/>
        <v>14753.996248228017</v>
      </c>
      <c r="E35" s="28">
        <f t="shared" si="1"/>
        <v>57093.310041347344</v>
      </c>
      <c r="J35">
        <f t="shared" si="8"/>
        <v>23</v>
      </c>
      <c r="K35" s="28">
        <v>134127.23862025471</v>
      </c>
      <c r="L35" s="29">
        <f t="shared" si="12"/>
        <v>17436.541020633111</v>
      </c>
      <c r="M35" s="28">
        <f t="shared" si="3"/>
        <v>67473.91186704686</v>
      </c>
      <c r="O35">
        <f t="shared" si="9"/>
        <v>23</v>
      </c>
      <c r="P35" s="28">
        <v>134127.23862025471</v>
      </c>
      <c r="Q35" s="29">
        <f t="shared" si="4"/>
        <v>16095.268634430564</v>
      </c>
      <c r="R35" s="28">
        <f t="shared" si="5"/>
        <v>62283.610954197102</v>
      </c>
    </row>
    <row r="36" spans="2:18" x14ac:dyDescent="0.15">
      <c r="B36">
        <f t="shared" si="6"/>
        <v>24</v>
      </c>
      <c r="C36" s="28">
        <f t="shared" si="7"/>
        <v>138151.05577886236</v>
      </c>
      <c r="D36" s="28">
        <f t="shared" si="0"/>
        <v>15196.61613567486</v>
      </c>
      <c r="E36" s="28">
        <f t="shared" si="1"/>
        <v>54958.980694007267</v>
      </c>
      <c r="J36">
        <f t="shared" si="8"/>
        <v>24</v>
      </c>
      <c r="K36" s="28">
        <v>138151.05577886236</v>
      </c>
      <c r="L36" s="29">
        <f t="shared" si="12"/>
        <v>17959.637251252108</v>
      </c>
      <c r="M36" s="28">
        <f t="shared" si="3"/>
        <v>64951.522638372233</v>
      </c>
      <c r="O36">
        <f t="shared" si="9"/>
        <v>24</v>
      </c>
      <c r="P36" s="28">
        <v>138151.05577886236</v>
      </c>
      <c r="Q36" s="29">
        <f t="shared" si="4"/>
        <v>16578.12669346348</v>
      </c>
      <c r="R36" s="28">
        <f t="shared" si="5"/>
        <v>59955.251666189739</v>
      </c>
    </row>
    <row r="37" spans="2:18" x14ac:dyDescent="0.15">
      <c r="B37">
        <f t="shared" si="6"/>
        <v>25</v>
      </c>
      <c r="C37" s="28">
        <f t="shared" si="7"/>
        <v>142295.58745222824</v>
      </c>
      <c r="D37" s="28">
        <f t="shared" si="0"/>
        <v>15652.514619745107</v>
      </c>
      <c r="E37" s="28">
        <f t="shared" si="1"/>
        <v>52904.439359651857</v>
      </c>
      <c r="J37">
        <f t="shared" si="8"/>
        <v>25</v>
      </c>
      <c r="K37" s="28">
        <v>142295.58745222824</v>
      </c>
      <c r="L37" s="29">
        <f t="shared" si="12"/>
        <v>18498.426368789671</v>
      </c>
      <c r="M37" s="28">
        <f t="shared" si="3"/>
        <v>62523.428334134012</v>
      </c>
      <c r="O37">
        <f t="shared" si="9"/>
        <v>25</v>
      </c>
      <c r="P37" s="28">
        <v>142295.58745222824</v>
      </c>
      <c r="Q37" s="29">
        <f t="shared" si="4"/>
        <v>17075.470494267389</v>
      </c>
      <c r="R37" s="28">
        <f t="shared" si="5"/>
        <v>57713.933846892935</v>
      </c>
    </row>
    <row r="38" spans="2:18" x14ac:dyDescent="0.15">
      <c r="B38">
        <f t="shared" si="6"/>
        <v>26</v>
      </c>
      <c r="C38" s="28">
        <f t="shared" si="7"/>
        <v>146564.45507579509</v>
      </c>
      <c r="D38" s="28">
        <f t="shared" si="0"/>
        <v>16122.090058337461</v>
      </c>
      <c r="E38" s="28">
        <f t="shared" si="1"/>
        <v>50926.703308823751</v>
      </c>
      <c r="J38">
        <f t="shared" si="8"/>
        <v>26</v>
      </c>
      <c r="K38" s="28">
        <v>146564.45507579509</v>
      </c>
      <c r="L38" s="29">
        <f>K38*14%</f>
        <v>20519.023710611316</v>
      </c>
      <c r="M38" s="28">
        <f t="shared" si="3"/>
        <v>64815.804211230236</v>
      </c>
      <c r="O38">
        <f t="shared" si="9"/>
        <v>26</v>
      </c>
      <c r="P38" s="28">
        <v>146564.45507579509</v>
      </c>
      <c r="Q38" s="29">
        <f t="shared" si="4"/>
        <v>17587.734609095409</v>
      </c>
      <c r="R38" s="28">
        <f t="shared" si="5"/>
        <v>55556.403609625901</v>
      </c>
    </row>
    <row r="39" spans="2:18" x14ac:dyDescent="0.15">
      <c r="B39">
        <f t="shared" si="6"/>
        <v>27</v>
      </c>
      <c r="C39" s="28">
        <f t="shared" si="7"/>
        <v>150961.38872806894</v>
      </c>
      <c r="D39" s="28">
        <f t="shared" si="0"/>
        <v>16605.752760087584</v>
      </c>
      <c r="E39" s="28">
        <f t="shared" si="1"/>
        <v>49022.901315970521</v>
      </c>
      <c r="J39">
        <f t="shared" si="8"/>
        <v>27</v>
      </c>
      <c r="K39" s="28">
        <v>150961.38872806894</v>
      </c>
      <c r="L39" s="29">
        <f t="shared" ref="L39:L55" si="13">K39*14%</f>
        <v>21134.594421929654</v>
      </c>
      <c r="M39" s="28">
        <f t="shared" si="3"/>
        <v>62392.783493053401</v>
      </c>
      <c r="O39">
        <f t="shared" si="9"/>
        <v>27</v>
      </c>
      <c r="P39" s="28">
        <v>150961.38872806894</v>
      </c>
      <c r="Q39" s="29">
        <f t="shared" si="4"/>
        <v>18115.366647368272</v>
      </c>
      <c r="R39" s="28">
        <f t="shared" si="5"/>
        <v>53479.528708331476</v>
      </c>
    </row>
    <row r="40" spans="2:18" x14ac:dyDescent="0.15">
      <c r="B40">
        <f t="shared" si="6"/>
        <v>28</v>
      </c>
      <c r="C40" s="28">
        <f t="shared" si="7"/>
        <v>155490.23038991101</v>
      </c>
      <c r="D40" s="28">
        <f t="shared" si="0"/>
        <v>17103.925342890212</v>
      </c>
      <c r="E40" s="28">
        <f t="shared" si="1"/>
        <v>47190.269491074439</v>
      </c>
      <c r="J40">
        <f t="shared" si="8"/>
        <v>28</v>
      </c>
      <c r="K40" s="28">
        <v>155490.23038991101</v>
      </c>
      <c r="L40" s="29">
        <f t="shared" si="13"/>
        <v>21768.632254587545</v>
      </c>
      <c r="M40" s="28">
        <f t="shared" si="3"/>
        <v>60060.342988640201</v>
      </c>
      <c r="O40">
        <f t="shared" si="9"/>
        <v>28</v>
      </c>
      <c r="P40" s="28">
        <v>155490.23038991101</v>
      </c>
      <c r="Q40" s="29">
        <f t="shared" si="4"/>
        <v>18658.827646789319</v>
      </c>
      <c r="R40" s="28">
        <f t="shared" si="5"/>
        <v>51480.293990263017</v>
      </c>
    </row>
    <row r="41" spans="2:18" x14ac:dyDescent="0.15">
      <c r="B41">
        <f t="shared" si="6"/>
        <v>29</v>
      </c>
      <c r="C41" s="28">
        <f t="shared" si="7"/>
        <v>160154.93730160836</v>
      </c>
      <c r="D41" s="28">
        <f t="shared" si="0"/>
        <v>17617.043103176919</v>
      </c>
      <c r="E41" s="28">
        <f t="shared" si="1"/>
        <v>45426.147267109031</v>
      </c>
      <c r="J41">
        <f t="shared" si="8"/>
        <v>29</v>
      </c>
      <c r="K41" s="28">
        <v>160154.93730160836</v>
      </c>
      <c r="L41" s="29">
        <f t="shared" si="13"/>
        <v>22421.69122222517</v>
      </c>
      <c r="M41" s="28">
        <f t="shared" si="3"/>
        <v>57815.096521775136</v>
      </c>
      <c r="O41">
        <f t="shared" si="9"/>
        <v>29</v>
      </c>
      <c r="P41" s="28">
        <v>160154.93730160836</v>
      </c>
      <c r="Q41" s="29">
        <f t="shared" si="4"/>
        <v>19218.592476193004</v>
      </c>
      <c r="R41" s="28">
        <f t="shared" si="5"/>
        <v>49555.797018664402</v>
      </c>
    </row>
    <row r="42" spans="2:18" x14ac:dyDescent="0.15">
      <c r="B42">
        <f t="shared" si="6"/>
        <v>30</v>
      </c>
      <c r="C42" s="28">
        <f t="shared" si="7"/>
        <v>164959.5854206566</v>
      </c>
      <c r="D42" s="28">
        <f t="shared" si="0"/>
        <v>18145.554396272226</v>
      </c>
      <c r="E42" s="28">
        <f t="shared" si="1"/>
        <v>43727.973537497484</v>
      </c>
      <c r="J42">
        <f t="shared" si="8"/>
        <v>30</v>
      </c>
      <c r="K42" s="28">
        <v>164959.5854206566</v>
      </c>
      <c r="L42" s="29">
        <f t="shared" si="13"/>
        <v>23094.341958891928</v>
      </c>
      <c r="M42" s="28">
        <f t="shared" si="3"/>
        <v>55653.784502269533</v>
      </c>
      <c r="O42">
        <f t="shared" si="9"/>
        <v>30</v>
      </c>
      <c r="P42" s="28">
        <v>164959.5854206566</v>
      </c>
      <c r="Q42" s="29">
        <f t="shared" si="4"/>
        <v>19795.15025047879</v>
      </c>
      <c r="R42" s="28">
        <f t="shared" si="5"/>
        <v>47703.243859088157</v>
      </c>
    </row>
    <row r="43" spans="2:18" x14ac:dyDescent="0.15">
      <c r="B43">
        <f t="shared" si="6"/>
        <v>31</v>
      </c>
      <c r="C43" s="28">
        <f t="shared" si="7"/>
        <v>169908.37298327629</v>
      </c>
      <c r="D43" s="28">
        <f t="shared" si="0"/>
        <v>18689.921028160392</v>
      </c>
      <c r="E43" s="28">
        <f t="shared" si="1"/>
        <v>42093.282937964861</v>
      </c>
      <c r="J43">
        <f t="shared" si="8"/>
        <v>31</v>
      </c>
      <c r="K43" s="28">
        <v>169908.37298327629</v>
      </c>
      <c r="L43" s="29">
        <f t="shared" si="13"/>
        <v>23787.172217658685</v>
      </c>
      <c r="M43" s="28">
        <f t="shared" si="3"/>
        <v>53573.269193773471</v>
      </c>
      <c r="O43">
        <f t="shared" si="9"/>
        <v>31</v>
      </c>
      <c r="P43" s="28">
        <v>169908.37298327629</v>
      </c>
      <c r="Q43" s="29">
        <f t="shared" si="4"/>
        <v>20389.004757993152</v>
      </c>
      <c r="R43" s="28">
        <f t="shared" si="5"/>
        <v>45919.945023234388</v>
      </c>
    </row>
    <row r="44" spans="2:18" x14ac:dyDescent="0.15">
      <c r="B44">
        <f t="shared" si="6"/>
        <v>32</v>
      </c>
      <c r="C44" s="28">
        <f t="shared" si="7"/>
        <v>175005.62417277458</v>
      </c>
      <c r="D44" s="28">
        <f t="shared" si="0"/>
        <v>19250.618659005206</v>
      </c>
      <c r="E44" s="28">
        <f t="shared" si="1"/>
        <v>40519.702267386747</v>
      </c>
      <c r="J44">
        <f t="shared" si="8"/>
        <v>32</v>
      </c>
      <c r="K44" s="28">
        <v>175005.62417277458</v>
      </c>
      <c r="L44" s="29">
        <f t="shared" si="13"/>
        <v>24500.787384188443</v>
      </c>
      <c r="M44" s="28">
        <f t="shared" si="3"/>
        <v>51570.53015849222</v>
      </c>
      <c r="O44">
        <f t="shared" si="9"/>
        <v>32</v>
      </c>
      <c r="P44" s="28">
        <v>175005.62417277458</v>
      </c>
      <c r="Q44" s="29">
        <f t="shared" si="4"/>
        <v>21000.674900732949</v>
      </c>
      <c r="R44" s="28">
        <f t="shared" si="5"/>
        <v>44203.3115644219</v>
      </c>
    </row>
    <row r="45" spans="2:18" x14ac:dyDescent="0.15">
      <c r="B45">
        <f t="shared" si="6"/>
        <v>33</v>
      </c>
      <c r="C45" s="28">
        <f t="shared" si="7"/>
        <v>180255.79289795781</v>
      </c>
      <c r="D45" s="28">
        <f t="shared" si="0"/>
        <v>19828.137218775359</v>
      </c>
      <c r="E45" s="28">
        <f t="shared" si="1"/>
        <v>39004.9470424377</v>
      </c>
      <c r="J45">
        <f t="shared" si="8"/>
        <v>33</v>
      </c>
      <c r="K45" s="28">
        <v>180255.79289795781</v>
      </c>
      <c r="L45" s="29">
        <f t="shared" si="13"/>
        <v>25235.811005714095</v>
      </c>
      <c r="M45" s="28">
        <f t="shared" si="3"/>
        <v>49642.659872193435</v>
      </c>
      <c r="O45">
        <f t="shared" si="9"/>
        <v>33</v>
      </c>
      <c r="P45" s="28">
        <v>180255.79289795781</v>
      </c>
      <c r="Q45" s="29">
        <f t="shared" si="4"/>
        <v>21630.695147754937</v>
      </c>
      <c r="R45" s="28">
        <f t="shared" si="5"/>
        <v>42550.851319022942</v>
      </c>
    </row>
    <row r="46" spans="2:18" x14ac:dyDescent="0.15">
      <c r="B46">
        <f t="shared" si="6"/>
        <v>34</v>
      </c>
      <c r="C46" s="28">
        <f t="shared" si="7"/>
        <v>185663.46668489656</v>
      </c>
      <c r="D46" s="28">
        <f t="shared" si="0"/>
        <v>20422.98133533862</v>
      </c>
      <c r="E46" s="28">
        <f t="shared" si="1"/>
        <v>37546.818181038165</v>
      </c>
      <c r="J46">
        <f t="shared" si="8"/>
        <v>34</v>
      </c>
      <c r="K46" s="28">
        <v>185663.46668489656</v>
      </c>
      <c r="L46" s="29">
        <f t="shared" si="13"/>
        <v>25992.885335885519</v>
      </c>
      <c r="M46" s="28">
        <f t="shared" si="3"/>
        <v>47786.859503139487</v>
      </c>
      <c r="O46">
        <f t="shared" si="9"/>
        <v>34</v>
      </c>
      <c r="P46" s="28">
        <v>185663.46668489656</v>
      </c>
      <c r="Q46" s="29">
        <f t="shared" si="4"/>
        <v>22279.616002187588</v>
      </c>
      <c r="R46" s="28">
        <f t="shared" si="5"/>
        <v>40960.165288405275</v>
      </c>
    </row>
    <row r="47" spans="2:18" x14ac:dyDescent="0.15">
      <c r="B47">
        <f t="shared" si="6"/>
        <v>35</v>
      </c>
      <c r="C47" s="28">
        <f t="shared" si="7"/>
        <v>191233.37068544346</v>
      </c>
      <c r="D47" s="28">
        <f t="shared" si="0"/>
        <v>21035.670775398779</v>
      </c>
      <c r="E47" s="28">
        <f t="shared" si="1"/>
        <v>36143.198809784393</v>
      </c>
      <c r="J47">
        <f t="shared" si="8"/>
        <v>35</v>
      </c>
      <c r="K47" s="28">
        <v>191233.37068544346</v>
      </c>
      <c r="L47" s="29">
        <f t="shared" si="13"/>
        <v>26772.671895962085</v>
      </c>
      <c r="M47" s="28">
        <f t="shared" si="3"/>
        <v>46000.434848816505</v>
      </c>
      <c r="O47">
        <f t="shared" si="9"/>
        <v>35</v>
      </c>
      <c r="P47" s="28">
        <v>191233.37068544346</v>
      </c>
      <c r="Q47" s="29">
        <f t="shared" si="4"/>
        <v>22948.004482253215</v>
      </c>
      <c r="R47" s="28">
        <f t="shared" si="5"/>
        <v>39428.944156128433</v>
      </c>
    </row>
    <row r="48" spans="2:18" x14ac:dyDescent="0.15">
      <c r="B48">
        <f t="shared" si="6"/>
        <v>36</v>
      </c>
      <c r="C48" s="28">
        <f t="shared" si="7"/>
        <v>196970.37180600676</v>
      </c>
      <c r="D48" s="28">
        <f t="shared" si="0"/>
        <v>21666.740898660744</v>
      </c>
      <c r="E48" s="28">
        <f t="shared" si="1"/>
        <v>34792.051190727041</v>
      </c>
      <c r="J48">
        <f t="shared" si="8"/>
        <v>36</v>
      </c>
      <c r="K48" s="28">
        <v>196970.37180600676</v>
      </c>
      <c r="L48" s="29">
        <f t="shared" si="13"/>
        <v>27575.85205284095</v>
      </c>
      <c r="M48" s="28">
        <f t="shared" si="3"/>
        <v>44280.792424561689</v>
      </c>
      <c r="O48">
        <f t="shared" si="9"/>
        <v>36</v>
      </c>
      <c r="P48" s="28">
        <v>196970.37180600676</v>
      </c>
      <c r="Q48" s="29">
        <f t="shared" si="4"/>
        <v>23636.444616720812</v>
      </c>
      <c r="R48" s="28">
        <f t="shared" si="5"/>
        <v>37954.96493533859</v>
      </c>
    </row>
    <row r="49" spans="2:18" x14ac:dyDescent="0.15">
      <c r="B49">
        <f t="shared" si="6"/>
        <v>37</v>
      </c>
      <c r="C49" s="28">
        <f t="shared" si="7"/>
        <v>202879.48296018696</v>
      </c>
      <c r="D49" s="28">
        <f t="shared" si="0"/>
        <v>22316.743125620564</v>
      </c>
      <c r="E49" s="28">
        <f t="shared" si="1"/>
        <v>33491.413763036304</v>
      </c>
      <c r="J49">
        <f t="shared" si="8"/>
        <v>37</v>
      </c>
      <c r="K49" s="28">
        <v>202879.48296018696</v>
      </c>
      <c r="L49" s="29">
        <f t="shared" si="13"/>
        <v>28403.127614426176</v>
      </c>
      <c r="M49" s="28">
        <f t="shared" si="3"/>
        <v>42625.435698409841</v>
      </c>
      <c r="O49">
        <f t="shared" si="9"/>
        <v>37</v>
      </c>
      <c r="P49" s="28">
        <v>202879.48296018696</v>
      </c>
      <c r="Q49" s="29">
        <f t="shared" si="4"/>
        <v>24345.537955222433</v>
      </c>
      <c r="R49" s="28">
        <f t="shared" si="5"/>
        <v>36536.08774149415</v>
      </c>
    </row>
    <row r="50" spans="2:18" x14ac:dyDescent="0.15">
      <c r="B50">
        <f t="shared" si="6"/>
        <v>38</v>
      </c>
      <c r="C50" s="28">
        <f t="shared" si="7"/>
        <v>208965.86744899256</v>
      </c>
      <c r="D50" s="28">
        <f t="shared" si="0"/>
        <v>22986.245419389183</v>
      </c>
      <c r="E50" s="28">
        <f t="shared" si="1"/>
        <v>32239.398295259249</v>
      </c>
      <c r="J50">
        <f t="shared" si="8"/>
        <v>38</v>
      </c>
      <c r="K50" s="28">
        <v>208965.86744899256</v>
      </c>
      <c r="L50" s="29">
        <f t="shared" si="13"/>
        <v>29255.221442858961</v>
      </c>
      <c r="M50" s="28">
        <f t="shared" si="3"/>
        <v>41031.961466693596</v>
      </c>
      <c r="O50">
        <f t="shared" si="9"/>
        <v>38</v>
      </c>
      <c r="P50" s="28">
        <v>208965.86744899256</v>
      </c>
      <c r="Q50" s="29">
        <f t="shared" si="4"/>
        <v>25075.904093879108</v>
      </c>
      <c r="R50" s="28">
        <f t="shared" si="5"/>
        <v>35170.25268573736</v>
      </c>
    </row>
    <row r="51" spans="2:18" x14ac:dyDescent="0.15">
      <c r="B51">
        <f t="shared" si="6"/>
        <v>39</v>
      </c>
      <c r="C51" s="28">
        <f t="shared" si="7"/>
        <v>215234.84347246235</v>
      </c>
      <c r="D51" s="28">
        <f t="shared" si="0"/>
        <v>23675.832781970857</v>
      </c>
      <c r="E51" s="28">
        <f t="shared" si="1"/>
        <v>31034.1871440346</v>
      </c>
      <c r="J51">
        <f t="shared" si="8"/>
        <v>39</v>
      </c>
      <c r="K51" s="28">
        <v>215234.84347246235</v>
      </c>
      <c r="L51" s="29">
        <f t="shared" si="13"/>
        <v>30132.87808614473</v>
      </c>
      <c r="M51" s="28">
        <f t="shared" si="3"/>
        <v>39498.056365134951</v>
      </c>
      <c r="O51">
        <f t="shared" si="9"/>
        <v>39</v>
      </c>
      <c r="P51" s="28">
        <v>215234.84347246235</v>
      </c>
      <c r="Q51" s="29">
        <f t="shared" si="4"/>
        <v>25828.181216695481</v>
      </c>
      <c r="R51" s="28">
        <f t="shared" si="5"/>
        <v>33855.476884401382</v>
      </c>
    </row>
    <row r="52" spans="2:18" x14ac:dyDescent="0.15">
      <c r="B52">
        <f t="shared" si="6"/>
        <v>40</v>
      </c>
      <c r="C52" s="28">
        <f t="shared" si="7"/>
        <v>221691.88877663622</v>
      </c>
      <c r="D52" s="28">
        <f t="shared" si="0"/>
        <v>24386.107765429984</v>
      </c>
      <c r="E52" s="28">
        <f t="shared" si="1"/>
        <v>29874.030615285646</v>
      </c>
      <c r="J52">
        <f t="shared" si="8"/>
        <v>40</v>
      </c>
      <c r="K52" s="28">
        <v>221691.88877663622</v>
      </c>
      <c r="L52" s="29">
        <f t="shared" si="13"/>
        <v>31036.864428729074</v>
      </c>
      <c r="M52" s="28">
        <f t="shared" si="3"/>
        <v>38021.493510363551</v>
      </c>
      <c r="O52">
        <f t="shared" si="9"/>
        <v>40</v>
      </c>
      <c r="P52" s="28">
        <v>221691.88877663622</v>
      </c>
      <c r="Q52" s="29">
        <f t="shared" si="4"/>
        <v>26603.026653196346</v>
      </c>
      <c r="R52" s="28">
        <f t="shared" si="5"/>
        <v>32589.851580311613</v>
      </c>
    </row>
    <row r="53" spans="2:18" x14ac:dyDescent="0.15">
      <c r="B53">
        <f t="shared" si="6"/>
        <v>41</v>
      </c>
      <c r="C53" s="28">
        <f t="shared" si="7"/>
        <v>228342.6454399353</v>
      </c>
      <c r="D53" s="28">
        <f t="shared" si="0"/>
        <v>25117.690998392882</v>
      </c>
      <c r="E53" s="28">
        <f t="shared" si="1"/>
        <v>28757.244424060013</v>
      </c>
      <c r="J53">
        <f t="shared" si="8"/>
        <v>41</v>
      </c>
      <c r="K53" s="28">
        <v>228342.6454399353</v>
      </c>
      <c r="L53" s="29">
        <f t="shared" si="13"/>
        <v>31967.970361590946</v>
      </c>
      <c r="M53" s="28">
        <f t="shared" si="3"/>
        <v>36600.129266985474</v>
      </c>
      <c r="O53">
        <f t="shared" si="9"/>
        <v>41</v>
      </c>
      <c r="P53" s="28">
        <v>228342.6454399353</v>
      </c>
      <c r="Q53" s="29">
        <f t="shared" si="4"/>
        <v>27401.117452792234</v>
      </c>
      <c r="R53" s="28">
        <f t="shared" si="5"/>
        <v>31371.539371701831</v>
      </c>
    </row>
    <row r="54" spans="2:18" x14ac:dyDescent="0.15">
      <c r="B54">
        <f t="shared" si="6"/>
        <v>42</v>
      </c>
      <c r="C54" s="28">
        <f t="shared" si="7"/>
        <v>235192.92480313336</v>
      </c>
      <c r="D54" s="28">
        <f t="shared" si="0"/>
        <v>25871.22172834467</v>
      </c>
      <c r="E54" s="28">
        <f t="shared" si="1"/>
        <v>27682.2072493288</v>
      </c>
      <c r="J54">
        <f t="shared" si="8"/>
        <v>42</v>
      </c>
      <c r="K54" s="28">
        <v>235192.92480313336</v>
      </c>
      <c r="L54" s="29">
        <f t="shared" si="13"/>
        <v>32927.009472438673</v>
      </c>
      <c r="M54" s="28">
        <f t="shared" si="3"/>
        <v>35231.900135509379</v>
      </c>
      <c r="O54">
        <f t="shared" si="9"/>
        <v>42</v>
      </c>
      <c r="P54" s="28">
        <v>235192.92480313336</v>
      </c>
      <c r="Q54" s="29">
        <f t="shared" si="4"/>
        <v>28223.150976376</v>
      </c>
      <c r="R54" s="28">
        <f t="shared" si="5"/>
        <v>30198.771544722324</v>
      </c>
    </row>
    <row r="55" spans="2:18" x14ac:dyDescent="0.15">
      <c r="B55">
        <f t="shared" si="6"/>
        <v>43</v>
      </c>
      <c r="C55" s="28">
        <f t="shared" si="7"/>
        <v>242248.71254722736</v>
      </c>
      <c r="D55" s="28">
        <f t="shared" si="0"/>
        <v>26647.358380195012</v>
      </c>
      <c r="E55" s="28">
        <f t="shared" si="1"/>
        <v>26647.358380195012</v>
      </c>
      <c r="J55">
        <f t="shared" si="8"/>
        <v>43</v>
      </c>
      <c r="K55" s="28">
        <v>242248.71254722736</v>
      </c>
      <c r="L55" s="29">
        <f t="shared" si="13"/>
        <v>33914.819756611832</v>
      </c>
      <c r="M55" s="28">
        <f t="shared" si="3"/>
        <v>33914.819756611832</v>
      </c>
      <c r="O55">
        <f t="shared" si="9"/>
        <v>43</v>
      </c>
      <c r="P55" s="28">
        <v>242248.71254722736</v>
      </c>
      <c r="Q55" s="29">
        <f t="shared" si="4"/>
        <v>29069.845505667283</v>
      </c>
      <c r="R55" s="28">
        <f t="shared" si="5"/>
        <v>29069.845505667283</v>
      </c>
    </row>
    <row r="56" spans="2:18" x14ac:dyDescent="0.15">
      <c r="C56" s="28"/>
      <c r="D56" s="28"/>
      <c r="E56" s="28"/>
      <c r="K56" s="28"/>
      <c r="L56" s="29"/>
      <c r="M56" s="28"/>
    </row>
    <row r="57" spans="2:18" x14ac:dyDescent="0.15">
      <c r="R57" s="29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7"/>
  <sheetViews>
    <sheetView tabSelected="1" topLeftCell="A47" workbookViewId="0">
      <selection activeCell="D53" sqref="D53"/>
    </sheetView>
  </sheetViews>
  <sheetFormatPr baseColWidth="10" defaultColWidth="8.83203125" defaultRowHeight="13" x14ac:dyDescent="0.15"/>
  <cols>
    <col min="2" max="2" width="23.5" customWidth="1"/>
    <col min="3" max="3" width="12.1640625" bestFit="1" customWidth="1"/>
    <col min="6" max="6" width="14.6640625" bestFit="1" customWidth="1"/>
    <col min="9" max="9" width="12.1640625" bestFit="1" customWidth="1"/>
    <col min="10" max="11" width="11.1640625" bestFit="1" customWidth="1"/>
    <col min="14" max="14" width="12.1640625" bestFit="1" customWidth="1"/>
    <col min="15" max="15" width="11.1640625" bestFit="1" customWidth="1"/>
    <col min="16" max="16" width="13.6640625" bestFit="1" customWidth="1"/>
    <col min="19" max="19" width="8.83203125" customWidth="1"/>
  </cols>
  <sheetData>
    <row r="1" spans="2:16" ht="14" thickBot="1" x14ac:dyDescent="0.2">
      <c r="B1" s="4"/>
    </row>
    <row r="2" spans="2:16" x14ac:dyDescent="0.15">
      <c r="B2" s="23" t="s">
        <v>10</v>
      </c>
      <c r="C2" s="14">
        <v>0.03</v>
      </c>
      <c r="D2" s="34"/>
      <c r="E2" s="34"/>
      <c r="F2" s="34"/>
    </row>
    <row r="3" spans="2:16" x14ac:dyDescent="0.15">
      <c r="B3" s="24" t="s">
        <v>11</v>
      </c>
      <c r="C3" s="15">
        <v>7.0000000000000007E-2</v>
      </c>
      <c r="D3" s="34"/>
      <c r="E3" s="34"/>
      <c r="F3" s="34"/>
    </row>
    <row r="4" spans="2:16" x14ac:dyDescent="0.15">
      <c r="B4" s="24" t="s">
        <v>12</v>
      </c>
      <c r="C4" s="15">
        <v>0.04</v>
      </c>
      <c r="D4" s="34"/>
    </row>
    <row r="5" spans="2:16" ht="14" thickBot="1" x14ac:dyDescent="0.2">
      <c r="B5" s="25" t="s">
        <v>13</v>
      </c>
      <c r="C5" s="18">
        <v>14</v>
      </c>
    </row>
    <row r="6" spans="2:16" ht="14" thickBot="1" x14ac:dyDescent="0.2">
      <c r="B6" s="19"/>
      <c r="C6" s="16"/>
    </row>
    <row r="7" spans="2:16" x14ac:dyDescent="0.15">
      <c r="B7" s="23" t="s">
        <v>14</v>
      </c>
      <c r="C7" s="20">
        <v>22</v>
      </c>
    </row>
    <row r="8" spans="2:16" ht="14" thickBot="1" x14ac:dyDescent="0.2">
      <c r="B8" s="25" t="s">
        <v>15</v>
      </c>
      <c r="C8" s="21">
        <v>65</v>
      </c>
    </row>
    <row r="9" spans="2:16" ht="14" thickBot="1" x14ac:dyDescent="0.2">
      <c r="B9" s="19"/>
      <c r="C9" s="17"/>
    </row>
    <row r="10" spans="2:16" ht="14" thickBot="1" x14ac:dyDescent="0.2">
      <c r="B10" s="26" t="s">
        <v>16</v>
      </c>
      <c r="C10" s="22">
        <v>70000</v>
      </c>
    </row>
    <row r="11" spans="2:16" x14ac:dyDescent="0.15">
      <c r="B11" s="4"/>
      <c r="E11" s="36" t="s">
        <v>28</v>
      </c>
      <c r="F11" s="36"/>
    </row>
    <row r="12" spans="2:16" x14ac:dyDescent="0.15">
      <c r="B12" s="27" t="s">
        <v>18</v>
      </c>
      <c r="C12" s="1" t="s">
        <v>19</v>
      </c>
      <c r="E12" s="35" t="s">
        <v>20</v>
      </c>
      <c r="F12" s="35"/>
      <c r="H12" s="27" t="s">
        <v>18</v>
      </c>
      <c r="I12" s="1" t="s">
        <v>19</v>
      </c>
      <c r="M12" s="1" t="s">
        <v>18</v>
      </c>
      <c r="N12" s="1" t="s">
        <v>19</v>
      </c>
    </row>
    <row r="13" spans="2:16" x14ac:dyDescent="0.15">
      <c r="B13">
        <f>1</f>
        <v>1</v>
      </c>
      <c r="C13" s="28">
        <f>C$10</f>
        <v>70000</v>
      </c>
      <c r="E13" t="s">
        <v>21</v>
      </c>
      <c r="F13" s="29">
        <f>(AVERAGE(C53:C55)*0.015*30)*14</f>
        <v>1482146.9938596215</v>
      </c>
      <c r="H13">
        <v>1</v>
      </c>
      <c r="I13" s="28">
        <v>70000</v>
      </c>
      <c r="J13" s="29">
        <f>I13*3%</f>
        <v>2100</v>
      </c>
      <c r="K13" s="28">
        <f>J13*(1+$C$3)^(43-H13)</f>
        <v>36002.939238226885</v>
      </c>
      <c r="M13">
        <v>1</v>
      </c>
      <c r="N13" s="28">
        <v>70000</v>
      </c>
      <c r="O13" s="29">
        <f>N13*12%</f>
        <v>8400</v>
      </c>
      <c r="P13" s="28">
        <f>O13*(1+$C$3)^(43-M13)</f>
        <v>144011.75695290754</v>
      </c>
    </row>
    <row r="14" spans="2:16" x14ac:dyDescent="0.15">
      <c r="B14">
        <f>B13+1</f>
        <v>2</v>
      </c>
      <c r="C14" s="28">
        <f>C13*(1+$C$2)</f>
        <v>72100</v>
      </c>
      <c r="E14" t="s">
        <v>22</v>
      </c>
      <c r="F14" s="29">
        <f>SUM(K13:K55)</f>
        <v>1403662.6200416121</v>
      </c>
      <c r="H14">
        <f>H13+1</f>
        <v>2</v>
      </c>
      <c r="I14" s="28">
        <v>72100</v>
      </c>
      <c r="J14" s="29">
        <f t="shared" ref="J14:J17" si="0">I14*3%</f>
        <v>2163</v>
      </c>
      <c r="K14" s="28">
        <f t="shared" ref="K14:K55" si="1">J14*(1+$C$3)^(43-H14)</f>
        <v>34657.034967638967</v>
      </c>
      <c r="M14">
        <f>M13+1</f>
        <v>2</v>
      </c>
      <c r="N14" s="28">
        <v>72100</v>
      </c>
      <c r="O14" s="29">
        <f t="shared" ref="O14:O55" si="2">N14*12%</f>
        <v>8652</v>
      </c>
      <c r="P14" s="28">
        <f t="shared" ref="P14:P55" si="3">O14*(1+$C$3)^(43-M14)</f>
        <v>138628.13987055587</v>
      </c>
    </row>
    <row r="15" spans="2:16" x14ac:dyDescent="0.15">
      <c r="B15">
        <f t="shared" ref="B15:B55" si="4">B14+1</f>
        <v>3</v>
      </c>
      <c r="C15" s="28">
        <f t="shared" ref="C15:C55" si="5">C14*(1+$C$2)</f>
        <v>74263</v>
      </c>
      <c r="E15" t="s">
        <v>23</v>
      </c>
      <c r="F15" s="29">
        <f>SUM(P13:P55)</f>
        <v>3103765.9767193445</v>
      </c>
      <c r="H15">
        <f t="shared" ref="H15:H55" si="6">H14+1</f>
        <v>3</v>
      </c>
      <c r="I15" s="28">
        <v>74263</v>
      </c>
      <c r="J15" s="29">
        <f t="shared" si="0"/>
        <v>2227.89</v>
      </c>
      <c r="K15" s="28">
        <f t="shared" si="1"/>
        <v>33361.444875390778</v>
      </c>
      <c r="M15">
        <f t="shared" ref="M15:M55" si="7">M14+1</f>
        <v>3</v>
      </c>
      <c r="N15" s="28">
        <v>74263</v>
      </c>
      <c r="O15" s="29">
        <f t="shared" si="2"/>
        <v>8911.56</v>
      </c>
      <c r="P15" s="28">
        <f t="shared" si="3"/>
        <v>133445.77950156311</v>
      </c>
    </row>
    <row r="16" spans="2:16" x14ac:dyDescent="0.15">
      <c r="B16">
        <f t="shared" si="4"/>
        <v>4</v>
      </c>
      <c r="C16" s="28">
        <f t="shared" si="5"/>
        <v>76490.89</v>
      </c>
      <c r="H16">
        <f t="shared" si="6"/>
        <v>4</v>
      </c>
      <c r="I16" s="28">
        <v>76490.89</v>
      </c>
      <c r="J16" s="29">
        <f t="shared" si="0"/>
        <v>2294.7266999999997</v>
      </c>
      <c r="K16" s="28">
        <f t="shared" si="1"/>
        <v>32114.28805761916</v>
      </c>
      <c r="M16">
        <f t="shared" si="7"/>
        <v>4</v>
      </c>
      <c r="N16" s="28">
        <v>76490.89</v>
      </c>
      <c r="O16" s="29">
        <f t="shared" si="2"/>
        <v>9178.9067999999988</v>
      </c>
      <c r="P16" s="28">
        <f t="shared" si="3"/>
        <v>128457.15223047664</v>
      </c>
    </row>
    <row r="17" spans="2:16" x14ac:dyDescent="0.15">
      <c r="B17">
        <f t="shared" si="4"/>
        <v>5</v>
      </c>
      <c r="C17" s="28">
        <f t="shared" si="5"/>
        <v>78785.616699999999</v>
      </c>
      <c r="E17" s="35" t="s">
        <v>24</v>
      </c>
      <c r="F17" s="35"/>
      <c r="H17">
        <f t="shared" si="6"/>
        <v>5</v>
      </c>
      <c r="I17" s="28">
        <v>78785.616699999999</v>
      </c>
      <c r="J17" s="29">
        <f t="shared" si="0"/>
        <v>2363.5685009999997</v>
      </c>
      <c r="K17" s="28">
        <f t="shared" si="1"/>
        <v>30913.753924624049</v>
      </c>
      <c r="M17">
        <f t="shared" si="7"/>
        <v>5</v>
      </c>
      <c r="N17" s="28">
        <v>78785.616699999999</v>
      </c>
      <c r="O17" s="29">
        <f t="shared" si="2"/>
        <v>9454.274003999999</v>
      </c>
      <c r="P17" s="28">
        <f t="shared" si="3"/>
        <v>123655.01569849619</v>
      </c>
    </row>
    <row r="18" spans="2:16" x14ac:dyDescent="0.15">
      <c r="B18">
        <f t="shared" si="4"/>
        <v>6</v>
      </c>
      <c r="C18" s="28">
        <f t="shared" si="5"/>
        <v>81149.185201</v>
      </c>
      <c r="E18" t="s">
        <v>25</v>
      </c>
      <c r="F18" s="29">
        <f>AVERAGE(C53:C55)*0.015*30</f>
        <v>105867.64241854439</v>
      </c>
      <c r="H18">
        <f t="shared" si="6"/>
        <v>6</v>
      </c>
      <c r="I18" s="28">
        <v>81149.185201</v>
      </c>
      <c r="J18" s="29">
        <f>I18*4%</f>
        <v>3245.96740804</v>
      </c>
      <c r="K18" s="28">
        <f t="shared" si="1"/>
        <v>39677.466096402211</v>
      </c>
      <c r="M18">
        <f t="shared" si="7"/>
        <v>6</v>
      </c>
      <c r="N18" s="28">
        <v>81149.185201</v>
      </c>
      <c r="O18" s="29">
        <f t="shared" si="2"/>
        <v>9737.90222412</v>
      </c>
      <c r="P18" s="28">
        <f t="shared" si="3"/>
        <v>119032.39828920664</v>
      </c>
    </row>
    <row r="19" spans="2:16" x14ac:dyDescent="0.15">
      <c r="B19">
        <f t="shared" si="4"/>
        <v>7</v>
      </c>
      <c r="C19" s="28">
        <f t="shared" si="5"/>
        <v>83583.660757029997</v>
      </c>
      <c r="E19" t="s">
        <v>22</v>
      </c>
      <c r="F19" s="29">
        <f>F14/(1.04*(1-(1.04^(-14)))/0.04)</f>
        <v>127772.40265095657</v>
      </c>
      <c r="H19">
        <f t="shared" si="6"/>
        <v>7</v>
      </c>
      <c r="I19" s="28">
        <v>83583.660757029997</v>
      </c>
      <c r="J19" s="29">
        <f t="shared" ref="J19:J22" si="8">I19*4%</f>
        <v>3343.3464302811999</v>
      </c>
      <c r="K19" s="28">
        <f t="shared" si="1"/>
        <v>38194.196335789042</v>
      </c>
      <c r="M19">
        <f t="shared" si="7"/>
        <v>7</v>
      </c>
      <c r="N19" s="28">
        <v>83583.660757029997</v>
      </c>
      <c r="O19" s="29">
        <f t="shared" si="2"/>
        <v>10030.039290843599</v>
      </c>
      <c r="P19" s="28">
        <f t="shared" si="3"/>
        <v>114582.58900736712</v>
      </c>
    </row>
    <row r="20" spans="2:16" x14ac:dyDescent="0.15">
      <c r="B20">
        <f t="shared" si="4"/>
        <v>8</v>
      </c>
      <c r="C20" s="28">
        <f t="shared" si="5"/>
        <v>86091.170579740894</v>
      </c>
      <c r="E20" t="s">
        <v>23</v>
      </c>
      <c r="F20" s="29">
        <f>F15/(1.04*(1-(1.04^(-14)))/0.04)</f>
        <v>282529.17079174408</v>
      </c>
      <c r="H20">
        <f t="shared" si="6"/>
        <v>8</v>
      </c>
      <c r="I20" s="28">
        <v>86091.170579740894</v>
      </c>
      <c r="J20" s="29">
        <f t="shared" si="8"/>
        <v>3443.6468231896361</v>
      </c>
      <c r="K20" s="28">
        <f t="shared" si="1"/>
        <v>36766.375912021227</v>
      </c>
      <c r="M20">
        <f t="shared" si="7"/>
        <v>8</v>
      </c>
      <c r="N20" s="28">
        <v>86091.170579740894</v>
      </c>
      <c r="O20" s="29">
        <f t="shared" si="2"/>
        <v>10330.940469568906</v>
      </c>
      <c r="P20" s="28">
        <f t="shared" si="3"/>
        <v>110299.12773606367</v>
      </c>
    </row>
    <row r="21" spans="2:16" x14ac:dyDescent="0.15">
      <c r="B21">
        <f t="shared" si="4"/>
        <v>9</v>
      </c>
      <c r="C21" s="28">
        <f t="shared" si="5"/>
        <v>88673.90569713313</v>
      </c>
      <c r="E21" s="36" t="s">
        <v>29</v>
      </c>
      <c r="F21" s="36"/>
      <c r="H21">
        <f t="shared" si="6"/>
        <v>9</v>
      </c>
      <c r="I21" s="28">
        <v>88673.90569713313</v>
      </c>
      <c r="J21" s="29">
        <f t="shared" si="8"/>
        <v>3546.9562278853255</v>
      </c>
      <c r="K21" s="28">
        <f t="shared" si="1"/>
        <v>35391.931952693332</v>
      </c>
      <c r="M21">
        <f t="shared" si="7"/>
        <v>9</v>
      </c>
      <c r="N21" s="28">
        <v>88673.90569713313</v>
      </c>
      <c r="O21" s="29">
        <f t="shared" si="2"/>
        <v>10640.868683655975</v>
      </c>
      <c r="P21" s="28">
        <f t="shared" si="3"/>
        <v>106175.79585807999</v>
      </c>
    </row>
    <row r="22" spans="2:16" x14ac:dyDescent="0.15">
      <c r="B22">
        <f t="shared" si="4"/>
        <v>10</v>
      </c>
      <c r="C22" s="28">
        <f t="shared" si="5"/>
        <v>91334.122868047125</v>
      </c>
      <c r="E22" s="35" t="s">
        <v>20</v>
      </c>
      <c r="F22" s="35"/>
      <c r="H22">
        <f t="shared" si="6"/>
        <v>10</v>
      </c>
      <c r="I22" s="28">
        <v>91334.122868047125</v>
      </c>
      <c r="J22" s="29">
        <f t="shared" si="8"/>
        <v>3653.3649147218853</v>
      </c>
      <c r="K22" s="28">
        <f t="shared" si="1"/>
        <v>34068.86907595714</v>
      </c>
      <c r="M22">
        <f t="shared" si="7"/>
        <v>10</v>
      </c>
      <c r="N22" s="28">
        <v>91334.122868047125</v>
      </c>
      <c r="O22" s="29">
        <f t="shared" si="2"/>
        <v>10960.094744165655</v>
      </c>
      <c r="P22" s="28">
        <f t="shared" si="3"/>
        <v>102206.60722787141</v>
      </c>
    </row>
    <row r="23" spans="2:16" x14ac:dyDescent="0.15">
      <c r="B23">
        <f t="shared" si="4"/>
        <v>11</v>
      </c>
      <c r="C23" s="28">
        <f t="shared" si="5"/>
        <v>94074.14655408854</v>
      </c>
      <c r="E23" t="s">
        <v>21</v>
      </c>
      <c r="F23" s="29">
        <f>(AVERAGE(C43:C45)*0.015*30)*14</f>
        <v>1102856.5591134182</v>
      </c>
      <c r="H23">
        <f t="shared" si="6"/>
        <v>11</v>
      </c>
      <c r="I23" s="28">
        <v>94074.14655408854</v>
      </c>
      <c r="J23" s="29">
        <f>I23*5%</f>
        <v>4703.7073277044274</v>
      </c>
      <c r="K23" s="28">
        <f t="shared" si="1"/>
        <v>40994.083117097958</v>
      </c>
      <c r="M23">
        <f t="shared" si="7"/>
        <v>11</v>
      </c>
      <c r="N23" s="28">
        <v>94074.14655408854</v>
      </c>
      <c r="O23" s="29">
        <f t="shared" si="2"/>
        <v>11288.897586490624</v>
      </c>
      <c r="P23" s="28">
        <f t="shared" si="3"/>
        <v>98385.799481035079</v>
      </c>
    </row>
    <row r="24" spans="2:16" x14ac:dyDescent="0.15">
      <c r="B24">
        <f t="shared" si="4"/>
        <v>12</v>
      </c>
      <c r="C24" s="28">
        <f t="shared" si="5"/>
        <v>96896.370950711193</v>
      </c>
      <c r="E24" t="s">
        <v>22</v>
      </c>
      <c r="F24" s="29">
        <f>SUM(K13:K45)</f>
        <v>1172238.6869123399</v>
      </c>
      <c r="H24">
        <f t="shared" si="6"/>
        <v>12</v>
      </c>
      <c r="I24" s="28">
        <v>96896.370950711193</v>
      </c>
      <c r="J24" s="29">
        <f t="shared" ref="J24:J27" si="9">I24*5%</f>
        <v>4844.8185475355594</v>
      </c>
      <c r="K24" s="28">
        <f t="shared" si="1"/>
        <v>39461.594028608313</v>
      </c>
      <c r="M24">
        <f t="shared" si="7"/>
        <v>12</v>
      </c>
      <c r="N24" s="28">
        <v>96896.370950711193</v>
      </c>
      <c r="O24" s="29">
        <f t="shared" si="2"/>
        <v>11627.564514085343</v>
      </c>
      <c r="P24" s="28">
        <f t="shared" si="3"/>
        <v>94707.825668659949</v>
      </c>
    </row>
    <row r="25" spans="2:16" x14ac:dyDescent="0.15">
      <c r="B25">
        <f t="shared" si="4"/>
        <v>13</v>
      </c>
      <c r="C25" s="28">
        <f t="shared" si="5"/>
        <v>99803.262079232532</v>
      </c>
      <c r="E25" t="s">
        <v>23</v>
      </c>
      <c r="F25" s="29">
        <f>SUM(P13:P45)</f>
        <v>2756630.0770254359</v>
      </c>
      <c r="H25">
        <f t="shared" si="6"/>
        <v>13</v>
      </c>
      <c r="I25" s="28">
        <v>99803.262079232532</v>
      </c>
      <c r="J25" s="29">
        <f t="shared" si="9"/>
        <v>4990.1631039616268</v>
      </c>
      <c r="K25" s="28">
        <f t="shared" si="1"/>
        <v>37986.394251837904</v>
      </c>
      <c r="M25">
        <f t="shared" si="7"/>
        <v>13</v>
      </c>
      <c r="N25" s="28">
        <v>99803.262079232532</v>
      </c>
      <c r="O25" s="29">
        <f t="shared" si="2"/>
        <v>11976.391449507904</v>
      </c>
      <c r="P25" s="28">
        <f t="shared" si="3"/>
        <v>91167.346204410976</v>
      </c>
    </row>
    <row r="26" spans="2:16" x14ac:dyDescent="0.15">
      <c r="B26">
        <f t="shared" si="4"/>
        <v>14</v>
      </c>
      <c r="C26" s="28">
        <f t="shared" si="5"/>
        <v>102797.35994160951</v>
      </c>
      <c r="H26">
        <f t="shared" si="6"/>
        <v>14</v>
      </c>
      <c r="I26" s="28">
        <v>102797.35994160951</v>
      </c>
      <c r="J26" s="29">
        <f t="shared" si="9"/>
        <v>5139.867997080476</v>
      </c>
      <c r="K26" s="28">
        <f t="shared" si="1"/>
        <v>36566.342130273872</v>
      </c>
      <c r="M26">
        <f t="shared" si="7"/>
        <v>14</v>
      </c>
      <c r="N26" s="28">
        <v>102797.35994160951</v>
      </c>
      <c r="O26" s="29">
        <f t="shared" si="2"/>
        <v>12335.683192993141</v>
      </c>
      <c r="P26" s="28">
        <f t="shared" si="3"/>
        <v>87759.221112657295</v>
      </c>
    </row>
    <row r="27" spans="2:16" x14ac:dyDescent="0.15">
      <c r="B27">
        <f t="shared" si="4"/>
        <v>15</v>
      </c>
      <c r="C27" s="28">
        <f t="shared" si="5"/>
        <v>105881.2807398578</v>
      </c>
      <c r="E27" s="35" t="s">
        <v>24</v>
      </c>
      <c r="F27" s="35"/>
      <c r="H27">
        <f t="shared" si="6"/>
        <v>15</v>
      </c>
      <c r="I27" s="28">
        <v>105881.2807398578</v>
      </c>
      <c r="J27" s="29">
        <f t="shared" si="9"/>
        <v>5294.0640369928906</v>
      </c>
      <c r="K27" s="28">
        <f t="shared" si="1"/>
        <v>35199.376069329061</v>
      </c>
      <c r="M27">
        <f t="shared" si="7"/>
        <v>15</v>
      </c>
      <c r="N27" s="28">
        <v>105881.2807398578</v>
      </c>
      <c r="O27" s="29">
        <f t="shared" si="2"/>
        <v>12705.753688782936</v>
      </c>
      <c r="P27" s="28">
        <f t="shared" si="3"/>
        <v>84478.502566389725</v>
      </c>
    </row>
    <row r="28" spans="2:16" x14ac:dyDescent="0.15">
      <c r="B28">
        <f t="shared" si="4"/>
        <v>16</v>
      </c>
      <c r="C28" s="28">
        <f t="shared" si="5"/>
        <v>109057.71916205353</v>
      </c>
      <c r="E28" t="s">
        <v>25</v>
      </c>
      <c r="F28" s="29">
        <f>AVERAGE(C43:C45)*0.015*30</f>
        <v>78775.468508101301</v>
      </c>
      <c r="H28">
        <f t="shared" si="6"/>
        <v>16</v>
      </c>
      <c r="I28" s="28">
        <v>109057.71916205353</v>
      </c>
      <c r="J28" s="29">
        <f>'SensitivityAnalysis-CurrentAge'!I28*6%</f>
        <v>6543.4631497232112</v>
      </c>
      <c r="K28" s="28">
        <f t="shared" si="1"/>
        <v>40660.213852047396</v>
      </c>
      <c r="M28">
        <f t="shared" si="7"/>
        <v>16</v>
      </c>
      <c r="N28" s="28">
        <v>109057.71916205353</v>
      </c>
      <c r="O28" s="29">
        <f t="shared" si="2"/>
        <v>13086.926299446422</v>
      </c>
      <c r="P28" s="28">
        <f t="shared" si="3"/>
        <v>81320.427704094793</v>
      </c>
    </row>
    <row r="29" spans="2:16" x14ac:dyDescent="0.15">
      <c r="B29">
        <f t="shared" si="4"/>
        <v>17</v>
      </c>
      <c r="C29" s="28">
        <f t="shared" si="5"/>
        <v>112329.45073691514</v>
      </c>
      <c r="E29" t="s">
        <v>22</v>
      </c>
      <c r="F29" s="29">
        <f>F24/(1.04*(1-(1.04^(-14)))/0.04)</f>
        <v>106706.3775643978</v>
      </c>
      <c r="H29">
        <f t="shared" si="6"/>
        <v>17</v>
      </c>
      <c r="I29" s="28">
        <v>112329.45073691514</v>
      </c>
      <c r="J29" s="29">
        <f>'SensitivityAnalysis-CurrentAge'!I29*6%</f>
        <v>6739.7670442149083</v>
      </c>
      <c r="K29" s="28">
        <f t="shared" si="1"/>
        <v>39140.20585757833</v>
      </c>
      <c r="M29">
        <f t="shared" si="7"/>
        <v>17</v>
      </c>
      <c r="N29" s="28">
        <v>112329.45073691514</v>
      </c>
      <c r="O29" s="29">
        <f t="shared" si="2"/>
        <v>13479.534088429817</v>
      </c>
      <c r="P29" s="28">
        <f t="shared" si="3"/>
        <v>78280.411715156661</v>
      </c>
    </row>
    <row r="30" spans="2:16" x14ac:dyDescent="0.15">
      <c r="B30">
        <f t="shared" si="4"/>
        <v>18</v>
      </c>
      <c r="C30" s="28">
        <f t="shared" si="5"/>
        <v>115699.33425902259</v>
      </c>
      <c r="E30" t="s">
        <v>23</v>
      </c>
      <c r="F30" s="29">
        <f>F25/(1.04*(1-(1.04^(-14)))/0.04)</f>
        <v>250930.13316190589</v>
      </c>
      <c r="H30">
        <f t="shared" si="6"/>
        <v>18</v>
      </c>
      <c r="I30" s="28">
        <v>115699.33425902259</v>
      </c>
      <c r="J30" s="29">
        <f>'SensitivityAnalysis-CurrentAge'!I30*6%</f>
        <v>6941.9600555413554</v>
      </c>
      <c r="K30" s="28">
        <f t="shared" si="1"/>
        <v>37677.020591874469</v>
      </c>
      <c r="M30">
        <f t="shared" si="7"/>
        <v>18</v>
      </c>
      <c r="N30" s="28">
        <v>115699.33425902259</v>
      </c>
      <c r="O30" s="29">
        <f t="shared" si="2"/>
        <v>13883.920111082711</v>
      </c>
      <c r="P30" s="28">
        <f t="shared" si="3"/>
        <v>75354.041183748937</v>
      </c>
    </row>
    <row r="31" spans="2:16" x14ac:dyDescent="0.15">
      <c r="B31">
        <f t="shared" si="4"/>
        <v>19</v>
      </c>
      <c r="C31" s="28">
        <f t="shared" si="5"/>
        <v>119170.31428679328</v>
      </c>
      <c r="E31" s="36" t="s">
        <v>30</v>
      </c>
      <c r="F31" s="36"/>
      <c r="H31">
        <f t="shared" si="6"/>
        <v>19</v>
      </c>
      <c r="I31" s="28">
        <v>119170.31428679328</v>
      </c>
      <c r="J31" s="29">
        <f>'SensitivityAnalysis-CurrentAge'!I31*6%</f>
        <v>7150.2188572075966</v>
      </c>
      <c r="K31" s="28">
        <f t="shared" si="1"/>
        <v>36268.533840776363</v>
      </c>
      <c r="M31">
        <f t="shared" si="7"/>
        <v>19</v>
      </c>
      <c r="N31" s="28">
        <v>119170.31428679328</v>
      </c>
      <c r="O31" s="29">
        <f t="shared" si="2"/>
        <v>14300.437714415193</v>
      </c>
      <c r="P31" s="28">
        <f t="shared" si="3"/>
        <v>72537.067681552726</v>
      </c>
    </row>
    <row r="32" spans="2:16" x14ac:dyDescent="0.15">
      <c r="B32">
        <f t="shared" si="4"/>
        <v>20</v>
      </c>
      <c r="C32" s="28">
        <f t="shared" si="5"/>
        <v>122745.42371539708</v>
      </c>
      <c r="E32" s="35" t="s">
        <v>20</v>
      </c>
      <c r="F32" s="35"/>
      <c r="H32">
        <f t="shared" si="6"/>
        <v>20</v>
      </c>
      <c r="I32" s="28">
        <v>122745.42371539708</v>
      </c>
      <c r="J32" s="29">
        <f>'SensitivityAnalysis-CurrentAge'!I32*6%</f>
        <v>7364.7254229238242</v>
      </c>
      <c r="K32" s="28">
        <f t="shared" si="1"/>
        <v>34912.700799999671</v>
      </c>
      <c r="M32">
        <f t="shared" si="7"/>
        <v>20</v>
      </c>
      <c r="N32" s="28">
        <v>122745.42371539708</v>
      </c>
      <c r="O32" s="29">
        <f t="shared" si="2"/>
        <v>14729.450845847648</v>
      </c>
      <c r="P32" s="28">
        <f t="shared" si="3"/>
        <v>69825.401599999343</v>
      </c>
    </row>
    <row r="33" spans="2:16" x14ac:dyDescent="0.15">
      <c r="B33">
        <f t="shared" si="4"/>
        <v>21</v>
      </c>
      <c r="C33" s="28">
        <f t="shared" si="5"/>
        <v>126427.78642685899</v>
      </c>
      <c r="E33" t="s">
        <v>21</v>
      </c>
      <c r="F33" s="29">
        <f>(AVERAGE(C33:C35)*0.015*30)*14</f>
        <v>820628.85464023473</v>
      </c>
      <c r="H33">
        <f t="shared" si="6"/>
        <v>21</v>
      </c>
      <c r="I33" s="28">
        <v>126427.78642685899</v>
      </c>
      <c r="J33" s="29">
        <f>I33*7%</f>
        <v>8849.9450498801307</v>
      </c>
      <c r="K33" s="28">
        <f t="shared" si="1"/>
        <v>39208.811957632039</v>
      </c>
      <c r="M33">
        <f t="shared" si="7"/>
        <v>21</v>
      </c>
      <c r="N33" s="28">
        <v>126427.78642685899</v>
      </c>
      <c r="O33" s="29">
        <f t="shared" si="2"/>
        <v>15171.334371223078</v>
      </c>
      <c r="P33" s="28">
        <f t="shared" si="3"/>
        <v>67215.106213083476</v>
      </c>
    </row>
    <row r="34" spans="2:16" x14ac:dyDescent="0.15">
      <c r="B34">
        <f t="shared" si="4"/>
        <v>22</v>
      </c>
      <c r="C34" s="28">
        <f t="shared" si="5"/>
        <v>130220.62001966477</v>
      </c>
      <c r="E34" t="s">
        <v>22</v>
      </c>
      <c r="F34" s="29">
        <f>SUM(K13:K35)</f>
        <v>843298.74530127388</v>
      </c>
      <c r="H34">
        <f t="shared" si="6"/>
        <v>22</v>
      </c>
      <c r="I34" s="28">
        <v>130220.62001966477</v>
      </c>
      <c r="J34" s="29">
        <f t="shared" ref="J34:J37" si="10">I34*7%</f>
        <v>9115.4434013765349</v>
      </c>
      <c r="K34" s="28">
        <f t="shared" si="1"/>
        <v>37743.061977907477</v>
      </c>
      <c r="M34">
        <f t="shared" si="7"/>
        <v>22</v>
      </c>
      <c r="N34" s="28">
        <v>130220.62001966477</v>
      </c>
      <c r="O34" s="29">
        <f t="shared" si="2"/>
        <v>15626.474402359772</v>
      </c>
      <c r="P34" s="28">
        <f t="shared" si="3"/>
        <v>64702.391962127098</v>
      </c>
    </row>
    <row r="35" spans="2:16" x14ac:dyDescent="0.15">
      <c r="B35">
        <f t="shared" si="4"/>
        <v>23</v>
      </c>
      <c r="C35" s="28">
        <f t="shared" si="5"/>
        <v>134127.23862025471</v>
      </c>
      <c r="E35" t="s">
        <v>23</v>
      </c>
      <c r="F35" s="29">
        <f>SUM(P13:P35)</f>
        <v>2248511.5164197017</v>
      </c>
      <c r="H35">
        <f t="shared" si="6"/>
        <v>23</v>
      </c>
      <c r="I35" s="28">
        <v>134127.23862025471</v>
      </c>
      <c r="J35" s="29">
        <f t="shared" si="10"/>
        <v>9388.9067034178297</v>
      </c>
      <c r="K35" s="28">
        <f t="shared" si="1"/>
        <v>36332.106389948312</v>
      </c>
      <c r="M35">
        <f t="shared" si="7"/>
        <v>23</v>
      </c>
      <c r="N35" s="28">
        <v>134127.23862025471</v>
      </c>
      <c r="O35" s="29">
        <f t="shared" si="2"/>
        <v>16095.268634430564</v>
      </c>
      <c r="P35" s="28">
        <f t="shared" si="3"/>
        <v>62283.610954197102</v>
      </c>
    </row>
    <row r="36" spans="2:16" x14ac:dyDescent="0.15">
      <c r="B36">
        <f t="shared" si="4"/>
        <v>24</v>
      </c>
      <c r="C36" s="28">
        <f t="shared" si="5"/>
        <v>138151.05577886236</v>
      </c>
      <c r="H36">
        <f t="shared" si="6"/>
        <v>24</v>
      </c>
      <c r="I36" s="28">
        <v>138151.05577886236</v>
      </c>
      <c r="J36" s="29">
        <f t="shared" si="10"/>
        <v>9670.5739045203663</v>
      </c>
      <c r="K36" s="28">
        <f t="shared" si="1"/>
        <v>34973.896805277356</v>
      </c>
      <c r="M36">
        <f t="shared" si="7"/>
        <v>24</v>
      </c>
      <c r="N36" s="28">
        <v>138151.05577886236</v>
      </c>
      <c r="O36" s="29">
        <f t="shared" si="2"/>
        <v>16578.12669346348</v>
      </c>
      <c r="P36" s="28">
        <f t="shared" si="3"/>
        <v>59955.251666189739</v>
      </c>
    </row>
    <row r="37" spans="2:16" x14ac:dyDescent="0.15">
      <c r="B37">
        <f t="shared" si="4"/>
        <v>25</v>
      </c>
      <c r="C37" s="28">
        <f t="shared" si="5"/>
        <v>142295.58745222824</v>
      </c>
      <c r="E37" s="35" t="s">
        <v>24</v>
      </c>
      <c r="F37" s="35"/>
      <c r="H37">
        <f t="shared" si="6"/>
        <v>25</v>
      </c>
      <c r="I37" s="28">
        <v>142295.58745222824</v>
      </c>
      <c r="J37" s="29">
        <f t="shared" si="10"/>
        <v>9960.6911216559783</v>
      </c>
      <c r="K37" s="28">
        <f t="shared" si="1"/>
        <v>33666.461410687552</v>
      </c>
      <c r="M37">
        <f t="shared" si="7"/>
        <v>25</v>
      </c>
      <c r="N37" s="28">
        <v>142295.58745222824</v>
      </c>
      <c r="O37" s="29">
        <f t="shared" si="2"/>
        <v>17075.470494267389</v>
      </c>
      <c r="P37" s="28">
        <f t="shared" si="3"/>
        <v>57713.933846892935</v>
      </c>
    </row>
    <row r="38" spans="2:16" x14ac:dyDescent="0.15">
      <c r="B38">
        <f t="shared" si="4"/>
        <v>26</v>
      </c>
      <c r="C38" s="28">
        <f t="shared" si="5"/>
        <v>146564.45507579509</v>
      </c>
      <c r="E38" t="s">
        <v>25</v>
      </c>
      <c r="F38" s="29">
        <f>AVERAGE(C33:C35)*0.015*30</f>
        <v>58616.346760016764</v>
      </c>
      <c r="H38">
        <f t="shared" si="6"/>
        <v>26</v>
      </c>
      <c r="I38" s="28">
        <v>146564.45507579509</v>
      </c>
      <c r="J38" s="29">
        <f>I38*8%</f>
        <v>11725.156406063608</v>
      </c>
      <c r="K38" s="28">
        <f t="shared" si="1"/>
        <v>37037.602406417274</v>
      </c>
      <c r="M38">
        <f t="shared" si="7"/>
        <v>26</v>
      </c>
      <c r="N38" s="28">
        <v>146564.45507579509</v>
      </c>
      <c r="O38" s="29">
        <f t="shared" si="2"/>
        <v>17587.734609095409</v>
      </c>
      <c r="P38" s="28">
        <f t="shared" si="3"/>
        <v>55556.403609625901</v>
      </c>
    </row>
    <row r="39" spans="2:16" x14ac:dyDescent="0.15">
      <c r="B39">
        <f t="shared" si="4"/>
        <v>27</v>
      </c>
      <c r="C39" s="28">
        <f t="shared" si="5"/>
        <v>150961.38872806894</v>
      </c>
      <c r="E39" t="s">
        <v>22</v>
      </c>
      <c r="F39" s="29">
        <f>F34/(1.04*(1-(1.04^(-14)))/0.04)</f>
        <v>76763.679035982699</v>
      </c>
      <c r="H39">
        <f t="shared" si="6"/>
        <v>27</v>
      </c>
      <c r="I39" s="28">
        <v>150961.38872806894</v>
      </c>
      <c r="J39" s="29">
        <f t="shared" ref="J39:J55" si="11">I39*8%</f>
        <v>12076.911098245515</v>
      </c>
      <c r="K39" s="28">
        <f t="shared" si="1"/>
        <v>35653.019138887656</v>
      </c>
      <c r="M39">
        <f t="shared" si="7"/>
        <v>27</v>
      </c>
      <c r="N39" s="28">
        <v>150961.38872806894</v>
      </c>
      <c r="O39" s="29">
        <f t="shared" si="2"/>
        <v>18115.366647368272</v>
      </c>
      <c r="P39" s="28">
        <f t="shared" si="3"/>
        <v>53479.528708331476</v>
      </c>
    </row>
    <row r="40" spans="2:16" x14ac:dyDescent="0.15">
      <c r="B40">
        <f t="shared" si="4"/>
        <v>28</v>
      </c>
      <c r="C40" s="28">
        <f t="shared" si="5"/>
        <v>155490.23038991101</v>
      </c>
      <c r="E40" t="s">
        <v>23</v>
      </c>
      <c r="F40" s="29">
        <f>F35/(1.04*(1-(1.04^(-14)))/0.04)</f>
        <v>204677.18862013583</v>
      </c>
      <c r="H40">
        <f t="shared" si="6"/>
        <v>28</v>
      </c>
      <c r="I40" s="28">
        <v>155490.23038991101</v>
      </c>
      <c r="J40" s="29">
        <f t="shared" si="11"/>
        <v>12439.218431192881</v>
      </c>
      <c r="K40" s="28">
        <f t="shared" si="1"/>
        <v>34320.195993508685</v>
      </c>
      <c r="M40">
        <f t="shared" si="7"/>
        <v>28</v>
      </c>
      <c r="N40" s="28">
        <v>155490.23038991101</v>
      </c>
      <c r="O40" s="29">
        <f t="shared" si="2"/>
        <v>18658.827646789319</v>
      </c>
      <c r="P40" s="28">
        <f t="shared" si="3"/>
        <v>51480.293990263017</v>
      </c>
    </row>
    <row r="41" spans="2:16" x14ac:dyDescent="0.15">
      <c r="B41">
        <f t="shared" si="4"/>
        <v>29</v>
      </c>
      <c r="C41" s="28">
        <f t="shared" si="5"/>
        <v>160154.93730160836</v>
      </c>
      <c r="E41" s="36" t="s">
        <v>31</v>
      </c>
      <c r="F41" s="36"/>
      <c r="H41">
        <f t="shared" si="6"/>
        <v>29</v>
      </c>
      <c r="I41" s="28">
        <v>160154.93730160836</v>
      </c>
      <c r="J41" s="29">
        <f t="shared" si="11"/>
        <v>12812.394984128669</v>
      </c>
      <c r="K41" s="28">
        <f t="shared" si="1"/>
        <v>33037.198012442932</v>
      </c>
      <c r="M41">
        <f t="shared" si="7"/>
        <v>29</v>
      </c>
      <c r="N41" s="28">
        <v>160154.93730160836</v>
      </c>
      <c r="O41" s="29">
        <f t="shared" si="2"/>
        <v>19218.592476193004</v>
      </c>
      <c r="P41" s="28">
        <f t="shared" si="3"/>
        <v>49555.797018664402</v>
      </c>
    </row>
    <row r="42" spans="2:16" x14ac:dyDescent="0.15">
      <c r="B42">
        <f t="shared" si="4"/>
        <v>30</v>
      </c>
      <c r="C42" s="28">
        <f t="shared" si="5"/>
        <v>164959.5854206566</v>
      </c>
      <c r="E42" s="35" t="s">
        <v>20</v>
      </c>
      <c r="F42" s="35"/>
      <c r="H42">
        <f t="shared" si="6"/>
        <v>30</v>
      </c>
      <c r="I42" s="28">
        <v>164959.5854206566</v>
      </c>
      <c r="J42" s="29">
        <f t="shared" si="11"/>
        <v>13196.766833652528</v>
      </c>
      <c r="K42" s="28">
        <f t="shared" si="1"/>
        <v>31802.16257272544</v>
      </c>
      <c r="M42">
        <f t="shared" si="7"/>
        <v>30</v>
      </c>
      <c r="N42" s="28">
        <v>164959.5854206566</v>
      </c>
      <c r="O42" s="29">
        <f t="shared" si="2"/>
        <v>19795.15025047879</v>
      </c>
      <c r="P42" s="28">
        <f t="shared" si="3"/>
        <v>47703.243859088157</v>
      </c>
    </row>
    <row r="43" spans="2:16" x14ac:dyDescent="0.15">
      <c r="B43">
        <f t="shared" si="4"/>
        <v>31</v>
      </c>
      <c r="C43" s="28">
        <f t="shared" si="5"/>
        <v>169908.37298327629</v>
      </c>
      <c r="E43" t="s">
        <v>21</v>
      </c>
      <c r="F43" s="29">
        <f>(AVERAGE(C23:C25)*0.015*30)*14</f>
        <v>610624.9371264677</v>
      </c>
      <c r="H43">
        <f t="shared" si="6"/>
        <v>31</v>
      </c>
      <c r="I43" s="28">
        <v>169908.37298327629</v>
      </c>
      <c r="J43" s="29">
        <f t="shared" si="11"/>
        <v>13592.669838662103</v>
      </c>
      <c r="K43" s="28">
        <f t="shared" si="1"/>
        <v>30613.296682156262</v>
      </c>
      <c r="M43">
        <f t="shared" si="7"/>
        <v>31</v>
      </c>
      <c r="N43" s="28">
        <v>169908.37298327629</v>
      </c>
      <c r="O43" s="29">
        <f t="shared" si="2"/>
        <v>20389.004757993152</v>
      </c>
      <c r="P43" s="28">
        <f t="shared" si="3"/>
        <v>45919.945023234388</v>
      </c>
    </row>
    <row r="44" spans="2:16" x14ac:dyDescent="0.15">
      <c r="B44">
        <f t="shared" si="4"/>
        <v>32</v>
      </c>
      <c r="C44" s="28">
        <f t="shared" si="5"/>
        <v>175005.62417277458</v>
      </c>
      <c r="E44" t="s">
        <v>22</v>
      </c>
      <c r="F44" s="29">
        <f>SUM(K13:K25)</f>
        <v>469590.37183390697</v>
      </c>
      <c r="H44">
        <f t="shared" si="6"/>
        <v>32</v>
      </c>
      <c r="I44" s="28">
        <v>175005.62417277458</v>
      </c>
      <c r="J44" s="29">
        <f t="shared" si="11"/>
        <v>14000.449933821967</v>
      </c>
      <c r="K44" s="28">
        <f t="shared" si="1"/>
        <v>29468.87437628127</v>
      </c>
      <c r="M44">
        <f t="shared" si="7"/>
        <v>32</v>
      </c>
      <c r="N44" s="28">
        <v>175005.62417277458</v>
      </c>
      <c r="O44" s="29">
        <f t="shared" si="2"/>
        <v>21000.674900732949</v>
      </c>
      <c r="P44" s="28">
        <f t="shared" si="3"/>
        <v>44203.3115644219</v>
      </c>
    </row>
    <row r="45" spans="2:16" x14ac:dyDescent="0.15">
      <c r="B45">
        <f t="shared" si="4"/>
        <v>33</v>
      </c>
      <c r="C45" s="28">
        <f t="shared" si="5"/>
        <v>180255.79289795781</v>
      </c>
      <c r="E45" t="s">
        <v>23</v>
      </c>
      <c r="F45" s="29">
        <f>SUM(P13:P25)</f>
        <v>1504755.3337266943</v>
      </c>
      <c r="H45">
        <f t="shared" si="6"/>
        <v>33</v>
      </c>
      <c r="I45" s="28">
        <v>180255.79289795781</v>
      </c>
      <c r="J45" s="29">
        <f t="shared" si="11"/>
        <v>14420.463431836626</v>
      </c>
      <c r="K45" s="28">
        <f t="shared" si="1"/>
        <v>28367.234212681968</v>
      </c>
      <c r="M45">
        <f t="shared" si="7"/>
        <v>33</v>
      </c>
      <c r="N45" s="28">
        <v>180255.79289795781</v>
      </c>
      <c r="O45" s="29">
        <f t="shared" si="2"/>
        <v>21630.695147754937</v>
      </c>
      <c r="P45" s="28">
        <f t="shared" si="3"/>
        <v>42550.851319022942</v>
      </c>
    </row>
    <row r="46" spans="2:16" x14ac:dyDescent="0.15">
      <c r="B46">
        <f t="shared" si="4"/>
        <v>34</v>
      </c>
      <c r="C46" s="28">
        <f t="shared" si="5"/>
        <v>185663.46668489656</v>
      </c>
      <c r="H46">
        <f t="shared" si="6"/>
        <v>34</v>
      </c>
      <c r="I46" s="28">
        <v>185663.46668489656</v>
      </c>
      <c r="J46" s="29">
        <f t="shared" si="11"/>
        <v>14853.077334791726</v>
      </c>
      <c r="K46" s="28">
        <f t="shared" si="1"/>
        <v>27306.77685893685</v>
      </c>
      <c r="M46">
        <f t="shared" si="7"/>
        <v>34</v>
      </c>
      <c r="N46" s="28">
        <v>185663.46668489656</v>
      </c>
      <c r="O46" s="29">
        <f t="shared" si="2"/>
        <v>22279.616002187588</v>
      </c>
      <c r="P46" s="28">
        <f t="shared" si="3"/>
        <v>40960.165288405275</v>
      </c>
    </row>
    <row r="47" spans="2:16" x14ac:dyDescent="0.15">
      <c r="B47">
        <f t="shared" si="4"/>
        <v>35</v>
      </c>
      <c r="C47" s="28">
        <f t="shared" si="5"/>
        <v>191233.37068544346</v>
      </c>
      <c r="E47" s="35" t="s">
        <v>24</v>
      </c>
      <c r="F47" s="35"/>
      <c r="H47">
        <f t="shared" si="6"/>
        <v>35</v>
      </c>
      <c r="I47" s="28">
        <v>191233.37068544346</v>
      </c>
      <c r="J47" s="29">
        <f t="shared" si="11"/>
        <v>15298.669654835478</v>
      </c>
      <c r="K47" s="28">
        <f t="shared" si="1"/>
        <v>26285.962770752292</v>
      </c>
      <c r="M47">
        <f t="shared" si="7"/>
        <v>35</v>
      </c>
      <c r="N47" s="28">
        <v>191233.37068544346</v>
      </c>
      <c r="O47" s="29">
        <f t="shared" si="2"/>
        <v>22948.004482253215</v>
      </c>
      <c r="P47" s="28">
        <f t="shared" si="3"/>
        <v>39428.944156128433</v>
      </c>
    </row>
    <row r="48" spans="2:16" x14ac:dyDescent="0.15">
      <c r="B48">
        <f t="shared" si="4"/>
        <v>36</v>
      </c>
      <c r="C48" s="28">
        <f t="shared" si="5"/>
        <v>196970.37180600676</v>
      </c>
      <c r="E48" t="s">
        <v>25</v>
      </c>
      <c r="F48" s="29">
        <f>AVERAGE(C23:C25)*0.015*30</f>
        <v>43616.066937604839</v>
      </c>
      <c r="H48">
        <f t="shared" si="6"/>
        <v>36</v>
      </c>
      <c r="I48" s="28">
        <v>196970.37180600676</v>
      </c>
      <c r="J48" s="29">
        <f t="shared" si="11"/>
        <v>15757.62974448054</v>
      </c>
      <c r="K48" s="28">
        <f t="shared" si="1"/>
        <v>25303.30995689239</v>
      </c>
      <c r="M48">
        <f t="shared" si="7"/>
        <v>36</v>
      </c>
      <c r="N48" s="28">
        <v>196970.37180600676</v>
      </c>
      <c r="O48" s="29">
        <f t="shared" si="2"/>
        <v>23636.444616720812</v>
      </c>
      <c r="P48" s="28">
        <f t="shared" si="3"/>
        <v>37954.96493533859</v>
      </c>
    </row>
    <row r="49" spans="2:16" x14ac:dyDescent="0.15">
      <c r="B49">
        <f t="shared" si="4"/>
        <v>37</v>
      </c>
      <c r="C49" s="28">
        <f t="shared" si="5"/>
        <v>202879.48296018696</v>
      </c>
      <c r="E49" t="s">
        <v>22</v>
      </c>
      <c r="F49" s="29">
        <f>F44/(1.04*(1-(1.04^(-14)))/0.04)</f>
        <v>42745.80601797007</v>
      </c>
      <c r="H49">
        <f t="shared" si="6"/>
        <v>37</v>
      </c>
      <c r="I49" s="28">
        <v>202879.48296018696</v>
      </c>
      <c r="J49" s="29">
        <f t="shared" si="11"/>
        <v>16230.358636814957</v>
      </c>
      <c r="K49" s="28">
        <f t="shared" si="1"/>
        <v>24357.391827662766</v>
      </c>
      <c r="M49">
        <f t="shared" si="7"/>
        <v>37</v>
      </c>
      <c r="N49" s="28">
        <v>202879.48296018696</v>
      </c>
      <c r="O49" s="29">
        <f t="shared" si="2"/>
        <v>24345.537955222433</v>
      </c>
      <c r="P49" s="28">
        <f t="shared" si="3"/>
        <v>36536.08774149415</v>
      </c>
    </row>
    <row r="50" spans="2:16" x14ac:dyDescent="0.15">
      <c r="B50">
        <f t="shared" si="4"/>
        <v>38</v>
      </c>
      <c r="C50" s="28">
        <f t="shared" si="5"/>
        <v>208965.86744899256</v>
      </c>
      <c r="E50" t="s">
        <v>23</v>
      </c>
      <c r="F50" s="29">
        <f>F45/(1.04*(1-(1.04^(-14)))/0.04)</f>
        <v>136974.65590869827</v>
      </c>
      <c r="H50">
        <f t="shared" si="6"/>
        <v>38</v>
      </c>
      <c r="I50" s="28">
        <v>208965.86744899256</v>
      </c>
      <c r="J50" s="29">
        <f t="shared" si="11"/>
        <v>16717.269395919404</v>
      </c>
      <c r="K50" s="28">
        <f t="shared" si="1"/>
        <v>23446.835123824905</v>
      </c>
      <c r="M50">
        <f t="shared" si="7"/>
        <v>38</v>
      </c>
      <c r="N50" s="28">
        <v>208965.86744899256</v>
      </c>
      <c r="O50" s="29">
        <f t="shared" si="2"/>
        <v>25075.904093879108</v>
      </c>
      <c r="P50" s="28">
        <f t="shared" si="3"/>
        <v>35170.25268573736</v>
      </c>
    </row>
    <row r="51" spans="2:16" x14ac:dyDescent="0.15">
      <c r="B51">
        <f t="shared" si="4"/>
        <v>39</v>
      </c>
      <c r="C51" s="28">
        <f t="shared" si="5"/>
        <v>215234.84347246235</v>
      </c>
      <c r="H51">
        <f t="shared" si="6"/>
        <v>39</v>
      </c>
      <c r="I51" s="28">
        <v>215234.84347246235</v>
      </c>
      <c r="J51" s="29">
        <f t="shared" si="11"/>
        <v>17218.787477796988</v>
      </c>
      <c r="K51" s="28">
        <f t="shared" si="1"/>
        <v>22570.317922934257</v>
      </c>
      <c r="M51">
        <f t="shared" si="7"/>
        <v>39</v>
      </c>
      <c r="N51" s="28">
        <v>215234.84347246235</v>
      </c>
      <c r="O51" s="29">
        <f t="shared" si="2"/>
        <v>25828.181216695481</v>
      </c>
      <c r="P51" s="28">
        <f t="shared" si="3"/>
        <v>33855.476884401382</v>
      </c>
    </row>
    <row r="52" spans="2:16" x14ac:dyDescent="0.15">
      <c r="B52">
        <f t="shared" si="4"/>
        <v>40</v>
      </c>
      <c r="C52" s="28">
        <f t="shared" si="5"/>
        <v>221691.88877663622</v>
      </c>
      <c r="H52">
        <f t="shared" si="6"/>
        <v>40</v>
      </c>
      <c r="I52" s="28">
        <v>221691.88877663622</v>
      </c>
      <c r="J52" s="29">
        <f t="shared" si="11"/>
        <v>17735.351102130899</v>
      </c>
      <c r="K52" s="28">
        <f t="shared" si="1"/>
        <v>21726.567720207746</v>
      </c>
      <c r="M52">
        <f t="shared" si="7"/>
        <v>40</v>
      </c>
      <c r="N52" s="28">
        <v>221691.88877663622</v>
      </c>
      <c r="O52" s="29">
        <f t="shared" si="2"/>
        <v>26603.026653196346</v>
      </c>
      <c r="P52" s="28">
        <f t="shared" si="3"/>
        <v>32589.851580311613</v>
      </c>
    </row>
    <row r="53" spans="2:16" x14ac:dyDescent="0.15">
      <c r="B53">
        <f t="shared" si="4"/>
        <v>41</v>
      </c>
      <c r="C53" s="28">
        <f t="shared" si="5"/>
        <v>228342.6454399353</v>
      </c>
      <c r="H53">
        <f t="shared" si="6"/>
        <v>41</v>
      </c>
      <c r="I53" s="28">
        <v>228342.6454399353</v>
      </c>
      <c r="J53" s="29">
        <f t="shared" si="11"/>
        <v>18267.411635194825</v>
      </c>
      <c r="K53" s="28">
        <f t="shared" si="1"/>
        <v>20914.359581134555</v>
      </c>
      <c r="M53">
        <f t="shared" si="7"/>
        <v>41</v>
      </c>
      <c r="N53" s="28">
        <v>228342.6454399353</v>
      </c>
      <c r="O53" s="29">
        <f t="shared" si="2"/>
        <v>27401.117452792234</v>
      </c>
      <c r="P53" s="28">
        <f t="shared" si="3"/>
        <v>31371.539371701831</v>
      </c>
    </row>
    <row r="54" spans="2:16" x14ac:dyDescent="0.15">
      <c r="B54">
        <f t="shared" si="4"/>
        <v>42</v>
      </c>
      <c r="C54" s="28">
        <f t="shared" si="5"/>
        <v>235192.92480313336</v>
      </c>
      <c r="H54">
        <f t="shared" si="6"/>
        <v>42</v>
      </c>
      <c r="I54" s="28">
        <v>235192.92480313336</v>
      </c>
      <c r="J54" s="29">
        <f t="shared" si="11"/>
        <v>18815.433984250671</v>
      </c>
      <c r="K54" s="28">
        <f t="shared" si="1"/>
        <v>20132.514363148217</v>
      </c>
      <c r="M54">
        <f t="shared" si="7"/>
        <v>42</v>
      </c>
      <c r="N54" s="28">
        <v>235192.92480313336</v>
      </c>
      <c r="O54" s="29">
        <f t="shared" si="2"/>
        <v>28223.150976376</v>
      </c>
      <c r="P54" s="28">
        <f t="shared" si="3"/>
        <v>30198.771544722324</v>
      </c>
    </row>
    <row r="55" spans="2:16" x14ac:dyDescent="0.15">
      <c r="B55">
        <f t="shared" si="4"/>
        <v>43</v>
      </c>
      <c r="C55" s="28">
        <f t="shared" si="5"/>
        <v>242248.71254722736</v>
      </c>
      <c r="H55">
        <f t="shared" si="6"/>
        <v>43</v>
      </c>
      <c r="I55" s="28">
        <v>242248.71254722736</v>
      </c>
      <c r="J55" s="29">
        <f t="shared" si="11"/>
        <v>19379.897003778191</v>
      </c>
      <c r="K55" s="28">
        <f t="shared" si="1"/>
        <v>19379.897003778191</v>
      </c>
      <c r="M55">
        <f t="shared" si="7"/>
        <v>43</v>
      </c>
      <c r="N55" s="28">
        <v>242248.71254722736</v>
      </c>
      <c r="O55" s="29">
        <f t="shared" si="2"/>
        <v>29069.845505667283</v>
      </c>
      <c r="P55" s="28">
        <f t="shared" si="3"/>
        <v>29069.845505667283</v>
      </c>
    </row>
    <row r="56" spans="2:16" x14ac:dyDescent="0.15">
      <c r="C56" s="28"/>
      <c r="I56" s="28"/>
      <c r="J56" s="29"/>
      <c r="K56" s="28"/>
    </row>
    <row r="57" spans="2:16" x14ac:dyDescent="0.15">
      <c r="P57" s="29"/>
    </row>
  </sheetData>
  <mergeCells count="4">
    <mergeCell ref="E11:F11"/>
    <mergeCell ref="E21:F21"/>
    <mergeCell ref="E41:F41"/>
    <mergeCell ref="E31:F3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7"/>
  <sheetViews>
    <sheetView topLeftCell="A49" workbookViewId="0">
      <selection activeCell="H55" sqref="H55"/>
    </sheetView>
  </sheetViews>
  <sheetFormatPr baseColWidth="10" defaultColWidth="8.83203125" defaultRowHeight="13" x14ac:dyDescent="0.15"/>
  <cols>
    <col min="2" max="2" width="23.5" customWidth="1"/>
    <col min="3" max="3" width="12.1640625" bestFit="1" customWidth="1"/>
    <col min="6" max="6" width="14.6640625" bestFit="1" customWidth="1"/>
    <col min="9" max="9" width="12.1640625" bestFit="1" customWidth="1"/>
    <col min="10" max="11" width="11.1640625" bestFit="1" customWidth="1"/>
    <col min="14" max="14" width="12.1640625" bestFit="1" customWidth="1"/>
    <col min="15" max="15" width="11.1640625" bestFit="1" customWidth="1"/>
    <col min="16" max="16" width="13.6640625" bestFit="1" customWidth="1"/>
  </cols>
  <sheetData>
    <row r="1" spans="2:16" ht="14" thickBot="1" x14ac:dyDescent="0.2">
      <c r="B1" s="4"/>
    </row>
    <row r="2" spans="2:16" x14ac:dyDescent="0.15">
      <c r="B2" s="23" t="s">
        <v>10</v>
      </c>
      <c r="C2" s="14">
        <v>0.03</v>
      </c>
    </row>
    <row r="3" spans="2:16" x14ac:dyDescent="0.15">
      <c r="B3" s="24" t="s">
        <v>11</v>
      </c>
      <c r="C3" s="15">
        <v>7.0000000000000007E-2</v>
      </c>
    </row>
    <row r="4" spans="2:16" x14ac:dyDescent="0.15">
      <c r="B4" s="24" t="s">
        <v>12</v>
      </c>
      <c r="C4" s="15">
        <v>0.04</v>
      </c>
    </row>
    <row r="5" spans="2:16" ht="14" thickBot="1" x14ac:dyDescent="0.2">
      <c r="B5" s="25" t="s">
        <v>13</v>
      </c>
      <c r="C5" s="18">
        <v>14</v>
      </c>
    </row>
    <row r="6" spans="2:16" ht="14" thickBot="1" x14ac:dyDescent="0.2">
      <c r="B6" s="19"/>
      <c r="C6" s="16"/>
    </row>
    <row r="7" spans="2:16" x14ac:dyDescent="0.15">
      <c r="B7" s="23" t="s">
        <v>14</v>
      </c>
      <c r="C7" s="20">
        <v>22</v>
      </c>
    </row>
    <row r="8" spans="2:16" ht="14" thickBot="1" x14ac:dyDescent="0.2">
      <c r="B8" s="25" t="s">
        <v>15</v>
      </c>
      <c r="C8" s="21">
        <v>65</v>
      </c>
    </row>
    <row r="9" spans="2:16" ht="14" thickBot="1" x14ac:dyDescent="0.2">
      <c r="B9" s="19"/>
      <c r="C9" s="17"/>
    </row>
    <row r="10" spans="2:16" ht="14" thickBot="1" x14ac:dyDescent="0.2">
      <c r="B10" s="26" t="s">
        <v>16</v>
      </c>
      <c r="C10" s="22">
        <v>150000</v>
      </c>
    </row>
    <row r="11" spans="2:16" x14ac:dyDescent="0.15">
      <c r="B11" s="4"/>
      <c r="E11" s="37">
        <v>50000</v>
      </c>
      <c r="F11" s="36"/>
    </row>
    <row r="12" spans="2:16" x14ac:dyDescent="0.15">
      <c r="B12" s="27" t="s">
        <v>18</v>
      </c>
      <c r="C12" s="1" t="s">
        <v>19</v>
      </c>
      <c r="E12" s="35" t="s">
        <v>20</v>
      </c>
      <c r="F12" s="35"/>
      <c r="H12" s="27" t="s">
        <v>18</v>
      </c>
      <c r="I12" s="1" t="s">
        <v>19</v>
      </c>
      <c r="M12" s="1" t="s">
        <v>18</v>
      </c>
      <c r="N12" s="1" t="s">
        <v>19</v>
      </c>
    </row>
    <row r="13" spans="2:16" x14ac:dyDescent="0.15">
      <c r="B13">
        <f>1</f>
        <v>1</v>
      </c>
      <c r="C13" s="28">
        <f>$C$10</f>
        <v>150000</v>
      </c>
      <c r="E13" t="s">
        <v>21</v>
      </c>
      <c r="F13">
        <v>1058676.4241854448</v>
      </c>
      <c r="H13">
        <v>1</v>
      </c>
      <c r="I13" s="28">
        <f>$C$10</f>
        <v>150000</v>
      </c>
      <c r="J13" s="29">
        <f>I13*3%</f>
        <v>4500</v>
      </c>
      <c r="K13" s="28">
        <f>J13*(1+$C$3)^(43-H13)</f>
        <v>77149.155510486176</v>
      </c>
      <c r="M13">
        <v>1</v>
      </c>
      <c r="N13" s="28">
        <f>$C$10</f>
        <v>150000</v>
      </c>
      <c r="O13" s="29">
        <f>N13*12%</f>
        <v>18000</v>
      </c>
      <c r="P13" s="28">
        <f>O13*(1+$C$3)^(43-M13)</f>
        <v>308596.62204194471</v>
      </c>
    </row>
    <row r="14" spans="2:16" x14ac:dyDescent="0.15">
      <c r="B14">
        <f>B13+1</f>
        <v>2</v>
      </c>
      <c r="C14" s="28">
        <f>C13*(1+$C$2)</f>
        <v>154500</v>
      </c>
      <c r="E14" t="s">
        <v>22</v>
      </c>
      <c r="F14">
        <v>1002616.1571725806</v>
      </c>
      <c r="H14">
        <f>H13+1</f>
        <v>2</v>
      </c>
      <c r="I14" s="28">
        <f>I13*(1+$C$2)</f>
        <v>154500</v>
      </c>
      <c r="J14" s="29">
        <f t="shared" ref="J14:J17" si="0">I14*3%</f>
        <v>4635</v>
      </c>
      <c r="K14" s="28">
        <f t="shared" ref="K14:K55" si="1">J14*(1+$C$3)^(43-H14)</f>
        <v>74265.074930654926</v>
      </c>
      <c r="M14">
        <f>M13+1</f>
        <v>2</v>
      </c>
      <c r="N14" s="28">
        <f>N13*(1+$C$2)</f>
        <v>154500</v>
      </c>
      <c r="O14" s="29">
        <f t="shared" ref="O14:O55" si="2">N14*12%</f>
        <v>18540</v>
      </c>
      <c r="P14" s="28">
        <f t="shared" ref="P14:P55" si="3">O14*(1+$C$3)^(43-M14)</f>
        <v>297060.2997226197</v>
      </c>
    </row>
    <row r="15" spans="2:16" x14ac:dyDescent="0.15">
      <c r="B15">
        <f t="shared" ref="B15:B55" si="4">B14+1</f>
        <v>3</v>
      </c>
      <c r="C15" s="28">
        <f t="shared" ref="C15:C55" si="5">C14*(1+$C$2)</f>
        <v>159135</v>
      </c>
      <c r="E15" t="s">
        <v>23</v>
      </c>
      <c r="F15">
        <v>2216975.6976566748</v>
      </c>
      <c r="H15">
        <f t="shared" ref="H15:H55" si="6">H14+1</f>
        <v>3</v>
      </c>
      <c r="I15" s="28">
        <f t="shared" ref="I15:I55" si="7">I14*(1+$C$2)</f>
        <v>159135</v>
      </c>
      <c r="J15" s="29">
        <f t="shared" si="0"/>
        <v>4774.05</v>
      </c>
      <c r="K15" s="28">
        <f t="shared" si="1"/>
        <v>71488.810447265962</v>
      </c>
      <c r="M15">
        <f t="shared" ref="M15:M55" si="8">M14+1</f>
        <v>3</v>
      </c>
      <c r="N15" s="28">
        <f t="shared" ref="N15:N55" si="9">N14*(1+$C$2)</f>
        <v>159135</v>
      </c>
      <c r="O15" s="29">
        <f t="shared" si="2"/>
        <v>19096.2</v>
      </c>
      <c r="P15" s="28">
        <f t="shared" si="3"/>
        <v>285955.24178906385</v>
      </c>
    </row>
    <row r="16" spans="2:16" x14ac:dyDescent="0.15">
      <c r="B16">
        <f t="shared" si="4"/>
        <v>4</v>
      </c>
      <c r="C16" s="28">
        <f t="shared" si="5"/>
        <v>163909.05000000002</v>
      </c>
      <c r="H16">
        <f t="shared" si="6"/>
        <v>4</v>
      </c>
      <c r="I16" s="28">
        <f t="shared" si="7"/>
        <v>163909.05000000002</v>
      </c>
      <c r="J16" s="29">
        <f t="shared" si="0"/>
        <v>4917.2715000000007</v>
      </c>
      <c r="K16" s="28">
        <f t="shared" si="1"/>
        <v>68816.331552041069</v>
      </c>
      <c r="M16">
        <f t="shared" si="8"/>
        <v>4</v>
      </c>
      <c r="N16" s="28">
        <f t="shared" si="9"/>
        <v>163909.05000000002</v>
      </c>
      <c r="O16" s="29">
        <f t="shared" si="2"/>
        <v>19669.086000000003</v>
      </c>
      <c r="P16" s="28">
        <f t="shared" si="3"/>
        <v>275265.32620816428</v>
      </c>
    </row>
    <row r="17" spans="2:16" x14ac:dyDescent="0.15">
      <c r="B17">
        <f t="shared" si="4"/>
        <v>5</v>
      </c>
      <c r="C17" s="28">
        <f t="shared" si="5"/>
        <v>168826.32150000002</v>
      </c>
      <c r="E17" s="35" t="s">
        <v>24</v>
      </c>
      <c r="F17" s="35"/>
      <c r="H17">
        <f t="shared" si="6"/>
        <v>5</v>
      </c>
      <c r="I17" s="28">
        <f t="shared" si="7"/>
        <v>168826.32150000002</v>
      </c>
      <c r="J17" s="29">
        <f t="shared" si="0"/>
        <v>5064.7896450000007</v>
      </c>
      <c r="K17" s="28">
        <f t="shared" si="1"/>
        <v>66243.758409908696</v>
      </c>
      <c r="M17">
        <f t="shared" si="8"/>
        <v>5</v>
      </c>
      <c r="N17" s="28">
        <f t="shared" si="9"/>
        <v>168826.32150000002</v>
      </c>
      <c r="O17" s="29">
        <f t="shared" si="2"/>
        <v>20259.158580000003</v>
      </c>
      <c r="P17" s="28">
        <f t="shared" si="3"/>
        <v>264975.03363963478</v>
      </c>
    </row>
    <row r="18" spans="2:16" x14ac:dyDescent="0.15">
      <c r="B18">
        <f t="shared" si="4"/>
        <v>6</v>
      </c>
      <c r="C18" s="28">
        <f t="shared" si="5"/>
        <v>173891.11114500003</v>
      </c>
      <c r="E18" t="s">
        <v>25</v>
      </c>
      <c r="F18" s="29" t="e">
        <f>AVERAGE(C63:C65)*0.015*30</f>
        <v>#DIV/0!</v>
      </c>
      <c r="H18">
        <f t="shared" si="6"/>
        <v>6</v>
      </c>
      <c r="I18" s="28">
        <f t="shared" si="7"/>
        <v>173891.11114500003</v>
      </c>
      <c r="J18" s="29">
        <f>I18*4%</f>
        <v>6955.6444458000014</v>
      </c>
      <c r="K18" s="28">
        <f t="shared" si="1"/>
        <v>85023.141635147622</v>
      </c>
      <c r="M18">
        <f t="shared" si="8"/>
        <v>6</v>
      </c>
      <c r="N18" s="28">
        <f t="shared" si="9"/>
        <v>173891.11114500003</v>
      </c>
      <c r="O18" s="29">
        <f t="shared" si="2"/>
        <v>20866.933337400002</v>
      </c>
      <c r="P18" s="28">
        <f t="shared" si="3"/>
        <v>255069.42490544284</v>
      </c>
    </row>
    <row r="19" spans="2:16" x14ac:dyDescent="0.15">
      <c r="B19">
        <f t="shared" si="4"/>
        <v>7</v>
      </c>
      <c r="C19" s="28">
        <f t="shared" si="5"/>
        <v>179107.84447935002</v>
      </c>
      <c r="E19" t="s">
        <v>22</v>
      </c>
      <c r="F19" s="29" t="e">
        <f>#REF!/(1.04*(1-(1.04^(-14)))/0.04)</f>
        <v>#REF!</v>
      </c>
      <c r="H19">
        <f t="shared" si="6"/>
        <v>7</v>
      </c>
      <c r="I19" s="28">
        <f t="shared" si="7"/>
        <v>179107.84447935002</v>
      </c>
      <c r="J19" s="29">
        <f t="shared" ref="J19:J22" si="10">I19*4%</f>
        <v>7164.313779174001</v>
      </c>
      <c r="K19" s="28">
        <f t="shared" si="1"/>
        <v>81844.706433833679</v>
      </c>
      <c r="M19">
        <f t="shared" si="8"/>
        <v>7</v>
      </c>
      <c r="N19" s="28">
        <f t="shared" si="9"/>
        <v>179107.84447935002</v>
      </c>
      <c r="O19" s="29">
        <f t="shared" si="2"/>
        <v>21492.941337522003</v>
      </c>
      <c r="P19" s="28">
        <f t="shared" si="3"/>
        <v>245534.11930150102</v>
      </c>
    </row>
    <row r="20" spans="2:16" x14ac:dyDescent="0.15">
      <c r="B20">
        <f t="shared" si="4"/>
        <v>8</v>
      </c>
      <c r="C20" s="28">
        <f t="shared" si="5"/>
        <v>184481.07981373052</v>
      </c>
      <c r="E20" t="s">
        <v>23</v>
      </c>
      <c r="F20" s="29" t="e">
        <f>#REF!/(1.04*(1-(1.04^(-14)))/0.04)</f>
        <v>#REF!</v>
      </c>
      <c r="H20">
        <f t="shared" si="6"/>
        <v>8</v>
      </c>
      <c r="I20" s="28">
        <f t="shared" si="7"/>
        <v>184481.07981373052</v>
      </c>
      <c r="J20" s="29">
        <f t="shared" si="10"/>
        <v>7379.243192549221</v>
      </c>
      <c r="K20" s="28">
        <f t="shared" si="1"/>
        <v>78785.091240045498</v>
      </c>
      <c r="M20">
        <f t="shared" si="8"/>
        <v>8</v>
      </c>
      <c r="N20" s="28">
        <f t="shared" si="9"/>
        <v>184481.07981373052</v>
      </c>
      <c r="O20" s="29">
        <f t="shared" si="2"/>
        <v>22137.72957764766</v>
      </c>
      <c r="P20" s="28">
        <f t="shared" si="3"/>
        <v>236355.27372013647</v>
      </c>
    </row>
    <row r="21" spans="2:16" x14ac:dyDescent="0.15">
      <c r="B21">
        <f t="shared" si="4"/>
        <v>9</v>
      </c>
      <c r="C21" s="28">
        <f t="shared" si="5"/>
        <v>190015.51220814243</v>
      </c>
      <c r="E21" s="37">
        <v>70000</v>
      </c>
      <c r="F21" s="37"/>
      <c r="H21">
        <f t="shared" si="6"/>
        <v>9</v>
      </c>
      <c r="I21" s="28">
        <f t="shared" si="7"/>
        <v>190015.51220814243</v>
      </c>
      <c r="J21" s="29">
        <f t="shared" si="10"/>
        <v>7600.6204883256978</v>
      </c>
      <c r="K21" s="28">
        <f t="shared" si="1"/>
        <v>75839.854184342868</v>
      </c>
      <c r="M21">
        <f t="shared" si="8"/>
        <v>9</v>
      </c>
      <c r="N21" s="28">
        <f t="shared" si="9"/>
        <v>190015.51220814243</v>
      </c>
      <c r="O21" s="29">
        <f t="shared" si="2"/>
        <v>22801.86146497709</v>
      </c>
      <c r="P21" s="28">
        <f t="shared" si="3"/>
        <v>227519.56255302855</v>
      </c>
    </row>
    <row r="22" spans="2:16" x14ac:dyDescent="0.15">
      <c r="B22">
        <f t="shared" si="4"/>
        <v>10</v>
      </c>
      <c r="C22" s="28">
        <f t="shared" si="5"/>
        <v>195715.97757438672</v>
      </c>
      <c r="E22" s="35" t="s">
        <v>20</v>
      </c>
      <c r="F22" s="35"/>
      <c r="H22">
        <f t="shared" si="6"/>
        <v>10</v>
      </c>
      <c r="I22" s="28">
        <f t="shared" si="7"/>
        <v>195715.97757438672</v>
      </c>
      <c r="J22" s="29">
        <f t="shared" si="10"/>
        <v>7828.6391029754686</v>
      </c>
      <c r="K22" s="28">
        <f t="shared" si="1"/>
        <v>73004.719448479576</v>
      </c>
      <c r="M22">
        <f t="shared" si="8"/>
        <v>10</v>
      </c>
      <c r="N22" s="28">
        <f t="shared" si="9"/>
        <v>195715.97757438672</v>
      </c>
      <c r="O22" s="29">
        <f t="shared" si="2"/>
        <v>23485.917308926404</v>
      </c>
      <c r="P22" s="28">
        <f t="shared" si="3"/>
        <v>219014.15834543871</v>
      </c>
    </row>
    <row r="23" spans="2:16" x14ac:dyDescent="0.15">
      <c r="B23">
        <f t="shared" si="4"/>
        <v>11</v>
      </c>
      <c r="C23" s="28">
        <f t="shared" si="5"/>
        <v>201587.45690161834</v>
      </c>
      <c r="E23" t="s">
        <v>21</v>
      </c>
      <c r="F23">
        <v>1482146.9938596215</v>
      </c>
      <c r="H23">
        <f t="shared" si="6"/>
        <v>11</v>
      </c>
      <c r="I23" s="28">
        <f t="shared" si="7"/>
        <v>201587.45690161834</v>
      </c>
      <c r="J23" s="29">
        <f>I23*5%</f>
        <v>10079.372845080918</v>
      </c>
      <c r="K23" s="28">
        <f t="shared" si="1"/>
        <v>87844.463822352773</v>
      </c>
      <c r="M23">
        <f t="shared" si="8"/>
        <v>11</v>
      </c>
      <c r="N23" s="28">
        <f t="shared" si="9"/>
        <v>201587.45690161834</v>
      </c>
      <c r="O23" s="29">
        <f t="shared" si="2"/>
        <v>24190.494828194198</v>
      </c>
      <c r="P23" s="28">
        <f t="shared" si="3"/>
        <v>210826.71317364663</v>
      </c>
    </row>
    <row r="24" spans="2:16" x14ac:dyDescent="0.15">
      <c r="B24">
        <f t="shared" si="4"/>
        <v>12</v>
      </c>
      <c r="C24" s="28">
        <f t="shared" si="5"/>
        <v>207635.0806086669</v>
      </c>
      <c r="E24" t="s">
        <v>22</v>
      </c>
      <c r="F24">
        <v>1403662.6200416121</v>
      </c>
      <c r="H24">
        <f t="shared" si="6"/>
        <v>12</v>
      </c>
      <c r="I24" s="28">
        <f t="shared" si="7"/>
        <v>207635.0806086669</v>
      </c>
      <c r="J24" s="29">
        <f t="shared" ref="J24:J27" si="11">I24*5%</f>
        <v>10381.754030433345</v>
      </c>
      <c r="K24" s="28">
        <f t="shared" si="1"/>
        <v>84560.558632732122</v>
      </c>
      <c r="M24">
        <f t="shared" si="8"/>
        <v>12</v>
      </c>
      <c r="N24" s="28">
        <f t="shared" si="9"/>
        <v>207635.0806086669</v>
      </c>
      <c r="O24" s="29">
        <f t="shared" si="2"/>
        <v>24916.209673040026</v>
      </c>
      <c r="P24" s="28">
        <f t="shared" si="3"/>
        <v>202945.34071855707</v>
      </c>
    </row>
    <row r="25" spans="2:16" x14ac:dyDescent="0.15">
      <c r="B25">
        <f t="shared" si="4"/>
        <v>13</v>
      </c>
      <c r="C25" s="28">
        <f t="shared" si="5"/>
        <v>213864.13302692692</v>
      </c>
      <c r="E25" t="s">
        <v>23</v>
      </c>
      <c r="F25">
        <v>3103765.9767193445</v>
      </c>
      <c r="H25">
        <f t="shared" si="6"/>
        <v>13</v>
      </c>
      <c r="I25" s="28">
        <f t="shared" si="7"/>
        <v>213864.13302692692</v>
      </c>
      <c r="J25" s="29">
        <f t="shared" si="11"/>
        <v>10693.206651346347</v>
      </c>
      <c r="K25" s="28">
        <f t="shared" si="1"/>
        <v>81399.416253938398</v>
      </c>
      <c r="M25">
        <f t="shared" si="8"/>
        <v>13</v>
      </c>
      <c r="N25" s="28">
        <f t="shared" si="9"/>
        <v>213864.13302692692</v>
      </c>
      <c r="O25" s="29">
        <f t="shared" si="2"/>
        <v>25663.695963231228</v>
      </c>
      <c r="P25" s="28">
        <f t="shared" si="3"/>
        <v>195358.59900945213</v>
      </c>
    </row>
    <row r="26" spans="2:16" x14ac:dyDescent="0.15">
      <c r="B26">
        <f t="shared" si="4"/>
        <v>14</v>
      </c>
      <c r="C26" s="28">
        <f t="shared" si="5"/>
        <v>220280.05701773474</v>
      </c>
      <c r="H26">
        <f t="shared" si="6"/>
        <v>14</v>
      </c>
      <c r="I26" s="28">
        <f t="shared" si="7"/>
        <v>220280.05701773474</v>
      </c>
      <c r="J26" s="29">
        <f t="shared" si="11"/>
        <v>11014.002850886738</v>
      </c>
      <c r="K26" s="28">
        <f t="shared" si="1"/>
        <v>78356.447422015466</v>
      </c>
      <c r="M26">
        <f t="shared" si="8"/>
        <v>14</v>
      </c>
      <c r="N26" s="28">
        <f t="shared" si="9"/>
        <v>220280.05701773474</v>
      </c>
      <c r="O26" s="29">
        <f t="shared" si="2"/>
        <v>26433.606842128167</v>
      </c>
      <c r="P26" s="28">
        <f t="shared" si="3"/>
        <v>188055.4738128371</v>
      </c>
    </row>
    <row r="27" spans="2:16" x14ac:dyDescent="0.15">
      <c r="B27">
        <f t="shared" si="4"/>
        <v>15</v>
      </c>
      <c r="C27" s="28">
        <f t="shared" si="5"/>
        <v>226888.45872826679</v>
      </c>
      <c r="E27" s="35" t="s">
        <v>24</v>
      </c>
      <c r="F27" s="35"/>
      <c r="H27">
        <f t="shared" si="6"/>
        <v>15</v>
      </c>
      <c r="I27" s="28">
        <f t="shared" si="7"/>
        <v>226888.45872826679</v>
      </c>
      <c r="J27" s="29">
        <f t="shared" si="11"/>
        <v>11344.422936413341</v>
      </c>
      <c r="K27" s="28">
        <f t="shared" si="1"/>
        <v>75427.234434276572</v>
      </c>
      <c r="M27">
        <f t="shared" si="8"/>
        <v>15</v>
      </c>
      <c r="N27" s="28">
        <f t="shared" si="9"/>
        <v>226888.45872826679</v>
      </c>
      <c r="O27" s="29">
        <f t="shared" si="2"/>
        <v>27226.615047392013</v>
      </c>
      <c r="P27" s="28">
        <f t="shared" si="3"/>
        <v>181025.36264226376</v>
      </c>
    </row>
    <row r="28" spans="2:16" x14ac:dyDescent="0.15">
      <c r="B28">
        <f t="shared" si="4"/>
        <v>16</v>
      </c>
      <c r="C28" s="28">
        <f t="shared" si="5"/>
        <v>233695.11249011481</v>
      </c>
      <c r="E28" t="s">
        <v>25</v>
      </c>
      <c r="F28" s="29">
        <f>AVERAGE(C53:C55)*0.015*30</f>
        <v>226859.23375402388</v>
      </c>
      <c r="H28">
        <f t="shared" si="6"/>
        <v>16</v>
      </c>
      <c r="I28" s="28">
        <f t="shared" si="7"/>
        <v>233695.11249011481</v>
      </c>
      <c r="J28" s="29">
        <f>'SensitivityAnalysis-CurrentPay'!I28*6%</f>
        <v>14021.706749406889</v>
      </c>
      <c r="K28" s="28">
        <f t="shared" si="1"/>
        <v>87129.029682958761</v>
      </c>
      <c r="M28">
        <f t="shared" si="8"/>
        <v>16</v>
      </c>
      <c r="N28" s="28">
        <f t="shared" si="9"/>
        <v>233695.11249011481</v>
      </c>
      <c r="O28" s="29">
        <f t="shared" si="2"/>
        <v>28043.413498813778</v>
      </c>
      <c r="P28" s="28">
        <f t="shared" si="3"/>
        <v>174258.05936591752</v>
      </c>
    </row>
    <row r="29" spans="2:16" x14ac:dyDescent="0.15">
      <c r="B29">
        <f t="shared" si="4"/>
        <v>17</v>
      </c>
      <c r="C29" s="28">
        <f t="shared" si="5"/>
        <v>240705.96586481825</v>
      </c>
      <c r="E29" t="s">
        <v>22</v>
      </c>
      <c r="F29" s="29" t="e">
        <f>#REF!/(1.04*(1-(1.04^(-14)))/0.04)</f>
        <v>#REF!</v>
      </c>
      <c r="H29">
        <f t="shared" si="6"/>
        <v>17</v>
      </c>
      <c r="I29" s="28">
        <f t="shared" si="7"/>
        <v>240705.96586481825</v>
      </c>
      <c r="J29" s="29">
        <f>'SensitivityAnalysis-CurrentPay'!I29*6%</f>
        <v>14442.357951889095</v>
      </c>
      <c r="K29" s="28">
        <f t="shared" si="1"/>
        <v>83871.869694810739</v>
      </c>
      <c r="M29">
        <f t="shared" si="8"/>
        <v>17</v>
      </c>
      <c r="N29" s="28">
        <f t="shared" si="9"/>
        <v>240705.96586481825</v>
      </c>
      <c r="O29" s="29">
        <f t="shared" si="2"/>
        <v>28884.715903778189</v>
      </c>
      <c r="P29" s="28">
        <f t="shared" si="3"/>
        <v>167743.73938962148</v>
      </c>
    </row>
    <row r="30" spans="2:16" x14ac:dyDescent="0.15">
      <c r="B30">
        <f t="shared" si="4"/>
        <v>18</v>
      </c>
      <c r="C30" s="28">
        <f t="shared" si="5"/>
        <v>247927.1448407628</v>
      </c>
      <c r="E30" t="s">
        <v>23</v>
      </c>
      <c r="F30" s="29" t="e">
        <f>#REF!/(1.04*(1-(1.04^(-14)))/0.04)</f>
        <v>#REF!</v>
      </c>
      <c r="H30">
        <f t="shared" si="6"/>
        <v>18</v>
      </c>
      <c r="I30" s="28">
        <f t="shared" si="7"/>
        <v>247927.1448407628</v>
      </c>
      <c r="J30" s="29">
        <f>'SensitivityAnalysis-CurrentPay'!I30*6%</f>
        <v>14875.628690445768</v>
      </c>
      <c r="K30" s="28">
        <f t="shared" si="1"/>
        <v>80736.472696873898</v>
      </c>
      <c r="M30">
        <f t="shared" si="8"/>
        <v>18</v>
      </c>
      <c r="N30" s="28">
        <f t="shared" si="9"/>
        <v>247927.1448407628</v>
      </c>
      <c r="O30" s="29">
        <f t="shared" si="2"/>
        <v>29751.257380891537</v>
      </c>
      <c r="P30" s="28">
        <f t="shared" si="3"/>
        <v>161472.9453937478</v>
      </c>
    </row>
    <row r="31" spans="2:16" x14ac:dyDescent="0.15">
      <c r="B31">
        <f t="shared" si="4"/>
        <v>19</v>
      </c>
      <c r="C31" s="28">
        <f t="shared" si="5"/>
        <v>255364.9591859857</v>
      </c>
      <c r="E31" s="37">
        <v>100000</v>
      </c>
      <c r="F31" s="36"/>
      <c r="H31">
        <f t="shared" si="6"/>
        <v>19</v>
      </c>
      <c r="I31" s="28">
        <f t="shared" si="7"/>
        <v>255364.9591859857</v>
      </c>
      <c r="J31" s="29">
        <f>'SensitivityAnalysis-CurrentPay'!I31*6%</f>
        <v>15321.897551159142</v>
      </c>
      <c r="K31" s="28">
        <f t="shared" si="1"/>
        <v>77718.286801663664</v>
      </c>
      <c r="M31">
        <f t="shared" si="8"/>
        <v>19</v>
      </c>
      <c r="N31" s="28">
        <f t="shared" si="9"/>
        <v>255364.9591859857</v>
      </c>
      <c r="O31" s="29">
        <f t="shared" si="2"/>
        <v>30643.795102318283</v>
      </c>
      <c r="P31" s="28">
        <f t="shared" si="3"/>
        <v>155436.57360332733</v>
      </c>
    </row>
    <row r="32" spans="2:16" x14ac:dyDescent="0.15">
      <c r="B32">
        <f t="shared" si="4"/>
        <v>20</v>
      </c>
      <c r="C32" s="28">
        <f t="shared" si="5"/>
        <v>263025.9079615653</v>
      </c>
      <c r="E32" s="35" t="s">
        <v>20</v>
      </c>
      <c r="F32" s="35"/>
      <c r="H32">
        <f t="shared" si="6"/>
        <v>20</v>
      </c>
      <c r="I32" s="28">
        <f t="shared" si="7"/>
        <v>263025.9079615653</v>
      </c>
      <c r="J32" s="29">
        <f>'SensitivityAnalysis-CurrentPay'!I32*6%</f>
        <v>15781.554477693917</v>
      </c>
      <c r="K32" s="28">
        <f t="shared" si="1"/>
        <v>74812.930285713621</v>
      </c>
      <c r="M32">
        <f t="shared" si="8"/>
        <v>20</v>
      </c>
      <c r="N32" s="28">
        <f t="shared" si="9"/>
        <v>263025.9079615653</v>
      </c>
      <c r="O32" s="29">
        <f t="shared" si="2"/>
        <v>31563.108955387834</v>
      </c>
      <c r="P32" s="28">
        <f t="shared" si="3"/>
        <v>149625.86057142724</v>
      </c>
    </row>
    <row r="33" spans="2:16" x14ac:dyDescent="0.15">
      <c r="B33">
        <f t="shared" si="4"/>
        <v>21</v>
      </c>
      <c r="C33" s="28">
        <f t="shared" si="5"/>
        <v>270916.68520041229</v>
      </c>
      <c r="E33" t="s">
        <v>21</v>
      </c>
      <c r="F33">
        <v>2117352.8483708897</v>
      </c>
      <c r="H33">
        <f t="shared" si="6"/>
        <v>21</v>
      </c>
      <c r="I33" s="28">
        <f t="shared" si="7"/>
        <v>270916.68520041229</v>
      </c>
      <c r="J33" s="29">
        <f>I33*7%</f>
        <v>18964.167964028864</v>
      </c>
      <c r="K33" s="28">
        <f t="shared" si="1"/>
        <v>84018.882766354422</v>
      </c>
      <c r="M33">
        <f t="shared" si="8"/>
        <v>21</v>
      </c>
      <c r="N33" s="28">
        <f t="shared" si="9"/>
        <v>270916.68520041229</v>
      </c>
      <c r="O33" s="29">
        <f t="shared" si="2"/>
        <v>32510.002224049473</v>
      </c>
      <c r="P33" s="28">
        <f t="shared" si="3"/>
        <v>144032.37045660755</v>
      </c>
    </row>
    <row r="34" spans="2:16" x14ac:dyDescent="0.15">
      <c r="B34">
        <f t="shared" si="4"/>
        <v>22</v>
      </c>
      <c r="C34" s="28">
        <f t="shared" si="5"/>
        <v>279044.18575642467</v>
      </c>
      <c r="E34" t="s">
        <v>22</v>
      </c>
      <c r="F34">
        <v>2005232.3143451612</v>
      </c>
      <c r="H34">
        <f t="shared" si="6"/>
        <v>22</v>
      </c>
      <c r="I34" s="28">
        <f t="shared" si="7"/>
        <v>279044.18575642467</v>
      </c>
      <c r="J34" s="29">
        <f t="shared" ref="J34:J37" si="12">I34*7%</f>
        <v>19533.093002949729</v>
      </c>
      <c r="K34" s="28">
        <f t="shared" si="1"/>
        <v>80877.989952658929</v>
      </c>
      <c r="M34">
        <f t="shared" si="8"/>
        <v>22</v>
      </c>
      <c r="N34" s="28">
        <f t="shared" si="9"/>
        <v>279044.18575642467</v>
      </c>
      <c r="O34" s="29">
        <f t="shared" si="2"/>
        <v>33485.30229077096</v>
      </c>
      <c r="P34" s="28">
        <f t="shared" si="3"/>
        <v>138647.98277598672</v>
      </c>
    </row>
    <row r="35" spans="2:16" x14ac:dyDescent="0.15">
      <c r="B35">
        <f t="shared" si="4"/>
        <v>23</v>
      </c>
      <c r="C35" s="28">
        <f t="shared" si="5"/>
        <v>287415.51132911741</v>
      </c>
      <c r="E35" t="s">
        <v>23</v>
      </c>
      <c r="F35">
        <v>4433951.3953133496</v>
      </c>
      <c r="H35">
        <f t="shared" si="6"/>
        <v>23</v>
      </c>
      <c r="I35" s="28">
        <f t="shared" si="7"/>
        <v>287415.51132911741</v>
      </c>
      <c r="J35" s="29">
        <f t="shared" si="12"/>
        <v>20119.085793038219</v>
      </c>
      <c r="K35" s="28">
        <f t="shared" si="1"/>
        <v>77854.513692746434</v>
      </c>
      <c r="M35">
        <f t="shared" si="8"/>
        <v>23</v>
      </c>
      <c r="N35" s="28">
        <f t="shared" si="9"/>
        <v>287415.51132911741</v>
      </c>
      <c r="O35" s="29">
        <f t="shared" si="2"/>
        <v>34489.861359494091</v>
      </c>
      <c r="P35" s="28">
        <f t="shared" si="3"/>
        <v>133464.88061613674</v>
      </c>
    </row>
    <row r="36" spans="2:16" x14ac:dyDescent="0.15">
      <c r="B36">
        <f t="shared" si="4"/>
        <v>24</v>
      </c>
      <c r="C36" s="28">
        <f t="shared" si="5"/>
        <v>296037.97666899092</v>
      </c>
      <c r="H36">
        <f t="shared" si="6"/>
        <v>24</v>
      </c>
      <c r="I36" s="28">
        <f t="shared" si="7"/>
        <v>296037.97666899092</v>
      </c>
      <c r="J36" s="29">
        <f t="shared" si="12"/>
        <v>20722.658366829368</v>
      </c>
      <c r="K36" s="28">
        <f t="shared" si="1"/>
        <v>74944.064582737235</v>
      </c>
      <c r="M36">
        <f t="shared" si="8"/>
        <v>24</v>
      </c>
      <c r="N36" s="28">
        <f t="shared" si="9"/>
        <v>296037.97666899092</v>
      </c>
      <c r="O36" s="29">
        <f t="shared" si="2"/>
        <v>35524.557200278905</v>
      </c>
      <c r="P36" s="28">
        <f t="shared" si="3"/>
        <v>128475.53928469235</v>
      </c>
    </row>
    <row r="37" spans="2:16" x14ac:dyDescent="0.15">
      <c r="B37">
        <f t="shared" si="4"/>
        <v>25</v>
      </c>
      <c r="C37" s="28">
        <f t="shared" si="5"/>
        <v>304919.11596906063</v>
      </c>
      <c r="E37" s="35" t="s">
        <v>24</v>
      </c>
      <c r="F37" s="35"/>
      <c r="H37">
        <f t="shared" si="6"/>
        <v>25</v>
      </c>
      <c r="I37" s="28">
        <f t="shared" si="7"/>
        <v>304919.11596906063</v>
      </c>
      <c r="J37" s="29">
        <f t="shared" si="12"/>
        <v>21344.338117834246</v>
      </c>
      <c r="K37" s="28">
        <f t="shared" si="1"/>
        <v>72142.417308616205</v>
      </c>
      <c r="M37">
        <f t="shared" si="8"/>
        <v>25</v>
      </c>
      <c r="N37" s="28">
        <f t="shared" si="9"/>
        <v>304919.11596906063</v>
      </c>
      <c r="O37" s="29">
        <f t="shared" si="2"/>
        <v>36590.293916287272</v>
      </c>
      <c r="P37" s="28">
        <f t="shared" si="3"/>
        <v>123672.71538619918</v>
      </c>
    </row>
    <row r="38" spans="2:16" x14ac:dyDescent="0.15">
      <c r="B38">
        <f t="shared" si="4"/>
        <v>26</v>
      </c>
      <c r="C38" s="28">
        <f t="shared" si="5"/>
        <v>314066.68944813247</v>
      </c>
      <c r="E38" t="s">
        <v>25</v>
      </c>
      <c r="F38" s="29" t="e">
        <f>AVERAGE(C73:C75)*0.015*30</f>
        <v>#DIV/0!</v>
      </c>
      <c r="H38">
        <f t="shared" si="6"/>
        <v>26</v>
      </c>
      <c r="I38" s="28">
        <f t="shared" si="7"/>
        <v>314066.68944813247</v>
      </c>
      <c r="J38" s="29">
        <f>I38*8%</f>
        <v>25125.335155850596</v>
      </c>
      <c r="K38" s="28">
        <f t="shared" si="1"/>
        <v>79366.290870894183</v>
      </c>
      <c r="M38">
        <f t="shared" si="8"/>
        <v>26</v>
      </c>
      <c r="N38" s="28">
        <f t="shared" si="9"/>
        <v>314066.68944813247</v>
      </c>
      <c r="O38" s="29">
        <f t="shared" si="2"/>
        <v>37688.002733775895</v>
      </c>
      <c r="P38" s="28">
        <f t="shared" si="3"/>
        <v>119049.43630634127</v>
      </c>
    </row>
    <row r="39" spans="2:16" x14ac:dyDescent="0.15">
      <c r="B39">
        <f t="shared" si="4"/>
        <v>27</v>
      </c>
      <c r="C39" s="28">
        <f t="shared" si="5"/>
        <v>323488.69013157644</v>
      </c>
      <c r="E39" t="s">
        <v>22</v>
      </c>
      <c r="F39" s="29" t="e">
        <f>#REF!/(1.04*(1-(1.04^(-14)))/0.04)</f>
        <v>#REF!</v>
      </c>
      <c r="H39">
        <f t="shared" si="6"/>
        <v>27</v>
      </c>
      <c r="I39" s="28">
        <f t="shared" si="7"/>
        <v>323488.69013157644</v>
      </c>
      <c r="J39" s="29">
        <f t="shared" ref="J39:J55" si="13">I39*8%</f>
        <v>25879.095210526117</v>
      </c>
      <c r="K39" s="28">
        <f t="shared" si="1"/>
        <v>76399.326726187865</v>
      </c>
      <c r="M39">
        <f t="shared" si="8"/>
        <v>27</v>
      </c>
      <c r="N39" s="28">
        <f t="shared" si="9"/>
        <v>323488.69013157644</v>
      </c>
      <c r="O39" s="29">
        <f t="shared" si="2"/>
        <v>38818.642815789171</v>
      </c>
      <c r="P39" s="28">
        <f t="shared" si="3"/>
        <v>114598.99008928178</v>
      </c>
    </row>
    <row r="40" spans="2:16" x14ac:dyDescent="0.15">
      <c r="B40">
        <f t="shared" si="4"/>
        <v>28</v>
      </c>
      <c r="C40" s="28">
        <f t="shared" si="5"/>
        <v>333193.35083552374</v>
      </c>
      <c r="E40" t="s">
        <v>23</v>
      </c>
      <c r="F40" s="29" t="e">
        <f>#REF!/(1.04*(1-(1.04^(-14)))/0.04)</f>
        <v>#REF!</v>
      </c>
      <c r="H40">
        <f t="shared" si="6"/>
        <v>28</v>
      </c>
      <c r="I40" s="28">
        <f t="shared" si="7"/>
        <v>333193.35083552374</v>
      </c>
      <c r="J40" s="29">
        <f t="shared" si="13"/>
        <v>26655.468066841899</v>
      </c>
      <c r="K40" s="28">
        <f t="shared" si="1"/>
        <v>73543.2771289472</v>
      </c>
      <c r="M40">
        <f t="shared" si="8"/>
        <v>28</v>
      </c>
      <c r="N40" s="28">
        <f t="shared" si="9"/>
        <v>333193.35083552374</v>
      </c>
      <c r="O40" s="29">
        <f t="shared" si="2"/>
        <v>39983.202100262846</v>
      </c>
      <c r="P40" s="28">
        <f t="shared" si="3"/>
        <v>110314.9156934208</v>
      </c>
    </row>
    <row r="41" spans="2:16" x14ac:dyDescent="0.15">
      <c r="B41">
        <f t="shared" si="4"/>
        <v>29</v>
      </c>
      <c r="C41" s="28">
        <f t="shared" si="5"/>
        <v>343189.15136058949</v>
      </c>
      <c r="E41" s="37">
        <v>150000</v>
      </c>
      <c r="F41" s="36"/>
      <c r="H41">
        <f t="shared" si="6"/>
        <v>29</v>
      </c>
      <c r="I41" s="28">
        <f t="shared" si="7"/>
        <v>343189.15136058949</v>
      </c>
      <c r="J41" s="29">
        <f t="shared" si="13"/>
        <v>27455.13210884716</v>
      </c>
      <c r="K41" s="28">
        <f t="shared" si="1"/>
        <v>70793.995740949176</v>
      </c>
      <c r="M41">
        <f t="shared" si="8"/>
        <v>29</v>
      </c>
      <c r="N41" s="28">
        <f t="shared" si="9"/>
        <v>343189.15136058949</v>
      </c>
      <c r="O41" s="29">
        <f t="shared" si="2"/>
        <v>41182.698163270739</v>
      </c>
      <c r="P41" s="28">
        <f t="shared" si="3"/>
        <v>106190.99361142376</v>
      </c>
    </row>
    <row r="42" spans="2:16" x14ac:dyDescent="0.15">
      <c r="B42">
        <f t="shared" si="4"/>
        <v>30</v>
      </c>
      <c r="C42" s="28">
        <f t="shared" si="5"/>
        <v>353484.82590140717</v>
      </c>
      <c r="E42" s="35" t="s">
        <v>20</v>
      </c>
      <c r="F42" s="35"/>
      <c r="H42">
        <f t="shared" si="6"/>
        <v>30</v>
      </c>
      <c r="I42" s="28">
        <f t="shared" si="7"/>
        <v>353484.82590140717</v>
      </c>
      <c r="J42" s="29">
        <f t="shared" si="13"/>
        <v>28278.786072112573</v>
      </c>
      <c r="K42" s="28">
        <f t="shared" si="1"/>
        <v>68147.491227268838</v>
      </c>
      <c r="M42">
        <f t="shared" si="8"/>
        <v>30</v>
      </c>
      <c r="N42" s="28">
        <f t="shared" si="9"/>
        <v>353484.82590140717</v>
      </c>
      <c r="O42" s="29">
        <f t="shared" si="2"/>
        <v>42418.179108168857</v>
      </c>
      <c r="P42" s="28">
        <f t="shared" si="3"/>
        <v>102221.23684090325</v>
      </c>
    </row>
    <row r="43" spans="2:16" x14ac:dyDescent="0.15">
      <c r="B43">
        <f t="shared" si="4"/>
        <v>31</v>
      </c>
      <c r="C43" s="28">
        <f t="shared" si="5"/>
        <v>364089.3706784494</v>
      </c>
      <c r="E43" t="s">
        <v>21</v>
      </c>
      <c r="F43">
        <v>3176029.2725563343</v>
      </c>
      <c r="H43">
        <f t="shared" si="6"/>
        <v>31</v>
      </c>
      <c r="I43" s="28">
        <f t="shared" si="7"/>
        <v>364089.3706784494</v>
      </c>
      <c r="J43" s="29">
        <f t="shared" si="13"/>
        <v>29127.149654275952</v>
      </c>
      <c r="K43" s="28">
        <f t="shared" si="1"/>
        <v>65599.921461763457</v>
      </c>
      <c r="M43">
        <f t="shared" si="8"/>
        <v>31</v>
      </c>
      <c r="N43" s="28">
        <f t="shared" si="9"/>
        <v>364089.3706784494</v>
      </c>
      <c r="O43" s="29">
        <f t="shared" si="2"/>
        <v>43690.724481413927</v>
      </c>
      <c r="P43" s="28">
        <f t="shared" si="3"/>
        <v>98399.882192645178</v>
      </c>
    </row>
    <row r="44" spans="2:16" x14ac:dyDescent="0.15">
      <c r="B44">
        <f t="shared" si="4"/>
        <v>32</v>
      </c>
      <c r="C44" s="28">
        <f t="shared" si="5"/>
        <v>375012.05179880292</v>
      </c>
      <c r="E44" t="s">
        <v>22</v>
      </c>
      <c r="F44">
        <v>3007848.4715177417</v>
      </c>
      <c r="H44">
        <f t="shared" si="6"/>
        <v>32</v>
      </c>
      <c r="I44" s="28">
        <f t="shared" si="7"/>
        <v>375012.05179880292</v>
      </c>
      <c r="J44" s="29">
        <f t="shared" si="13"/>
        <v>30000.964143904235</v>
      </c>
      <c r="K44" s="28">
        <f t="shared" si="1"/>
        <v>63147.587949174194</v>
      </c>
      <c r="M44">
        <f t="shared" si="8"/>
        <v>32</v>
      </c>
      <c r="N44" s="28">
        <f t="shared" si="9"/>
        <v>375012.05179880292</v>
      </c>
      <c r="O44" s="29">
        <f t="shared" si="2"/>
        <v>45001.446215856347</v>
      </c>
      <c r="P44" s="28">
        <f t="shared" si="3"/>
        <v>94721.381923761277</v>
      </c>
    </row>
    <row r="45" spans="2:16" x14ac:dyDescent="0.15">
      <c r="B45">
        <f t="shared" si="4"/>
        <v>33</v>
      </c>
      <c r="C45" s="28">
        <f t="shared" si="5"/>
        <v>386262.41335276701</v>
      </c>
      <c r="E45" t="s">
        <v>23</v>
      </c>
      <c r="F45">
        <v>6650927.0929700248</v>
      </c>
      <c r="H45">
        <f t="shared" si="6"/>
        <v>33</v>
      </c>
      <c r="I45" s="28">
        <f t="shared" si="7"/>
        <v>386262.41335276701</v>
      </c>
      <c r="J45" s="29">
        <f t="shared" si="13"/>
        <v>30900.99306822136</v>
      </c>
      <c r="K45" s="28">
        <f t="shared" si="1"/>
        <v>60786.930455747104</v>
      </c>
      <c r="M45">
        <f t="shared" si="8"/>
        <v>33</v>
      </c>
      <c r="N45" s="28">
        <f t="shared" si="9"/>
        <v>386262.41335276701</v>
      </c>
      <c r="O45" s="29">
        <f t="shared" si="2"/>
        <v>46351.48960233204</v>
      </c>
      <c r="P45" s="28">
        <f t="shared" si="3"/>
        <v>91180.395683620663</v>
      </c>
    </row>
    <row r="46" spans="2:16" x14ac:dyDescent="0.15">
      <c r="B46">
        <f t="shared" si="4"/>
        <v>34</v>
      </c>
      <c r="C46" s="28">
        <f t="shared" si="5"/>
        <v>397850.28575335001</v>
      </c>
      <c r="H46">
        <f t="shared" si="6"/>
        <v>34</v>
      </c>
      <c r="I46" s="28">
        <f t="shared" si="7"/>
        <v>397850.28575335001</v>
      </c>
      <c r="J46" s="29">
        <f t="shared" si="13"/>
        <v>31828.022860268</v>
      </c>
      <c r="K46" s="28">
        <f t="shared" si="1"/>
        <v>58514.521840578993</v>
      </c>
      <c r="M46">
        <f t="shared" si="8"/>
        <v>34</v>
      </c>
      <c r="N46" s="28">
        <f t="shared" si="9"/>
        <v>397850.28575335001</v>
      </c>
      <c r="O46" s="29">
        <f t="shared" si="2"/>
        <v>47742.034290402</v>
      </c>
      <c r="P46" s="28">
        <f t="shared" si="3"/>
        <v>87771.782760868489</v>
      </c>
    </row>
    <row r="47" spans="2:16" x14ac:dyDescent="0.15">
      <c r="B47">
        <f t="shared" si="4"/>
        <v>35</v>
      </c>
      <c r="C47" s="28">
        <f t="shared" si="5"/>
        <v>409785.7943259505</v>
      </c>
      <c r="E47" s="35" t="s">
        <v>24</v>
      </c>
      <c r="F47" s="35"/>
      <c r="H47">
        <f t="shared" si="6"/>
        <v>35</v>
      </c>
      <c r="I47" s="28">
        <f t="shared" si="7"/>
        <v>409785.7943259505</v>
      </c>
      <c r="J47" s="29">
        <f t="shared" si="13"/>
        <v>32782.863546076042</v>
      </c>
      <c r="K47" s="28">
        <f t="shared" si="1"/>
        <v>56327.063080183514</v>
      </c>
      <c r="M47">
        <f t="shared" si="8"/>
        <v>35</v>
      </c>
      <c r="N47" s="28">
        <f t="shared" si="9"/>
        <v>409785.7943259505</v>
      </c>
      <c r="O47" s="29">
        <f t="shared" si="2"/>
        <v>49174.295319114055</v>
      </c>
      <c r="P47" s="28">
        <f t="shared" si="3"/>
        <v>84490.594620275253</v>
      </c>
    </row>
    <row r="48" spans="2:16" x14ac:dyDescent="0.15">
      <c r="B48">
        <f t="shared" si="4"/>
        <v>36</v>
      </c>
      <c r="C48" s="28">
        <f t="shared" si="5"/>
        <v>422079.36815572903</v>
      </c>
      <c r="E48" t="s">
        <v>25</v>
      </c>
      <c r="F48" s="29" t="e">
        <f>AVERAGE(C83:C85)*0.015*30</f>
        <v>#DIV/0!</v>
      </c>
      <c r="H48">
        <f t="shared" si="6"/>
        <v>36</v>
      </c>
      <c r="I48" s="28">
        <f t="shared" si="7"/>
        <v>422079.36815572903</v>
      </c>
      <c r="J48" s="29">
        <f t="shared" si="13"/>
        <v>33766.349452458322</v>
      </c>
      <c r="K48" s="28">
        <f t="shared" si="1"/>
        <v>54221.378479055158</v>
      </c>
      <c r="M48">
        <f t="shared" si="8"/>
        <v>36</v>
      </c>
      <c r="N48" s="28">
        <f t="shared" si="9"/>
        <v>422079.36815572903</v>
      </c>
      <c r="O48" s="29">
        <f t="shared" si="2"/>
        <v>50649.524178687483</v>
      </c>
      <c r="P48" s="28">
        <f t="shared" si="3"/>
        <v>81332.067718582737</v>
      </c>
    </row>
    <row r="49" spans="2:16" x14ac:dyDescent="0.15">
      <c r="B49">
        <f t="shared" si="4"/>
        <v>37</v>
      </c>
      <c r="C49" s="28">
        <f t="shared" si="5"/>
        <v>434741.7492004009</v>
      </c>
      <c r="E49" t="s">
        <v>22</v>
      </c>
      <c r="F49" s="29" t="e">
        <f>#REF!/(1.04*(1-(1.04^(-14)))/0.04)</f>
        <v>#REF!</v>
      </c>
      <c r="H49">
        <f t="shared" si="6"/>
        <v>37</v>
      </c>
      <c r="I49" s="28">
        <f t="shared" si="7"/>
        <v>434741.7492004009</v>
      </c>
      <c r="J49" s="29">
        <f t="shared" si="13"/>
        <v>34779.339936032069</v>
      </c>
      <c r="K49" s="28">
        <f t="shared" si="1"/>
        <v>52194.411059277387</v>
      </c>
      <c r="M49">
        <f t="shared" si="8"/>
        <v>37</v>
      </c>
      <c r="N49" s="28">
        <f t="shared" si="9"/>
        <v>434741.7492004009</v>
      </c>
      <c r="O49" s="29">
        <f t="shared" si="2"/>
        <v>52169.009904048107</v>
      </c>
      <c r="P49" s="28">
        <f t="shared" si="3"/>
        <v>78291.616588916091</v>
      </c>
    </row>
    <row r="50" spans="2:16" x14ac:dyDescent="0.15">
      <c r="B50">
        <f t="shared" si="4"/>
        <v>38</v>
      </c>
      <c r="C50" s="28">
        <f t="shared" si="5"/>
        <v>447784.00167641294</v>
      </c>
      <c r="E50" t="s">
        <v>23</v>
      </c>
      <c r="F50" s="29" t="e">
        <f>#REF!/(1.04*(1-(1.04^(-14)))/0.04)</f>
        <v>#REF!</v>
      </c>
      <c r="H50">
        <f t="shared" si="6"/>
        <v>38</v>
      </c>
      <c r="I50" s="28">
        <f t="shared" si="7"/>
        <v>447784.00167641294</v>
      </c>
      <c r="J50" s="29">
        <f t="shared" si="13"/>
        <v>35822.720134113035</v>
      </c>
      <c r="K50" s="28">
        <f t="shared" si="1"/>
        <v>50243.21812248198</v>
      </c>
      <c r="M50">
        <f t="shared" si="8"/>
        <v>38</v>
      </c>
      <c r="N50" s="28">
        <f t="shared" si="9"/>
        <v>447784.00167641294</v>
      </c>
      <c r="O50" s="29">
        <f t="shared" si="2"/>
        <v>53734.080201169549</v>
      </c>
      <c r="P50" s="28">
        <f t="shared" si="3"/>
        <v>75364.827183722969</v>
      </c>
    </row>
    <row r="51" spans="2:16" x14ac:dyDescent="0.15">
      <c r="B51">
        <f t="shared" si="4"/>
        <v>39</v>
      </c>
      <c r="C51" s="28">
        <f t="shared" si="5"/>
        <v>461217.52172670537</v>
      </c>
      <c r="H51">
        <f t="shared" si="6"/>
        <v>39</v>
      </c>
      <c r="I51" s="28">
        <f t="shared" si="7"/>
        <v>461217.52172670537</v>
      </c>
      <c r="J51" s="29">
        <f t="shared" si="13"/>
        <v>36897.401738136432</v>
      </c>
      <c r="K51" s="28">
        <f t="shared" si="1"/>
        <v>48364.9669777163</v>
      </c>
      <c r="M51">
        <f t="shared" si="8"/>
        <v>39</v>
      </c>
      <c r="N51" s="28">
        <f t="shared" si="9"/>
        <v>461217.52172670537</v>
      </c>
      <c r="O51" s="29">
        <f t="shared" si="2"/>
        <v>55346.102607204644</v>
      </c>
      <c r="P51" s="28">
        <f t="shared" si="3"/>
        <v>72547.450466574446</v>
      </c>
    </row>
    <row r="52" spans="2:16" x14ac:dyDescent="0.15">
      <c r="B52">
        <f t="shared" si="4"/>
        <v>40</v>
      </c>
      <c r="C52" s="28">
        <f t="shared" si="5"/>
        <v>475054.04737850651</v>
      </c>
      <c r="H52">
        <f t="shared" si="6"/>
        <v>40</v>
      </c>
      <c r="I52" s="28">
        <f t="shared" si="7"/>
        <v>475054.04737850651</v>
      </c>
      <c r="J52" s="29">
        <f t="shared" si="13"/>
        <v>38004.323790280519</v>
      </c>
      <c r="K52" s="28">
        <f t="shared" si="1"/>
        <v>46556.930829016623</v>
      </c>
      <c r="M52">
        <f t="shared" si="8"/>
        <v>40</v>
      </c>
      <c r="N52" s="28">
        <f t="shared" si="9"/>
        <v>475054.04737850651</v>
      </c>
      <c r="O52" s="29">
        <f t="shared" si="2"/>
        <v>57006.485685420783</v>
      </c>
      <c r="P52" s="28">
        <f t="shared" si="3"/>
        <v>69835.396243524941</v>
      </c>
    </row>
    <row r="53" spans="2:16" x14ac:dyDescent="0.15">
      <c r="B53">
        <f t="shared" si="4"/>
        <v>41</v>
      </c>
      <c r="C53" s="28">
        <f t="shared" si="5"/>
        <v>489305.66879986174</v>
      </c>
      <c r="H53">
        <f t="shared" si="6"/>
        <v>41</v>
      </c>
      <c r="I53" s="28">
        <f t="shared" si="7"/>
        <v>489305.66879986174</v>
      </c>
      <c r="J53" s="29">
        <f t="shared" si="13"/>
        <v>39144.453503988938</v>
      </c>
      <c r="K53" s="28">
        <f t="shared" si="1"/>
        <v>44816.484816716933</v>
      </c>
      <c r="M53">
        <f t="shared" si="8"/>
        <v>41</v>
      </c>
      <c r="N53" s="28">
        <f t="shared" si="9"/>
        <v>489305.66879986174</v>
      </c>
      <c r="O53" s="29">
        <f t="shared" si="2"/>
        <v>58716.68025598341</v>
      </c>
      <c r="P53" s="28">
        <f t="shared" si="3"/>
        <v>67224.727225075403</v>
      </c>
    </row>
    <row r="54" spans="2:16" x14ac:dyDescent="0.15">
      <c r="B54">
        <f t="shared" si="4"/>
        <v>42</v>
      </c>
      <c r="C54" s="28">
        <f t="shared" si="5"/>
        <v>503984.83886385761</v>
      </c>
      <c r="H54">
        <f t="shared" si="6"/>
        <v>42</v>
      </c>
      <c r="I54" s="28">
        <f t="shared" si="7"/>
        <v>503984.83886385761</v>
      </c>
      <c r="J54" s="29">
        <f t="shared" si="13"/>
        <v>40318.787109108613</v>
      </c>
      <c r="K54" s="28">
        <f t="shared" si="1"/>
        <v>43141.102206746218</v>
      </c>
      <c r="M54">
        <f t="shared" si="8"/>
        <v>42</v>
      </c>
      <c r="N54" s="28">
        <f t="shared" si="9"/>
        <v>503984.83886385761</v>
      </c>
      <c r="O54" s="29">
        <f t="shared" si="2"/>
        <v>60478.180663662912</v>
      </c>
      <c r="P54" s="28">
        <f t="shared" si="3"/>
        <v>64711.65331011932</v>
      </c>
    </row>
    <row r="55" spans="2:16" x14ac:dyDescent="0.15">
      <c r="B55">
        <f t="shared" si="4"/>
        <v>43</v>
      </c>
      <c r="C55" s="28">
        <f t="shared" si="5"/>
        <v>519104.38402977335</v>
      </c>
      <c r="H55">
        <f t="shared" si="6"/>
        <v>43</v>
      </c>
      <c r="I55" s="28">
        <f t="shared" si="7"/>
        <v>519104.38402977335</v>
      </c>
      <c r="J55" s="29">
        <f t="shared" si="13"/>
        <v>41528.350722381867</v>
      </c>
      <c r="K55" s="28">
        <f t="shared" si="1"/>
        <v>41528.350722381867</v>
      </c>
      <c r="M55">
        <f t="shared" si="8"/>
        <v>43</v>
      </c>
      <c r="N55" s="28">
        <f t="shared" si="9"/>
        <v>519104.38402977335</v>
      </c>
      <c r="O55" s="29">
        <f t="shared" si="2"/>
        <v>62292.526083572797</v>
      </c>
      <c r="P55" s="28">
        <f t="shared" si="3"/>
        <v>62292.526083572797</v>
      </c>
    </row>
    <row r="56" spans="2:16" x14ac:dyDescent="0.15">
      <c r="C56" s="28"/>
      <c r="I56" s="28"/>
      <c r="J56" s="29"/>
      <c r="K56" s="28"/>
    </row>
    <row r="57" spans="2:16" x14ac:dyDescent="0.15">
      <c r="P57" s="29"/>
    </row>
  </sheetData>
  <mergeCells count="4">
    <mergeCell ref="E11:F11"/>
    <mergeCell ref="E31:F31"/>
    <mergeCell ref="E41:F41"/>
    <mergeCell ref="E21:F2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7"/>
  <sheetViews>
    <sheetView topLeftCell="A52" workbookViewId="0">
      <selection activeCell="J62" sqref="J62"/>
    </sheetView>
  </sheetViews>
  <sheetFormatPr baseColWidth="10" defaultColWidth="8.83203125" defaultRowHeight="13" x14ac:dyDescent="0.15"/>
  <cols>
    <col min="2" max="2" width="23.5" customWidth="1"/>
    <col min="3" max="3" width="12.1640625" bestFit="1" customWidth="1"/>
    <col min="6" max="6" width="14.6640625" bestFit="1" customWidth="1"/>
    <col min="9" max="9" width="12.1640625" bestFit="1" customWidth="1"/>
    <col min="10" max="11" width="11.1640625" bestFit="1" customWidth="1"/>
    <col min="14" max="14" width="12.1640625" bestFit="1" customWidth="1"/>
    <col min="15" max="15" width="11.1640625" bestFit="1" customWidth="1"/>
    <col min="16" max="16" width="13.6640625" bestFit="1" customWidth="1"/>
  </cols>
  <sheetData>
    <row r="1" spans="2:16" ht="14" thickBot="1" x14ac:dyDescent="0.2">
      <c r="B1" s="4"/>
    </row>
    <row r="2" spans="2:16" x14ac:dyDescent="0.15">
      <c r="B2" s="23" t="s">
        <v>10</v>
      </c>
      <c r="C2" s="14">
        <v>0.03</v>
      </c>
    </row>
    <row r="3" spans="2:16" x14ac:dyDescent="0.15">
      <c r="B3" s="24" t="s">
        <v>11</v>
      </c>
      <c r="C3" s="15">
        <v>7.0000000000000007E-2</v>
      </c>
    </row>
    <row r="4" spans="2:16" x14ac:dyDescent="0.15">
      <c r="B4" s="24" t="s">
        <v>12</v>
      </c>
      <c r="C4" s="15">
        <v>0.04</v>
      </c>
    </row>
    <row r="5" spans="2:16" ht="14" thickBot="1" x14ac:dyDescent="0.2">
      <c r="B5" s="25" t="s">
        <v>13</v>
      </c>
      <c r="C5" s="18">
        <v>14</v>
      </c>
    </row>
    <row r="6" spans="2:16" ht="14" thickBot="1" x14ac:dyDescent="0.2">
      <c r="B6" s="19"/>
      <c r="C6" s="16"/>
    </row>
    <row r="7" spans="2:16" x14ac:dyDescent="0.15">
      <c r="B7" s="23" t="s">
        <v>14</v>
      </c>
      <c r="C7" s="20">
        <v>22</v>
      </c>
    </row>
    <row r="8" spans="2:16" ht="14" thickBot="1" x14ac:dyDescent="0.2">
      <c r="B8" s="25" t="s">
        <v>15</v>
      </c>
      <c r="C8" s="21">
        <v>65</v>
      </c>
    </row>
    <row r="9" spans="2:16" ht="14" thickBot="1" x14ac:dyDescent="0.2">
      <c r="B9" s="19"/>
      <c r="C9" s="17"/>
    </row>
    <row r="10" spans="2:16" ht="14" thickBot="1" x14ac:dyDescent="0.2">
      <c r="B10" s="26" t="s">
        <v>16</v>
      </c>
      <c r="C10" s="22">
        <v>70000</v>
      </c>
    </row>
    <row r="11" spans="2:16" x14ac:dyDescent="0.15">
      <c r="B11" s="4"/>
      <c r="E11" s="38" t="s">
        <v>32</v>
      </c>
      <c r="F11" s="38"/>
    </row>
    <row r="12" spans="2:16" x14ac:dyDescent="0.15">
      <c r="B12" s="27" t="s">
        <v>18</v>
      </c>
      <c r="C12" s="1" t="s">
        <v>19</v>
      </c>
      <c r="E12" s="1" t="s">
        <v>20</v>
      </c>
      <c r="H12" s="27" t="s">
        <v>18</v>
      </c>
      <c r="I12" s="1" t="s">
        <v>19</v>
      </c>
      <c r="M12" s="1" t="s">
        <v>18</v>
      </c>
      <c r="N12" s="1" t="s">
        <v>19</v>
      </c>
    </row>
    <row r="13" spans="2:16" x14ac:dyDescent="0.15">
      <c r="B13">
        <f>1</f>
        <v>1</v>
      </c>
      <c r="C13" s="28">
        <f>C$10</f>
        <v>70000</v>
      </c>
      <c r="E13" t="s">
        <v>21</v>
      </c>
      <c r="F13" s="29">
        <f>(AVERAGE(C54:C56)*0.015*30)*14</f>
        <v>1503941.1576536363</v>
      </c>
      <c r="H13">
        <v>1</v>
      </c>
      <c r="I13" s="28">
        <v>70000</v>
      </c>
      <c r="J13" s="29">
        <f>I13*3%</f>
        <v>2100</v>
      </c>
      <c r="K13" s="28">
        <f>J13*(1+$C$3)^(43-H13)</f>
        <v>36002.939238226885</v>
      </c>
      <c r="M13">
        <v>1</v>
      </c>
      <c r="N13" s="28">
        <v>70000</v>
      </c>
      <c r="O13" s="29">
        <f>N13*12%</f>
        <v>8400</v>
      </c>
      <c r="P13" s="28">
        <f>O13*(1+$C$3)^(43-M13)</f>
        <v>144011.75695290754</v>
      </c>
    </row>
    <row r="14" spans="2:16" x14ac:dyDescent="0.15">
      <c r="B14">
        <f>B13+1</f>
        <v>2</v>
      </c>
      <c r="C14" s="28">
        <f>C13*(1+$C$2)</f>
        <v>72100</v>
      </c>
      <c r="E14" t="s">
        <v>22</v>
      </c>
      <c r="F14" s="29">
        <f>SUM(K13:K55)</f>
        <v>1403662.6200416121</v>
      </c>
      <c r="H14">
        <f>H13+1</f>
        <v>2</v>
      </c>
      <c r="I14" s="28">
        <v>72100</v>
      </c>
      <c r="J14" s="29">
        <f t="shared" ref="J14:J17" si="0">I14*3%</f>
        <v>2163</v>
      </c>
      <c r="K14" s="28">
        <f t="shared" ref="K14:K55" si="1">J14*(1+$C$3)^(43-H14)</f>
        <v>34657.034967638967</v>
      </c>
      <c r="M14">
        <f>M13+1</f>
        <v>2</v>
      </c>
      <c r="N14" s="28">
        <v>72100</v>
      </c>
      <c r="O14" s="29">
        <f t="shared" ref="O14:O55" si="2">N14*12%</f>
        <v>8652</v>
      </c>
      <c r="P14" s="28">
        <f t="shared" ref="P14:P55" si="3">O14*(1+$C$3)^(43-M14)</f>
        <v>138628.13987055587</v>
      </c>
    </row>
    <row r="15" spans="2:16" x14ac:dyDescent="0.15">
      <c r="B15">
        <f t="shared" ref="B15:B55" si="4">B14+1</f>
        <v>3</v>
      </c>
      <c r="C15" s="28">
        <f t="shared" ref="C15:C55" si="5">C14*(1+$C$2)</f>
        <v>74263</v>
      </c>
      <c r="E15" t="s">
        <v>23</v>
      </c>
      <c r="F15" s="29">
        <f>SUM(P13:P55)</f>
        <v>3103765.9767193445</v>
      </c>
      <c r="H15">
        <f t="shared" ref="H15:H55" si="6">H14+1</f>
        <v>3</v>
      </c>
      <c r="I15" s="28">
        <v>74263</v>
      </c>
      <c r="J15" s="29">
        <f t="shared" si="0"/>
        <v>2227.89</v>
      </c>
      <c r="K15" s="28">
        <f t="shared" si="1"/>
        <v>33361.444875390778</v>
      </c>
      <c r="M15">
        <f t="shared" ref="M15:M55" si="7">M14+1</f>
        <v>3</v>
      </c>
      <c r="N15" s="28">
        <v>74263</v>
      </c>
      <c r="O15" s="29">
        <f t="shared" si="2"/>
        <v>8911.56</v>
      </c>
      <c r="P15" s="28">
        <f t="shared" si="3"/>
        <v>133445.77950156311</v>
      </c>
    </row>
    <row r="16" spans="2:16" x14ac:dyDescent="0.15">
      <c r="B16">
        <f t="shared" si="4"/>
        <v>4</v>
      </c>
      <c r="C16" s="28">
        <f t="shared" si="5"/>
        <v>76490.89</v>
      </c>
      <c r="H16">
        <f t="shared" si="6"/>
        <v>4</v>
      </c>
      <c r="I16" s="28">
        <v>76490.89</v>
      </c>
      <c r="J16" s="29">
        <f t="shared" si="0"/>
        <v>2294.7266999999997</v>
      </c>
      <c r="K16" s="28">
        <f t="shared" si="1"/>
        <v>32114.28805761916</v>
      </c>
      <c r="M16">
        <f t="shared" si="7"/>
        <v>4</v>
      </c>
      <c r="N16" s="28">
        <v>76490.89</v>
      </c>
      <c r="O16" s="29">
        <f t="shared" si="2"/>
        <v>9178.9067999999988</v>
      </c>
      <c r="P16" s="28">
        <f t="shared" si="3"/>
        <v>128457.15223047664</v>
      </c>
    </row>
    <row r="17" spans="2:16" x14ac:dyDescent="0.15">
      <c r="B17">
        <f t="shared" si="4"/>
        <v>5</v>
      </c>
      <c r="C17" s="28">
        <f t="shared" si="5"/>
        <v>78785.616699999999</v>
      </c>
      <c r="E17" s="1" t="s">
        <v>24</v>
      </c>
      <c r="H17">
        <f t="shared" si="6"/>
        <v>5</v>
      </c>
      <c r="I17" s="28">
        <v>78785.616699999999</v>
      </c>
      <c r="J17" s="29">
        <f t="shared" si="0"/>
        <v>2363.5685009999997</v>
      </c>
      <c r="K17" s="28">
        <f t="shared" si="1"/>
        <v>30913.753924624049</v>
      </c>
      <c r="M17">
        <f t="shared" si="7"/>
        <v>5</v>
      </c>
      <c r="N17" s="28">
        <v>78785.616699999999</v>
      </c>
      <c r="O17" s="29">
        <f t="shared" si="2"/>
        <v>9454.274003999999</v>
      </c>
      <c r="P17" s="28">
        <f t="shared" si="3"/>
        <v>123655.01569849619</v>
      </c>
    </row>
    <row r="18" spans="2:16" x14ac:dyDescent="0.15">
      <c r="B18">
        <f t="shared" si="4"/>
        <v>6</v>
      </c>
      <c r="C18" s="28">
        <f t="shared" si="5"/>
        <v>81149.185201</v>
      </c>
      <c r="E18" t="s">
        <v>25</v>
      </c>
      <c r="F18" s="29">
        <f>AVERAGE(C53:C55)*0.015*30</f>
        <v>105867.64241854439</v>
      </c>
      <c r="H18">
        <f t="shared" si="6"/>
        <v>6</v>
      </c>
      <c r="I18" s="28">
        <v>81149.185201</v>
      </c>
      <c r="J18" s="29">
        <f>I18*4%</f>
        <v>3245.96740804</v>
      </c>
      <c r="K18" s="28">
        <f t="shared" si="1"/>
        <v>39677.466096402211</v>
      </c>
      <c r="M18">
        <f t="shared" si="7"/>
        <v>6</v>
      </c>
      <c r="N18" s="28">
        <v>81149.185201</v>
      </c>
      <c r="O18" s="29">
        <f t="shared" si="2"/>
        <v>9737.90222412</v>
      </c>
      <c r="P18" s="28">
        <f t="shared" si="3"/>
        <v>119032.39828920664</v>
      </c>
    </row>
    <row r="19" spans="2:16" x14ac:dyDescent="0.15">
      <c r="B19">
        <f t="shared" si="4"/>
        <v>7</v>
      </c>
      <c r="C19" s="28">
        <f t="shared" si="5"/>
        <v>83583.660757029997</v>
      </c>
      <c r="E19" t="s">
        <v>22</v>
      </c>
      <c r="F19" s="29">
        <f>F14/(1.04*(1-(1.04^(-14)))/0.04)</f>
        <v>127772.40265095657</v>
      </c>
      <c r="H19">
        <f t="shared" si="6"/>
        <v>7</v>
      </c>
      <c r="I19" s="28">
        <v>83583.660757029997</v>
      </c>
      <c r="J19" s="29">
        <f t="shared" ref="J19:J22" si="8">I19*4%</f>
        <v>3343.3464302811999</v>
      </c>
      <c r="K19" s="28">
        <f t="shared" si="1"/>
        <v>38194.196335789042</v>
      </c>
      <c r="M19">
        <f t="shared" si="7"/>
        <v>7</v>
      </c>
      <c r="N19" s="28">
        <v>83583.660757029997</v>
      </c>
      <c r="O19" s="29">
        <f t="shared" si="2"/>
        <v>10030.039290843599</v>
      </c>
      <c r="P19" s="28">
        <f t="shared" si="3"/>
        <v>114582.58900736712</v>
      </c>
    </row>
    <row r="20" spans="2:16" x14ac:dyDescent="0.15">
      <c r="B20">
        <f t="shared" si="4"/>
        <v>8</v>
      </c>
      <c r="C20" s="28">
        <f t="shared" si="5"/>
        <v>86091.170579740894</v>
      </c>
      <c r="E20" t="s">
        <v>23</v>
      </c>
      <c r="F20" s="29">
        <f>F15/(1.04*(1-(1.04^(-14)))/0.04)</f>
        <v>282529.17079174408</v>
      </c>
      <c r="H20">
        <f t="shared" si="6"/>
        <v>8</v>
      </c>
      <c r="I20" s="28">
        <v>86091.170579740894</v>
      </c>
      <c r="J20" s="29">
        <f t="shared" si="8"/>
        <v>3443.6468231896361</v>
      </c>
      <c r="K20" s="28">
        <f t="shared" si="1"/>
        <v>36766.375912021227</v>
      </c>
      <c r="M20">
        <f t="shared" si="7"/>
        <v>8</v>
      </c>
      <c r="N20" s="28">
        <v>86091.170579740894</v>
      </c>
      <c r="O20" s="29">
        <f t="shared" si="2"/>
        <v>10330.940469568906</v>
      </c>
      <c r="P20" s="28">
        <f t="shared" si="3"/>
        <v>110299.12773606367</v>
      </c>
    </row>
    <row r="21" spans="2:16" x14ac:dyDescent="0.15">
      <c r="B21">
        <f t="shared" si="4"/>
        <v>9</v>
      </c>
      <c r="C21" s="28">
        <f t="shared" si="5"/>
        <v>88673.90569713313</v>
      </c>
      <c r="E21" s="38" t="s">
        <v>33</v>
      </c>
      <c r="F21" s="38"/>
      <c r="H21">
        <f t="shared" si="6"/>
        <v>9</v>
      </c>
      <c r="I21" s="28">
        <v>88673.90569713313</v>
      </c>
      <c r="J21" s="29">
        <f t="shared" si="8"/>
        <v>3546.9562278853255</v>
      </c>
      <c r="K21" s="28">
        <f t="shared" si="1"/>
        <v>35391.931952693332</v>
      </c>
      <c r="M21">
        <f t="shared" si="7"/>
        <v>9</v>
      </c>
      <c r="N21" s="28">
        <v>88673.90569713313</v>
      </c>
      <c r="O21" s="29">
        <f t="shared" si="2"/>
        <v>10640.868683655975</v>
      </c>
      <c r="P21" s="28">
        <f t="shared" si="3"/>
        <v>106175.79585807999</v>
      </c>
    </row>
    <row r="22" spans="2:16" x14ac:dyDescent="0.15">
      <c r="B22">
        <f t="shared" si="4"/>
        <v>10</v>
      </c>
      <c r="C22" s="28">
        <f t="shared" si="5"/>
        <v>91334.122868047125</v>
      </c>
      <c r="E22" s="1" t="s">
        <v>20</v>
      </c>
      <c r="H22">
        <f t="shared" si="6"/>
        <v>10</v>
      </c>
      <c r="I22" s="28">
        <v>91334.122868047125</v>
      </c>
      <c r="J22" s="29">
        <f t="shared" si="8"/>
        <v>3653.3649147218853</v>
      </c>
      <c r="K22" s="28">
        <f t="shared" si="1"/>
        <v>34068.86907595714</v>
      </c>
      <c r="M22">
        <f t="shared" si="7"/>
        <v>10</v>
      </c>
      <c r="N22" s="28">
        <v>91334.122868047125</v>
      </c>
      <c r="O22" s="29">
        <f t="shared" si="2"/>
        <v>10960.094744165655</v>
      </c>
      <c r="P22" s="28">
        <f t="shared" si="3"/>
        <v>102206.60722787141</v>
      </c>
    </row>
    <row r="23" spans="2:16" x14ac:dyDescent="0.15">
      <c r="B23">
        <f t="shared" si="4"/>
        <v>11</v>
      </c>
      <c r="C23" s="28">
        <f t="shared" si="5"/>
        <v>94074.14655408854</v>
      </c>
      <c r="E23" t="s">
        <v>21</v>
      </c>
      <c r="F23" s="29">
        <f>(AVERAGE(C53:C55)*0.015*30)*14</f>
        <v>1482146.9938596215</v>
      </c>
      <c r="H23">
        <f t="shared" si="6"/>
        <v>11</v>
      </c>
      <c r="I23" s="28">
        <v>94074.14655408854</v>
      </c>
      <c r="J23" s="29">
        <f>I23*5%</f>
        <v>4703.7073277044274</v>
      </c>
      <c r="K23" s="28">
        <f t="shared" si="1"/>
        <v>40994.083117097958</v>
      </c>
      <c r="M23">
        <f t="shared" si="7"/>
        <v>11</v>
      </c>
      <c r="N23" s="28">
        <v>94074.14655408854</v>
      </c>
      <c r="O23" s="29">
        <f t="shared" si="2"/>
        <v>11288.897586490624</v>
      </c>
      <c r="P23" s="28">
        <f t="shared" si="3"/>
        <v>98385.799481035079</v>
      </c>
    </row>
    <row r="24" spans="2:16" x14ac:dyDescent="0.15">
      <c r="B24">
        <f t="shared" si="4"/>
        <v>12</v>
      </c>
      <c r="C24" s="28">
        <f t="shared" si="5"/>
        <v>96896.370950711193</v>
      </c>
      <c r="E24" t="s">
        <v>22</v>
      </c>
      <c r="F24" s="29">
        <f>SUM(K13:K55)</f>
        <v>1403662.6200416121</v>
      </c>
      <c r="H24">
        <f t="shared" si="6"/>
        <v>12</v>
      </c>
      <c r="I24" s="28">
        <v>96896.370950711193</v>
      </c>
      <c r="J24" s="29">
        <f t="shared" ref="J24:J27" si="9">I24*5%</f>
        <v>4844.8185475355594</v>
      </c>
      <c r="K24" s="28">
        <f t="shared" si="1"/>
        <v>39461.594028608313</v>
      </c>
      <c r="M24">
        <f t="shared" si="7"/>
        <v>12</v>
      </c>
      <c r="N24" s="28">
        <v>96896.370950711193</v>
      </c>
      <c r="O24" s="29">
        <f t="shared" si="2"/>
        <v>11627.564514085343</v>
      </c>
      <c r="P24" s="28">
        <f t="shared" si="3"/>
        <v>94707.825668659949</v>
      </c>
    </row>
    <row r="25" spans="2:16" x14ac:dyDescent="0.15">
      <c r="B25">
        <f t="shared" si="4"/>
        <v>13</v>
      </c>
      <c r="C25" s="28">
        <f t="shared" si="5"/>
        <v>99803.262079232532</v>
      </c>
      <c r="E25" t="s">
        <v>23</v>
      </c>
      <c r="F25" s="29">
        <f>SUM(P13:P55)</f>
        <v>3103765.9767193445</v>
      </c>
      <c r="H25">
        <f t="shared" si="6"/>
        <v>13</v>
      </c>
      <c r="I25" s="28">
        <v>99803.262079232532</v>
      </c>
      <c r="J25" s="29">
        <f t="shared" si="9"/>
        <v>4990.1631039616268</v>
      </c>
      <c r="K25" s="28">
        <f t="shared" si="1"/>
        <v>37986.394251837904</v>
      </c>
      <c r="M25">
        <f t="shared" si="7"/>
        <v>13</v>
      </c>
      <c r="N25" s="28">
        <v>99803.262079232532</v>
      </c>
      <c r="O25" s="29">
        <f t="shared" si="2"/>
        <v>11976.391449507904</v>
      </c>
      <c r="P25" s="28">
        <f t="shared" si="3"/>
        <v>91167.346204410976</v>
      </c>
    </row>
    <row r="26" spans="2:16" x14ac:dyDescent="0.15">
      <c r="B26">
        <f t="shared" si="4"/>
        <v>14</v>
      </c>
      <c r="C26" s="28">
        <f t="shared" si="5"/>
        <v>102797.35994160951</v>
      </c>
      <c r="H26">
        <f t="shared" si="6"/>
        <v>14</v>
      </c>
      <c r="I26" s="28">
        <v>102797.35994160951</v>
      </c>
      <c r="J26" s="29">
        <f t="shared" si="9"/>
        <v>5139.867997080476</v>
      </c>
      <c r="K26" s="28">
        <f t="shared" si="1"/>
        <v>36566.342130273872</v>
      </c>
      <c r="M26">
        <f t="shared" si="7"/>
        <v>14</v>
      </c>
      <c r="N26" s="28">
        <v>102797.35994160951</v>
      </c>
      <c r="O26" s="29">
        <f t="shared" si="2"/>
        <v>12335.683192993141</v>
      </c>
      <c r="P26" s="28">
        <f t="shared" si="3"/>
        <v>87759.221112657295</v>
      </c>
    </row>
    <row r="27" spans="2:16" x14ac:dyDescent="0.15">
      <c r="B27">
        <f t="shared" si="4"/>
        <v>15</v>
      </c>
      <c r="C27" s="28">
        <f t="shared" si="5"/>
        <v>105881.2807398578</v>
      </c>
      <c r="E27" s="1" t="s">
        <v>24</v>
      </c>
      <c r="H27">
        <f t="shared" si="6"/>
        <v>15</v>
      </c>
      <c r="I27" s="28">
        <v>105881.2807398578</v>
      </c>
      <c r="J27" s="29">
        <f t="shared" si="9"/>
        <v>5294.0640369928906</v>
      </c>
      <c r="K27" s="28">
        <f t="shared" si="1"/>
        <v>35199.376069329061</v>
      </c>
      <c r="M27">
        <f t="shared" si="7"/>
        <v>15</v>
      </c>
      <c r="N27" s="28">
        <v>105881.2807398578</v>
      </c>
      <c r="O27" s="29">
        <f t="shared" si="2"/>
        <v>12705.753688782936</v>
      </c>
      <c r="P27" s="28">
        <f t="shared" si="3"/>
        <v>84478.502566389725</v>
      </c>
    </row>
    <row r="28" spans="2:16" x14ac:dyDescent="0.15">
      <c r="B28">
        <f t="shared" si="4"/>
        <v>16</v>
      </c>
      <c r="C28" s="28">
        <f t="shared" si="5"/>
        <v>109057.71916205353</v>
      </c>
      <c r="E28" t="s">
        <v>25</v>
      </c>
      <c r="F28" s="29">
        <f>AVERAGE(C53:C55)*0.015*30</f>
        <v>105867.64241854439</v>
      </c>
      <c r="H28">
        <f t="shared" si="6"/>
        <v>16</v>
      </c>
      <c r="I28" s="28">
        <v>109057.71916205353</v>
      </c>
      <c r="J28" s="29">
        <f>'SensitivityAnalysis-Mortality'!I28*6%</f>
        <v>6543.4631497232112</v>
      </c>
      <c r="K28" s="28">
        <f t="shared" si="1"/>
        <v>40660.213852047396</v>
      </c>
      <c r="M28">
        <f t="shared" si="7"/>
        <v>16</v>
      </c>
      <c r="N28" s="28">
        <v>109057.71916205353</v>
      </c>
      <c r="O28" s="29">
        <f t="shared" si="2"/>
        <v>13086.926299446422</v>
      </c>
      <c r="P28" s="28">
        <f t="shared" si="3"/>
        <v>81320.427704094793</v>
      </c>
    </row>
    <row r="29" spans="2:16" x14ac:dyDescent="0.15">
      <c r="B29">
        <f t="shared" si="4"/>
        <v>17</v>
      </c>
      <c r="C29" s="28">
        <f t="shared" si="5"/>
        <v>112329.45073691514</v>
      </c>
      <c r="E29" t="s">
        <v>22</v>
      </c>
      <c r="F29" s="29">
        <f>F24/(1.04*(1-(1.04^(-16)))/0.04)</f>
        <v>115829.15861524647</v>
      </c>
      <c r="H29">
        <f t="shared" si="6"/>
        <v>17</v>
      </c>
      <c r="I29" s="28">
        <v>112329.45073691514</v>
      </c>
      <c r="J29" s="29">
        <f>'SensitivityAnalysis-Mortality'!I29*6%</f>
        <v>6739.7670442149083</v>
      </c>
      <c r="K29" s="28">
        <f t="shared" si="1"/>
        <v>39140.20585757833</v>
      </c>
      <c r="M29">
        <f t="shared" si="7"/>
        <v>17</v>
      </c>
      <c r="N29" s="28">
        <v>112329.45073691514</v>
      </c>
      <c r="O29" s="29">
        <f t="shared" si="2"/>
        <v>13479.534088429817</v>
      </c>
      <c r="P29" s="28">
        <f t="shared" si="3"/>
        <v>78280.411715156661</v>
      </c>
    </row>
    <row r="30" spans="2:16" x14ac:dyDescent="0.15">
      <c r="B30">
        <f t="shared" si="4"/>
        <v>18</v>
      </c>
      <c r="C30" s="28">
        <f t="shared" si="5"/>
        <v>115699.33425902259</v>
      </c>
      <c r="E30" t="s">
        <v>23</v>
      </c>
      <c r="F30" s="29">
        <f>F25/(1.04*(1-(1.04^(-16)))/0.04)</f>
        <v>256120.378564596</v>
      </c>
      <c r="H30">
        <f t="shared" si="6"/>
        <v>18</v>
      </c>
      <c r="I30" s="28">
        <v>115699.33425902259</v>
      </c>
      <c r="J30" s="29">
        <f>'SensitivityAnalysis-Mortality'!I30*6%</f>
        <v>6941.9600555413554</v>
      </c>
      <c r="K30" s="28">
        <f t="shared" si="1"/>
        <v>37677.020591874469</v>
      </c>
      <c r="M30">
        <f t="shared" si="7"/>
        <v>18</v>
      </c>
      <c r="N30" s="28">
        <v>115699.33425902259</v>
      </c>
      <c r="O30" s="29">
        <f t="shared" si="2"/>
        <v>13883.920111082711</v>
      </c>
      <c r="P30" s="28">
        <f t="shared" si="3"/>
        <v>75354.041183748937</v>
      </c>
    </row>
    <row r="31" spans="2:16" x14ac:dyDescent="0.15">
      <c r="B31">
        <f t="shared" si="4"/>
        <v>19</v>
      </c>
      <c r="C31" s="28">
        <f t="shared" si="5"/>
        <v>119170.31428679328</v>
      </c>
      <c r="H31">
        <f t="shared" si="6"/>
        <v>19</v>
      </c>
      <c r="I31" s="28">
        <v>119170.31428679328</v>
      </c>
      <c r="J31" s="29">
        <f>'SensitivityAnalysis-Mortality'!I31*6%</f>
        <v>7150.2188572075966</v>
      </c>
      <c r="K31" s="28">
        <f t="shared" si="1"/>
        <v>36268.533840776363</v>
      </c>
      <c r="M31">
        <f t="shared" si="7"/>
        <v>19</v>
      </c>
      <c r="N31" s="28">
        <v>119170.31428679328</v>
      </c>
      <c r="O31" s="29">
        <f t="shared" si="2"/>
        <v>14300.437714415193</v>
      </c>
      <c r="P31" s="28">
        <f t="shared" si="3"/>
        <v>72537.067681552726</v>
      </c>
    </row>
    <row r="32" spans="2:16" x14ac:dyDescent="0.15">
      <c r="B32">
        <f t="shared" si="4"/>
        <v>20</v>
      </c>
      <c r="C32" s="28">
        <f t="shared" si="5"/>
        <v>122745.42371539708</v>
      </c>
      <c r="H32">
        <f t="shared" si="6"/>
        <v>20</v>
      </c>
      <c r="I32" s="28">
        <v>122745.42371539708</v>
      </c>
      <c r="J32" s="29">
        <f>'SensitivityAnalysis-Mortality'!I32*6%</f>
        <v>7364.7254229238242</v>
      </c>
      <c r="K32" s="28">
        <f t="shared" si="1"/>
        <v>34912.700799999671</v>
      </c>
      <c r="M32">
        <f t="shared" si="7"/>
        <v>20</v>
      </c>
      <c r="N32" s="28">
        <v>122745.42371539708</v>
      </c>
      <c r="O32" s="29">
        <f t="shared" si="2"/>
        <v>14729.450845847648</v>
      </c>
      <c r="P32" s="28">
        <f t="shared" si="3"/>
        <v>69825.401599999343</v>
      </c>
    </row>
    <row r="33" spans="2:16" x14ac:dyDescent="0.15">
      <c r="B33">
        <f t="shared" si="4"/>
        <v>21</v>
      </c>
      <c r="C33" s="28">
        <f t="shared" si="5"/>
        <v>126427.78642685899</v>
      </c>
      <c r="H33">
        <f t="shared" si="6"/>
        <v>21</v>
      </c>
      <c r="I33" s="28">
        <v>126427.78642685899</v>
      </c>
      <c r="J33" s="29">
        <f>I33*7%</f>
        <v>8849.9450498801307</v>
      </c>
      <c r="K33" s="28">
        <f t="shared" si="1"/>
        <v>39208.811957632039</v>
      </c>
      <c r="M33">
        <f t="shared" si="7"/>
        <v>21</v>
      </c>
      <c r="N33" s="28">
        <v>126427.78642685899</v>
      </c>
      <c r="O33" s="29">
        <f t="shared" si="2"/>
        <v>15171.334371223078</v>
      </c>
      <c r="P33" s="28">
        <f t="shared" si="3"/>
        <v>67215.106213083476</v>
      </c>
    </row>
    <row r="34" spans="2:16" x14ac:dyDescent="0.15">
      <c r="B34">
        <f t="shared" si="4"/>
        <v>22</v>
      </c>
      <c r="C34" s="28">
        <f t="shared" si="5"/>
        <v>130220.62001966477</v>
      </c>
      <c r="H34">
        <f t="shared" si="6"/>
        <v>22</v>
      </c>
      <c r="I34" s="28">
        <v>130220.62001966477</v>
      </c>
      <c r="J34" s="29">
        <f t="shared" ref="J34:J37" si="10">I34*7%</f>
        <v>9115.4434013765349</v>
      </c>
      <c r="K34" s="28">
        <f t="shared" si="1"/>
        <v>37743.061977907477</v>
      </c>
      <c r="M34">
        <f t="shared" si="7"/>
        <v>22</v>
      </c>
      <c r="N34" s="28">
        <v>130220.62001966477</v>
      </c>
      <c r="O34" s="29">
        <f t="shared" si="2"/>
        <v>15626.474402359772</v>
      </c>
      <c r="P34" s="28">
        <f t="shared" si="3"/>
        <v>64702.391962127098</v>
      </c>
    </row>
    <row r="35" spans="2:16" x14ac:dyDescent="0.15">
      <c r="B35">
        <f t="shared" si="4"/>
        <v>23</v>
      </c>
      <c r="C35" s="28">
        <f t="shared" si="5"/>
        <v>134127.23862025471</v>
      </c>
      <c r="H35">
        <f t="shared" si="6"/>
        <v>23</v>
      </c>
      <c r="I35" s="28">
        <v>134127.23862025471</v>
      </c>
      <c r="J35" s="29">
        <f t="shared" si="10"/>
        <v>9388.9067034178297</v>
      </c>
      <c r="K35" s="28">
        <f t="shared" si="1"/>
        <v>36332.106389948312</v>
      </c>
      <c r="M35">
        <f t="shared" si="7"/>
        <v>23</v>
      </c>
      <c r="N35" s="28">
        <v>134127.23862025471</v>
      </c>
      <c r="O35" s="29">
        <f t="shared" si="2"/>
        <v>16095.268634430564</v>
      </c>
      <c r="P35" s="28">
        <f t="shared" si="3"/>
        <v>62283.610954197102</v>
      </c>
    </row>
    <row r="36" spans="2:16" x14ac:dyDescent="0.15">
      <c r="B36">
        <f t="shared" si="4"/>
        <v>24</v>
      </c>
      <c r="C36" s="28">
        <f t="shared" si="5"/>
        <v>138151.05577886236</v>
      </c>
      <c r="H36">
        <f t="shared" si="6"/>
        <v>24</v>
      </c>
      <c r="I36" s="28">
        <v>138151.05577886236</v>
      </c>
      <c r="J36" s="29">
        <f t="shared" si="10"/>
        <v>9670.5739045203663</v>
      </c>
      <c r="K36" s="28">
        <f t="shared" si="1"/>
        <v>34973.896805277356</v>
      </c>
      <c r="M36">
        <f t="shared" si="7"/>
        <v>24</v>
      </c>
      <c r="N36" s="28">
        <v>138151.05577886236</v>
      </c>
      <c r="O36" s="29">
        <f t="shared" si="2"/>
        <v>16578.12669346348</v>
      </c>
      <c r="P36" s="28">
        <f t="shared" si="3"/>
        <v>59955.251666189739</v>
      </c>
    </row>
    <row r="37" spans="2:16" x14ac:dyDescent="0.15">
      <c r="B37">
        <f t="shared" si="4"/>
        <v>25</v>
      </c>
      <c r="C37" s="28">
        <f t="shared" si="5"/>
        <v>142295.58745222824</v>
      </c>
      <c r="H37">
        <f t="shared" si="6"/>
        <v>25</v>
      </c>
      <c r="I37" s="28">
        <v>142295.58745222824</v>
      </c>
      <c r="J37" s="29">
        <f t="shared" si="10"/>
        <v>9960.6911216559783</v>
      </c>
      <c r="K37" s="28">
        <f t="shared" si="1"/>
        <v>33666.461410687552</v>
      </c>
      <c r="M37">
        <f t="shared" si="7"/>
        <v>25</v>
      </c>
      <c r="N37" s="28">
        <v>142295.58745222824</v>
      </c>
      <c r="O37" s="29">
        <f t="shared" si="2"/>
        <v>17075.470494267389</v>
      </c>
      <c r="P37" s="28">
        <f t="shared" si="3"/>
        <v>57713.933846892935</v>
      </c>
    </row>
    <row r="38" spans="2:16" x14ac:dyDescent="0.15">
      <c r="B38">
        <f t="shared" si="4"/>
        <v>26</v>
      </c>
      <c r="C38" s="28">
        <f t="shared" si="5"/>
        <v>146564.45507579509</v>
      </c>
      <c r="H38">
        <f t="shared" si="6"/>
        <v>26</v>
      </c>
      <c r="I38" s="28">
        <v>146564.45507579509</v>
      </c>
      <c r="J38" s="29">
        <f>I38*8%</f>
        <v>11725.156406063608</v>
      </c>
      <c r="K38" s="28">
        <f t="shared" si="1"/>
        <v>37037.602406417274</v>
      </c>
      <c r="M38">
        <f t="shared" si="7"/>
        <v>26</v>
      </c>
      <c r="N38" s="28">
        <v>146564.45507579509</v>
      </c>
      <c r="O38" s="29">
        <f t="shared" si="2"/>
        <v>17587.734609095409</v>
      </c>
      <c r="P38" s="28">
        <f t="shared" si="3"/>
        <v>55556.403609625901</v>
      </c>
    </row>
    <row r="39" spans="2:16" x14ac:dyDescent="0.15">
      <c r="B39">
        <f t="shared" si="4"/>
        <v>27</v>
      </c>
      <c r="C39" s="28">
        <f t="shared" si="5"/>
        <v>150961.38872806894</v>
      </c>
      <c r="H39">
        <f t="shared" si="6"/>
        <v>27</v>
      </c>
      <c r="I39" s="28">
        <v>150961.38872806894</v>
      </c>
      <c r="J39" s="29">
        <f t="shared" ref="J39:J55" si="11">I39*8%</f>
        <v>12076.911098245515</v>
      </c>
      <c r="K39" s="28">
        <f t="shared" si="1"/>
        <v>35653.019138887656</v>
      </c>
      <c r="M39">
        <f t="shared" si="7"/>
        <v>27</v>
      </c>
      <c r="N39" s="28">
        <v>150961.38872806894</v>
      </c>
      <c r="O39" s="29">
        <f t="shared" si="2"/>
        <v>18115.366647368272</v>
      </c>
      <c r="P39" s="28">
        <f t="shared" si="3"/>
        <v>53479.528708331476</v>
      </c>
    </row>
    <row r="40" spans="2:16" x14ac:dyDescent="0.15">
      <c r="B40">
        <f t="shared" si="4"/>
        <v>28</v>
      </c>
      <c r="C40" s="28">
        <f t="shared" si="5"/>
        <v>155490.23038991101</v>
      </c>
      <c r="H40">
        <f t="shared" si="6"/>
        <v>28</v>
      </c>
      <c r="I40" s="28">
        <v>155490.23038991101</v>
      </c>
      <c r="J40" s="29">
        <f t="shared" si="11"/>
        <v>12439.218431192881</v>
      </c>
      <c r="K40" s="28">
        <f t="shared" si="1"/>
        <v>34320.195993508685</v>
      </c>
      <c r="M40">
        <f t="shared" si="7"/>
        <v>28</v>
      </c>
      <c r="N40" s="28">
        <v>155490.23038991101</v>
      </c>
      <c r="O40" s="29">
        <f t="shared" si="2"/>
        <v>18658.827646789319</v>
      </c>
      <c r="P40" s="28">
        <f t="shared" si="3"/>
        <v>51480.293990263017</v>
      </c>
    </row>
    <row r="41" spans="2:16" x14ac:dyDescent="0.15">
      <c r="B41">
        <f t="shared" si="4"/>
        <v>29</v>
      </c>
      <c r="C41" s="28">
        <f t="shared" si="5"/>
        <v>160154.93730160836</v>
      </c>
      <c r="H41">
        <f t="shared" si="6"/>
        <v>29</v>
      </c>
      <c r="I41" s="28">
        <v>160154.93730160836</v>
      </c>
      <c r="J41" s="29">
        <f t="shared" si="11"/>
        <v>12812.394984128669</v>
      </c>
      <c r="K41" s="28">
        <f t="shared" si="1"/>
        <v>33037.198012442932</v>
      </c>
      <c r="M41">
        <f t="shared" si="7"/>
        <v>29</v>
      </c>
      <c r="N41" s="28">
        <v>160154.93730160836</v>
      </c>
      <c r="O41" s="29">
        <f t="shared" si="2"/>
        <v>19218.592476193004</v>
      </c>
      <c r="P41" s="28">
        <f t="shared" si="3"/>
        <v>49555.797018664402</v>
      </c>
    </row>
    <row r="42" spans="2:16" x14ac:dyDescent="0.15">
      <c r="B42">
        <f t="shared" si="4"/>
        <v>30</v>
      </c>
      <c r="C42" s="28">
        <f t="shared" si="5"/>
        <v>164959.5854206566</v>
      </c>
      <c r="H42">
        <f t="shared" si="6"/>
        <v>30</v>
      </c>
      <c r="I42" s="28">
        <v>164959.5854206566</v>
      </c>
      <c r="J42" s="29">
        <f t="shared" si="11"/>
        <v>13196.766833652528</v>
      </c>
      <c r="K42" s="28">
        <f t="shared" si="1"/>
        <v>31802.16257272544</v>
      </c>
      <c r="M42">
        <f t="shared" si="7"/>
        <v>30</v>
      </c>
      <c r="N42" s="28">
        <v>164959.5854206566</v>
      </c>
      <c r="O42" s="29">
        <f t="shared" si="2"/>
        <v>19795.15025047879</v>
      </c>
      <c r="P42" s="28">
        <f t="shared" si="3"/>
        <v>47703.243859088157</v>
      </c>
    </row>
    <row r="43" spans="2:16" x14ac:dyDescent="0.15">
      <c r="B43">
        <f t="shared" si="4"/>
        <v>31</v>
      </c>
      <c r="C43" s="28">
        <f t="shared" si="5"/>
        <v>169908.37298327629</v>
      </c>
      <c r="H43">
        <f t="shared" si="6"/>
        <v>31</v>
      </c>
      <c r="I43" s="28">
        <v>169908.37298327629</v>
      </c>
      <c r="J43" s="29">
        <f t="shared" si="11"/>
        <v>13592.669838662103</v>
      </c>
      <c r="K43" s="28">
        <f t="shared" si="1"/>
        <v>30613.296682156262</v>
      </c>
      <c r="M43">
        <f t="shared" si="7"/>
        <v>31</v>
      </c>
      <c r="N43" s="28">
        <v>169908.37298327629</v>
      </c>
      <c r="O43" s="29">
        <f t="shared" si="2"/>
        <v>20389.004757993152</v>
      </c>
      <c r="P43" s="28">
        <f t="shared" si="3"/>
        <v>45919.945023234388</v>
      </c>
    </row>
    <row r="44" spans="2:16" x14ac:dyDescent="0.15">
      <c r="B44">
        <f t="shared" si="4"/>
        <v>32</v>
      </c>
      <c r="C44" s="28">
        <f t="shared" si="5"/>
        <v>175005.62417277458</v>
      </c>
      <c r="H44">
        <f t="shared" si="6"/>
        <v>32</v>
      </c>
      <c r="I44" s="28">
        <v>175005.62417277458</v>
      </c>
      <c r="J44" s="29">
        <f t="shared" si="11"/>
        <v>14000.449933821967</v>
      </c>
      <c r="K44" s="28">
        <f t="shared" si="1"/>
        <v>29468.87437628127</v>
      </c>
      <c r="M44">
        <f t="shared" si="7"/>
        <v>32</v>
      </c>
      <c r="N44" s="28">
        <v>175005.62417277458</v>
      </c>
      <c r="O44" s="29">
        <f t="shared" si="2"/>
        <v>21000.674900732949</v>
      </c>
      <c r="P44" s="28">
        <f t="shared" si="3"/>
        <v>44203.3115644219</v>
      </c>
    </row>
    <row r="45" spans="2:16" x14ac:dyDescent="0.15">
      <c r="B45">
        <f t="shared" si="4"/>
        <v>33</v>
      </c>
      <c r="C45" s="28">
        <f t="shared" si="5"/>
        <v>180255.79289795781</v>
      </c>
      <c r="H45">
        <f t="shared" si="6"/>
        <v>33</v>
      </c>
      <c r="I45" s="28">
        <v>180255.79289795781</v>
      </c>
      <c r="J45" s="29">
        <f t="shared" si="11"/>
        <v>14420.463431836626</v>
      </c>
      <c r="K45" s="28">
        <f t="shared" si="1"/>
        <v>28367.234212681968</v>
      </c>
      <c r="M45">
        <f t="shared" si="7"/>
        <v>33</v>
      </c>
      <c r="N45" s="28">
        <v>180255.79289795781</v>
      </c>
      <c r="O45" s="29">
        <f t="shared" si="2"/>
        <v>21630.695147754937</v>
      </c>
      <c r="P45" s="28">
        <f t="shared" si="3"/>
        <v>42550.851319022942</v>
      </c>
    </row>
    <row r="46" spans="2:16" x14ac:dyDescent="0.15">
      <c r="B46">
        <f t="shared" si="4"/>
        <v>34</v>
      </c>
      <c r="C46" s="28">
        <f t="shared" si="5"/>
        <v>185663.46668489656</v>
      </c>
      <c r="H46">
        <f t="shared" si="6"/>
        <v>34</v>
      </c>
      <c r="I46" s="28">
        <v>185663.46668489656</v>
      </c>
      <c r="J46" s="29">
        <f t="shared" si="11"/>
        <v>14853.077334791726</v>
      </c>
      <c r="K46" s="28">
        <f t="shared" si="1"/>
        <v>27306.77685893685</v>
      </c>
      <c r="M46">
        <f t="shared" si="7"/>
        <v>34</v>
      </c>
      <c r="N46" s="28">
        <v>185663.46668489656</v>
      </c>
      <c r="O46" s="29">
        <f t="shared" si="2"/>
        <v>22279.616002187588</v>
      </c>
      <c r="P46" s="28">
        <f t="shared" si="3"/>
        <v>40960.165288405275</v>
      </c>
    </row>
    <row r="47" spans="2:16" x14ac:dyDescent="0.15">
      <c r="B47">
        <f t="shared" si="4"/>
        <v>35</v>
      </c>
      <c r="C47" s="28">
        <f t="shared" si="5"/>
        <v>191233.37068544346</v>
      </c>
      <c r="H47">
        <f t="shared" si="6"/>
        <v>35</v>
      </c>
      <c r="I47" s="28">
        <v>191233.37068544346</v>
      </c>
      <c r="J47" s="29">
        <f t="shared" si="11"/>
        <v>15298.669654835478</v>
      </c>
      <c r="K47" s="28">
        <f t="shared" si="1"/>
        <v>26285.962770752292</v>
      </c>
      <c r="M47">
        <f t="shared" si="7"/>
        <v>35</v>
      </c>
      <c r="N47" s="28">
        <v>191233.37068544346</v>
      </c>
      <c r="O47" s="29">
        <f t="shared" si="2"/>
        <v>22948.004482253215</v>
      </c>
      <c r="P47" s="28">
        <f t="shared" si="3"/>
        <v>39428.944156128433</v>
      </c>
    </row>
    <row r="48" spans="2:16" x14ac:dyDescent="0.15">
      <c r="B48">
        <f t="shared" si="4"/>
        <v>36</v>
      </c>
      <c r="C48" s="28">
        <f t="shared" si="5"/>
        <v>196970.37180600676</v>
      </c>
      <c r="H48">
        <f t="shared" si="6"/>
        <v>36</v>
      </c>
      <c r="I48" s="28">
        <v>196970.37180600676</v>
      </c>
      <c r="J48" s="29">
        <f t="shared" si="11"/>
        <v>15757.62974448054</v>
      </c>
      <c r="K48" s="28">
        <f t="shared" si="1"/>
        <v>25303.30995689239</v>
      </c>
      <c r="M48">
        <f t="shared" si="7"/>
        <v>36</v>
      </c>
      <c r="N48" s="28">
        <v>196970.37180600676</v>
      </c>
      <c r="O48" s="29">
        <f t="shared" si="2"/>
        <v>23636.444616720812</v>
      </c>
      <c r="P48" s="28">
        <f t="shared" si="3"/>
        <v>37954.96493533859</v>
      </c>
    </row>
    <row r="49" spans="2:16" x14ac:dyDescent="0.15">
      <c r="B49">
        <f t="shared" si="4"/>
        <v>37</v>
      </c>
      <c r="C49" s="28">
        <f t="shared" si="5"/>
        <v>202879.48296018696</v>
      </c>
      <c r="H49">
        <f t="shared" si="6"/>
        <v>37</v>
      </c>
      <c r="I49" s="28">
        <v>202879.48296018696</v>
      </c>
      <c r="J49" s="29">
        <f t="shared" si="11"/>
        <v>16230.358636814957</v>
      </c>
      <c r="K49" s="28">
        <f t="shared" si="1"/>
        <v>24357.391827662766</v>
      </c>
      <c r="M49">
        <f t="shared" si="7"/>
        <v>37</v>
      </c>
      <c r="N49" s="28">
        <v>202879.48296018696</v>
      </c>
      <c r="O49" s="29">
        <f t="shared" si="2"/>
        <v>24345.537955222433</v>
      </c>
      <c r="P49" s="28">
        <f t="shared" si="3"/>
        <v>36536.08774149415</v>
      </c>
    </row>
    <row r="50" spans="2:16" x14ac:dyDescent="0.15">
      <c r="B50">
        <f t="shared" si="4"/>
        <v>38</v>
      </c>
      <c r="C50" s="28">
        <f t="shared" si="5"/>
        <v>208965.86744899256</v>
      </c>
      <c r="H50">
        <f t="shared" si="6"/>
        <v>38</v>
      </c>
      <c r="I50" s="28">
        <v>208965.86744899256</v>
      </c>
      <c r="J50" s="29">
        <f t="shared" si="11"/>
        <v>16717.269395919404</v>
      </c>
      <c r="K50" s="28">
        <f t="shared" si="1"/>
        <v>23446.835123824905</v>
      </c>
      <c r="M50">
        <f t="shared" si="7"/>
        <v>38</v>
      </c>
      <c r="N50" s="28">
        <v>208965.86744899256</v>
      </c>
      <c r="O50" s="29">
        <f t="shared" si="2"/>
        <v>25075.904093879108</v>
      </c>
      <c r="P50" s="28">
        <f t="shared" si="3"/>
        <v>35170.25268573736</v>
      </c>
    </row>
    <row r="51" spans="2:16" x14ac:dyDescent="0.15">
      <c r="B51">
        <f t="shared" si="4"/>
        <v>39</v>
      </c>
      <c r="C51" s="28">
        <f t="shared" si="5"/>
        <v>215234.84347246235</v>
      </c>
      <c r="H51">
        <f t="shared" si="6"/>
        <v>39</v>
      </c>
      <c r="I51" s="28">
        <v>215234.84347246235</v>
      </c>
      <c r="J51" s="29">
        <f t="shared" si="11"/>
        <v>17218.787477796988</v>
      </c>
      <c r="K51" s="28">
        <f t="shared" si="1"/>
        <v>22570.317922934257</v>
      </c>
      <c r="M51">
        <f t="shared" si="7"/>
        <v>39</v>
      </c>
      <c r="N51" s="28">
        <v>215234.84347246235</v>
      </c>
      <c r="O51" s="29">
        <f t="shared" si="2"/>
        <v>25828.181216695481</v>
      </c>
      <c r="P51" s="28">
        <f t="shared" si="3"/>
        <v>33855.476884401382</v>
      </c>
    </row>
    <row r="52" spans="2:16" x14ac:dyDescent="0.15">
      <c r="B52">
        <f t="shared" si="4"/>
        <v>40</v>
      </c>
      <c r="C52" s="28">
        <f t="shared" si="5"/>
        <v>221691.88877663622</v>
      </c>
      <c r="H52">
        <f t="shared" si="6"/>
        <v>40</v>
      </c>
      <c r="I52" s="28">
        <v>221691.88877663622</v>
      </c>
      <c r="J52" s="29">
        <f t="shared" si="11"/>
        <v>17735.351102130899</v>
      </c>
      <c r="K52" s="28">
        <f t="shared" si="1"/>
        <v>21726.567720207746</v>
      </c>
      <c r="M52">
        <f t="shared" si="7"/>
        <v>40</v>
      </c>
      <c r="N52" s="28">
        <v>221691.88877663622</v>
      </c>
      <c r="O52" s="29">
        <f t="shared" si="2"/>
        <v>26603.026653196346</v>
      </c>
      <c r="P52" s="28">
        <f t="shared" si="3"/>
        <v>32589.851580311613</v>
      </c>
    </row>
    <row r="53" spans="2:16" x14ac:dyDescent="0.15">
      <c r="B53">
        <f t="shared" si="4"/>
        <v>41</v>
      </c>
      <c r="C53" s="28">
        <f t="shared" si="5"/>
        <v>228342.6454399353</v>
      </c>
      <c r="H53">
        <f t="shared" si="6"/>
        <v>41</v>
      </c>
      <c r="I53" s="28">
        <v>228342.6454399353</v>
      </c>
      <c r="J53" s="29">
        <f t="shared" si="11"/>
        <v>18267.411635194825</v>
      </c>
      <c r="K53" s="28">
        <f t="shared" si="1"/>
        <v>20914.359581134555</v>
      </c>
      <c r="M53">
        <f t="shared" si="7"/>
        <v>41</v>
      </c>
      <c r="N53" s="28">
        <v>228342.6454399353</v>
      </c>
      <c r="O53" s="29">
        <f t="shared" si="2"/>
        <v>27401.117452792234</v>
      </c>
      <c r="P53" s="28">
        <f t="shared" si="3"/>
        <v>31371.539371701831</v>
      </c>
    </row>
    <row r="54" spans="2:16" x14ac:dyDescent="0.15">
      <c r="B54">
        <f t="shared" si="4"/>
        <v>42</v>
      </c>
      <c r="C54" s="28">
        <f t="shared" si="5"/>
        <v>235192.92480313336</v>
      </c>
      <c r="H54">
        <f t="shared" si="6"/>
        <v>42</v>
      </c>
      <c r="I54" s="28">
        <v>235192.92480313336</v>
      </c>
      <c r="J54" s="29">
        <f t="shared" si="11"/>
        <v>18815.433984250671</v>
      </c>
      <c r="K54" s="28">
        <f t="shared" si="1"/>
        <v>20132.514363148217</v>
      </c>
      <c r="M54">
        <f t="shared" si="7"/>
        <v>42</v>
      </c>
      <c r="N54" s="28">
        <v>235192.92480313336</v>
      </c>
      <c r="O54" s="29">
        <f t="shared" si="2"/>
        <v>28223.150976376</v>
      </c>
      <c r="P54" s="28">
        <f t="shared" si="3"/>
        <v>30198.771544722324</v>
      </c>
    </row>
    <row r="55" spans="2:16" x14ac:dyDescent="0.15">
      <c r="B55">
        <f t="shared" si="4"/>
        <v>43</v>
      </c>
      <c r="C55" s="28">
        <f t="shared" si="5"/>
        <v>242248.71254722736</v>
      </c>
      <c r="H55">
        <f t="shared" si="6"/>
        <v>43</v>
      </c>
      <c r="I55" s="28">
        <v>242248.71254722736</v>
      </c>
      <c r="J55" s="29">
        <f t="shared" si="11"/>
        <v>19379.897003778191</v>
      </c>
      <c r="K55" s="28">
        <f t="shared" si="1"/>
        <v>19379.897003778191</v>
      </c>
      <c r="M55">
        <f t="shared" si="7"/>
        <v>43</v>
      </c>
      <c r="N55" s="28">
        <v>242248.71254722736</v>
      </c>
      <c r="O55" s="29">
        <f t="shared" si="2"/>
        <v>29069.845505667283</v>
      </c>
      <c r="P55" s="28">
        <f t="shared" si="3"/>
        <v>29069.845505667283</v>
      </c>
    </row>
    <row r="56" spans="2:16" x14ac:dyDescent="0.15">
      <c r="C56" s="28"/>
      <c r="I56" s="28"/>
      <c r="J56" s="29"/>
      <c r="K56" s="28"/>
    </row>
    <row r="57" spans="2:16" x14ac:dyDescent="0.15">
      <c r="P57" s="29"/>
    </row>
  </sheetData>
  <mergeCells count="2">
    <mergeCell ref="E11:F11"/>
    <mergeCell ref="E21:F21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7"/>
  <sheetViews>
    <sheetView topLeftCell="A52" workbookViewId="0">
      <selection activeCell="I61" sqref="I61"/>
    </sheetView>
  </sheetViews>
  <sheetFormatPr baseColWidth="10" defaultColWidth="8.83203125" defaultRowHeight="13" x14ac:dyDescent="0.15"/>
  <cols>
    <col min="2" max="2" width="23.5" customWidth="1"/>
    <col min="3" max="3" width="12.1640625" bestFit="1" customWidth="1"/>
    <col min="6" max="6" width="14.6640625" bestFit="1" customWidth="1"/>
    <col min="9" max="9" width="12.1640625" bestFit="1" customWidth="1"/>
    <col min="10" max="11" width="11.1640625" bestFit="1" customWidth="1"/>
    <col min="14" max="14" width="12.1640625" bestFit="1" customWidth="1"/>
    <col min="15" max="15" width="11.1640625" bestFit="1" customWidth="1"/>
    <col min="16" max="16" width="13.6640625" bestFit="1" customWidth="1"/>
  </cols>
  <sheetData>
    <row r="1" spans="2:16" ht="14" thickBot="1" x14ac:dyDescent="0.2">
      <c r="B1" s="4"/>
    </row>
    <row r="2" spans="2:16" x14ac:dyDescent="0.15">
      <c r="B2" s="23" t="s">
        <v>10</v>
      </c>
      <c r="C2" s="14">
        <v>0.03</v>
      </c>
    </row>
    <row r="3" spans="2:16" x14ac:dyDescent="0.15">
      <c r="B3" s="24" t="s">
        <v>11</v>
      </c>
      <c r="C3" s="15">
        <v>0.09</v>
      </c>
    </row>
    <row r="4" spans="2:16" x14ac:dyDescent="0.15">
      <c r="B4" s="24" t="s">
        <v>12</v>
      </c>
      <c r="C4" s="15">
        <v>0.04</v>
      </c>
    </row>
    <row r="5" spans="2:16" ht="14" thickBot="1" x14ac:dyDescent="0.2">
      <c r="B5" s="25" t="s">
        <v>13</v>
      </c>
      <c r="C5" s="18">
        <v>14</v>
      </c>
    </row>
    <row r="6" spans="2:16" ht="14" thickBot="1" x14ac:dyDescent="0.2">
      <c r="B6" s="19"/>
      <c r="C6" s="16"/>
    </row>
    <row r="7" spans="2:16" x14ac:dyDescent="0.15">
      <c r="B7" s="23" t="s">
        <v>14</v>
      </c>
      <c r="C7" s="20">
        <v>22</v>
      </c>
    </row>
    <row r="8" spans="2:16" ht="14" thickBot="1" x14ac:dyDescent="0.2">
      <c r="B8" s="25" t="s">
        <v>15</v>
      </c>
      <c r="C8" s="21">
        <v>65</v>
      </c>
    </row>
    <row r="9" spans="2:16" ht="14" thickBot="1" x14ac:dyDescent="0.2">
      <c r="B9" s="19"/>
      <c r="C9" s="17"/>
    </row>
    <row r="10" spans="2:16" ht="14" thickBot="1" x14ac:dyDescent="0.2">
      <c r="B10" s="26" t="s">
        <v>16</v>
      </c>
      <c r="C10" s="22">
        <v>70000</v>
      </c>
    </row>
    <row r="11" spans="2:16" x14ac:dyDescent="0.15">
      <c r="B11" s="4"/>
      <c r="E11" s="39">
        <v>0.06</v>
      </c>
      <c r="F11" s="38"/>
    </row>
    <row r="12" spans="2:16" x14ac:dyDescent="0.15">
      <c r="B12" s="27" t="s">
        <v>18</v>
      </c>
      <c r="C12" s="1" t="s">
        <v>19</v>
      </c>
      <c r="E12" s="1" t="s">
        <v>20</v>
      </c>
      <c r="H12" s="27" t="s">
        <v>18</v>
      </c>
      <c r="I12" s="1" t="s">
        <v>19</v>
      </c>
      <c r="M12" s="1" t="s">
        <v>18</v>
      </c>
      <c r="N12" s="1" t="s">
        <v>19</v>
      </c>
    </row>
    <row r="13" spans="2:16" x14ac:dyDescent="0.15">
      <c r="B13">
        <f>1</f>
        <v>1</v>
      </c>
      <c r="C13" s="28">
        <f>C$10</f>
        <v>70000</v>
      </c>
      <c r="E13" t="s">
        <v>21</v>
      </c>
      <c r="F13">
        <v>1482146.9938596215</v>
      </c>
      <c r="H13">
        <v>1</v>
      </c>
      <c r="I13" s="28">
        <v>70000</v>
      </c>
      <c r="J13" s="29">
        <f>I13*3%</f>
        <v>2100</v>
      </c>
      <c r="K13" s="28">
        <f>J13*(1+$C$3)^(43-H13)</f>
        <v>78366.817128903931</v>
      </c>
      <c r="M13">
        <v>1</v>
      </c>
      <c r="N13" s="28">
        <v>70000</v>
      </c>
      <c r="O13" s="29">
        <f>N13*12%</f>
        <v>8400</v>
      </c>
      <c r="P13" s="28">
        <f>O13*(1+$C$3)^(43-M13)</f>
        <v>313467.26851561572</v>
      </c>
    </row>
    <row r="14" spans="2:16" x14ac:dyDescent="0.15">
      <c r="B14">
        <f>B13+1</f>
        <v>2</v>
      </c>
      <c r="C14" s="28">
        <f>C13*(1+$C$2)</f>
        <v>72100</v>
      </c>
      <c r="E14" t="s">
        <v>22</v>
      </c>
      <c r="F14">
        <v>1140528.3017806245</v>
      </c>
      <c r="H14">
        <f>H13+1</f>
        <v>2</v>
      </c>
      <c r="I14" s="28">
        <v>72100</v>
      </c>
      <c r="J14" s="29">
        <f t="shared" ref="J14:J17" si="0">I14*3%</f>
        <v>2163</v>
      </c>
      <c r="K14" s="28">
        <f t="shared" ref="K14:K55" si="1">J14*(1+$C$3)^(43-H14)</f>
        <v>74053.047378689022</v>
      </c>
      <c r="M14">
        <f>M13+1</f>
        <v>2</v>
      </c>
      <c r="N14" s="28">
        <v>72100</v>
      </c>
      <c r="O14" s="29">
        <f t="shared" ref="O14:O55" si="2">N14*12%</f>
        <v>8652</v>
      </c>
      <c r="P14" s="28">
        <f t="shared" ref="P14:P55" si="3">O14*(1+$C$3)^(43-M14)</f>
        <v>296212.18951475609</v>
      </c>
    </row>
    <row r="15" spans="2:16" x14ac:dyDescent="0.15">
      <c r="B15">
        <f t="shared" ref="B15:B55" si="4">B14+1</f>
        <v>3</v>
      </c>
      <c r="C15" s="28">
        <f t="shared" ref="C15:C55" si="5">C14*(1+$C$2)</f>
        <v>74263</v>
      </c>
      <c r="E15" t="s">
        <v>23</v>
      </c>
      <c r="F15">
        <v>2432062.6019945336</v>
      </c>
      <c r="H15">
        <f t="shared" ref="H15:H55" si="6">H14+1</f>
        <v>3</v>
      </c>
      <c r="I15" s="28">
        <v>74263</v>
      </c>
      <c r="J15" s="29">
        <f t="shared" si="0"/>
        <v>2227.89</v>
      </c>
      <c r="K15" s="28">
        <f t="shared" si="1"/>
        <v>69976.732844082289</v>
      </c>
      <c r="M15">
        <f t="shared" ref="M15:M55" si="7">M14+1</f>
        <v>3</v>
      </c>
      <c r="N15" s="28">
        <v>74263</v>
      </c>
      <c r="O15" s="29">
        <f t="shared" si="2"/>
        <v>8911.56</v>
      </c>
      <c r="P15" s="28">
        <f t="shared" si="3"/>
        <v>279906.93137632916</v>
      </c>
    </row>
    <row r="16" spans="2:16" x14ac:dyDescent="0.15">
      <c r="B16">
        <f t="shared" si="4"/>
        <v>4</v>
      </c>
      <c r="C16" s="28">
        <f t="shared" si="5"/>
        <v>76490.89</v>
      </c>
      <c r="H16">
        <f t="shared" si="6"/>
        <v>4</v>
      </c>
      <c r="I16" s="28">
        <v>76490.89</v>
      </c>
      <c r="J16" s="29">
        <f t="shared" si="0"/>
        <v>2294.7266999999997</v>
      </c>
      <c r="K16" s="28">
        <f t="shared" si="1"/>
        <v>66124.80259578416</v>
      </c>
      <c r="M16">
        <f t="shared" si="7"/>
        <v>4</v>
      </c>
      <c r="N16" s="28">
        <v>76490.89</v>
      </c>
      <c r="O16" s="29">
        <f t="shared" si="2"/>
        <v>9178.9067999999988</v>
      </c>
      <c r="P16" s="28">
        <f t="shared" si="3"/>
        <v>264499.21038313664</v>
      </c>
    </row>
    <row r="17" spans="2:16" x14ac:dyDescent="0.15">
      <c r="B17">
        <f t="shared" si="4"/>
        <v>5</v>
      </c>
      <c r="C17" s="28">
        <f t="shared" si="5"/>
        <v>78785.616699999999</v>
      </c>
      <c r="E17" s="1" t="s">
        <v>24</v>
      </c>
      <c r="H17">
        <f t="shared" si="6"/>
        <v>5</v>
      </c>
      <c r="I17" s="28">
        <v>78785.616699999999</v>
      </c>
      <c r="J17" s="29">
        <f t="shared" si="0"/>
        <v>2363.5685009999997</v>
      </c>
      <c r="K17" s="28">
        <f t="shared" si="1"/>
        <v>62484.905205190546</v>
      </c>
      <c r="M17">
        <f t="shared" si="7"/>
        <v>5</v>
      </c>
      <c r="N17" s="28">
        <v>78785.616699999999</v>
      </c>
      <c r="O17" s="29">
        <f t="shared" si="2"/>
        <v>9454.274003999999</v>
      </c>
      <c r="P17" s="28">
        <f t="shared" si="3"/>
        <v>249939.62082076218</v>
      </c>
    </row>
    <row r="18" spans="2:16" x14ac:dyDescent="0.15">
      <c r="B18">
        <f t="shared" si="4"/>
        <v>6</v>
      </c>
      <c r="C18" s="28">
        <f t="shared" si="5"/>
        <v>81149.185201</v>
      </c>
      <c r="E18" t="s">
        <v>25</v>
      </c>
      <c r="F18" s="29">
        <f>AVERAGE(C43:C45)*0.015*30</f>
        <v>78775.468508101301</v>
      </c>
      <c r="H18">
        <f t="shared" si="6"/>
        <v>6</v>
      </c>
      <c r="I18" s="28">
        <v>81149.185201</v>
      </c>
      <c r="J18" s="29">
        <f>I18*4%</f>
        <v>3245.96740804</v>
      </c>
      <c r="K18" s="28">
        <f t="shared" si="1"/>
        <v>78727.158851799701</v>
      </c>
      <c r="M18">
        <f t="shared" si="7"/>
        <v>6</v>
      </c>
      <c r="N18" s="28">
        <v>81149.185201</v>
      </c>
      <c r="O18" s="29">
        <f t="shared" si="2"/>
        <v>9737.90222412</v>
      </c>
      <c r="P18" s="28">
        <f t="shared" si="3"/>
        <v>236181.47655539913</v>
      </c>
    </row>
    <row r="19" spans="2:16" x14ac:dyDescent="0.15">
      <c r="B19">
        <f t="shared" si="4"/>
        <v>7</v>
      </c>
      <c r="C19" s="28">
        <f t="shared" si="5"/>
        <v>83583.660757029997</v>
      </c>
      <c r="E19" t="s">
        <v>22</v>
      </c>
      <c r="F19" s="29" t="e">
        <f>#REF!/(1.04*(1-(1.04^(-14)))/0.04)</f>
        <v>#REF!</v>
      </c>
      <c r="H19">
        <f t="shared" si="6"/>
        <v>7</v>
      </c>
      <c r="I19" s="28">
        <v>83583.660757029997</v>
      </c>
      <c r="J19" s="29">
        <f t="shared" ref="J19:J22" si="8">I19*4%</f>
        <v>3343.3464302811999</v>
      </c>
      <c r="K19" s="28">
        <f t="shared" si="1"/>
        <v>74393.553777388719</v>
      </c>
      <c r="M19">
        <f t="shared" si="7"/>
        <v>7</v>
      </c>
      <c r="N19" s="28">
        <v>83583.660757029997</v>
      </c>
      <c r="O19" s="29">
        <f t="shared" si="2"/>
        <v>10030.039290843599</v>
      </c>
      <c r="P19" s="28">
        <f t="shared" si="3"/>
        <v>223180.66133216611</v>
      </c>
    </row>
    <row r="20" spans="2:16" x14ac:dyDescent="0.15">
      <c r="B20">
        <f t="shared" si="4"/>
        <v>8</v>
      </c>
      <c r="C20" s="28">
        <f t="shared" si="5"/>
        <v>86091.170579740894</v>
      </c>
      <c r="E20" t="s">
        <v>23</v>
      </c>
      <c r="F20" s="29" t="e">
        <f>#REF!/(1.04*(1-(1.04^(-14)))/0.04)</f>
        <v>#REF!</v>
      </c>
      <c r="H20">
        <f t="shared" si="6"/>
        <v>8</v>
      </c>
      <c r="I20" s="28">
        <v>86091.170579740894</v>
      </c>
      <c r="J20" s="29">
        <f t="shared" si="8"/>
        <v>3443.6468231896361</v>
      </c>
      <c r="K20" s="28">
        <f t="shared" si="1"/>
        <v>70298.495771293921</v>
      </c>
      <c r="M20">
        <f t="shared" si="7"/>
        <v>8</v>
      </c>
      <c r="N20" s="28">
        <v>86091.170579740894</v>
      </c>
      <c r="O20" s="29">
        <f t="shared" si="2"/>
        <v>10330.940469568906</v>
      </c>
      <c r="P20" s="28">
        <f t="shared" si="3"/>
        <v>210895.48731388172</v>
      </c>
    </row>
    <row r="21" spans="2:16" x14ac:dyDescent="0.15">
      <c r="B21">
        <f t="shared" si="4"/>
        <v>9</v>
      </c>
      <c r="C21" s="28">
        <f t="shared" si="5"/>
        <v>88673.90569713313</v>
      </c>
      <c r="E21" s="39">
        <v>7.0000000000000007E-2</v>
      </c>
      <c r="F21" s="39"/>
      <c r="H21">
        <f t="shared" si="6"/>
        <v>9</v>
      </c>
      <c r="I21" s="28">
        <v>88673.90569713313</v>
      </c>
      <c r="J21" s="29">
        <f t="shared" si="8"/>
        <v>3546.9562278853255</v>
      </c>
      <c r="K21" s="28">
        <f t="shared" si="1"/>
        <v>66428.853802231868</v>
      </c>
      <c r="M21">
        <f t="shared" si="7"/>
        <v>9</v>
      </c>
      <c r="N21" s="28">
        <v>88673.90569713313</v>
      </c>
      <c r="O21" s="29">
        <f t="shared" si="2"/>
        <v>10640.868683655975</v>
      </c>
      <c r="P21" s="28">
        <f t="shared" si="3"/>
        <v>199286.5614066956</v>
      </c>
    </row>
    <row r="22" spans="2:16" x14ac:dyDescent="0.15">
      <c r="B22">
        <f t="shared" si="4"/>
        <v>10</v>
      </c>
      <c r="C22" s="28">
        <f t="shared" si="5"/>
        <v>91334.122868047125</v>
      </c>
      <c r="E22" s="1" t="s">
        <v>20</v>
      </c>
      <c r="H22">
        <f t="shared" si="6"/>
        <v>10</v>
      </c>
      <c r="I22" s="28">
        <v>91334.122868047125</v>
      </c>
      <c r="J22" s="29">
        <f t="shared" si="8"/>
        <v>3653.3649147218853</v>
      </c>
      <c r="K22" s="28">
        <f t="shared" si="1"/>
        <v>62772.219647980572</v>
      </c>
      <c r="M22">
        <f t="shared" si="7"/>
        <v>10</v>
      </c>
      <c r="N22" s="28">
        <v>91334.122868047125</v>
      </c>
      <c r="O22" s="29">
        <f t="shared" si="2"/>
        <v>10960.094744165655</v>
      </c>
      <c r="P22" s="28">
        <f t="shared" si="3"/>
        <v>188316.6589439417</v>
      </c>
    </row>
    <row r="23" spans="2:16" x14ac:dyDescent="0.15">
      <c r="B23">
        <f t="shared" si="4"/>
        <v>11</v>
      </c>
      <c r="C23" s="28">
        <f t="shared" si="5"/>
        <v>94074.14655408854</v>
      </c>
      <c r="E23" t="s">
        <v>21</v>
      </c>
      <c r="F23">
        <v>1482146.9938596215</v>
      </c>
      <c r="H23">
        <f t="shared" si="6"/>
        <v>11</v>
      </c>
      <c r="I23" s="28">
        <v>94074.14655408854</v>
      </c>
      <c r="J23" s="29">
        <f>I23*5%</f>
        <v>4703.7073277044274</v>
      </c>
      <c r="K23" s="28">
        <f t="shared" si="1"/>
        <v>74146.08513465595</v>
      </c>
      <c r="M23">
        <f t="shared" si="7"/>
        <v>11</v>
      </c>
      <c r="N23" s="28">
        <v>94074.14655408854</v>
      </c>
      <c r="O23" s="29">
        <f t="shared" si="2"/>
        <v>11288.897586490624</v>
      </c>
      <c r="P23" s="28">
        <f t="shared" si="3"/>
        <v>177950.60432317425</v>
      </c>
    </row>
    <row r="24" spans="2:16" x14ac:dyDescent="0.15">
      <c r="B24">
        <f t="shared" si="4"/>
        <v>12</v>
      </c>
      <c r="C24" s="28">
        <f t="shared" si="5"/>
        <v>96896.370950711193</v>
      </c>
      <c r="E24" t="s">
        <v>22</v>
      </c>
      <c r="F24">
        <v>1403662.6200416121</v>
      </c>
      <c r="H24">
        <f t="shared" si="6"/>
        <v>12</v>
      </c>
      <c r="I24" s="28">
        <v>96896.370950711193</v>
      </c>
      <c r="J24" s="29">
        <f t="shared" ref="J24:J27" si="9">I24*5%</f>
        <v>4844.8185475355594</v>
      </c>
      <c r="K24" s="28">
        <f t="shared" si="1"/>
        <v>70064.649255684053</v>
      </c>
      <c r="M24">
        <f t="shared" si="7"/>
        <v>12</v>
      </c>
      <c r="N24" s="28">
        <v>96896.370950711193</v>
      </c>
      <c r="O24" s="29">
        <f t="shared" si="2"/>
        <v>11627.564514085343</v>
      </c>
      <c r="P24" s="28">
        <f t="shared" si="3"/>
        <v>168155.15821364173</v>
      </c>
    </row>
    <row r="25" spans="2:16" x14ac:dyDescent="0.15">
      <c r="B25">
        <f t="shared" si="4"/>
        <v>13</v>
      </c>
      <c r="C25" s="28">
        <f t="shared" si="5"/>
        <v>99803.262079232532</v>
      </c>
      <c r="E25" t="s">
        <v>23</v>
      </c>
      <c r="F25">
        <v>3103765.9767193445</v>
      </c>
      <c r="H25">
        <f t="shared" si="6"/>
        <v>13</v>
      </c>
      <c r="I25" s="28">
        <v>99803.262079232532</v>
      </c>
      <c r="J25" s="29">
        <f t="shared" si="9"/>
        <v>4990.1631039616268</v>
      </c>
      <c r="K25" s="28">
        <f t="shared" si="1"/>
        <v>66207.879571884943</v>
      </c>
      <c r="M25">
        <f t="shared" si="7"/>
        <v>13</v>
      </c>
      <c r="N25" s="28">
        <v>99803.262079232532</v>
      </c>
      <c r="O25" s="29">
        <f t="shared" si="2"/>
        <v>11976.391449507904</v>
      </c>
      <c r="P25" s="28">
        <f t="shared" si="3"/>
        <v>158898.91097252385</v>
      </c>
    </row>
    <row r="26" spans="2:16" x14ac:dyDescent="0.15">
      <c r="B26">
        <f t="shared" si="4"/>
        <v>14</v>
      </c>
      <c r="C26" s="28">
        <f t="shared" si="5"/>
        <v>102797.35994160951</v>
      </c>
      <c r="H26">
        <f t="shared" si="6"/>
        <v>14</v>
      </c>
      <c r="I26" s="28">
        <v>102797.35994160951</v>
      </c>
      <c r="J26" s="29">
        <f t="shared" si="9"/>
        <v>5139.867997080476</v>
      </c>
      <c r="K26" s="28">
        <f t="shared" si="1"/>
        <v>62563.409136735303</v>
      </c>
      <c r="M26">
        <f t="shared" si="7"/>
        <v>14</v>
      </c>
      <c r="N26" s="28">
        <v>102797.35994160951</v>
      </c>
      <c r="O26" s="29">
        <f t="shared" si="2"/>
        <v>12335.683192993141</v>
      </c>
      <c r="P26" s="28">
        <f t="shared" si="3"/>
        <v>150152.1819281647</v>
      </c>
    </row>
    <row r="27" spans="2:16" x14ac:dyDescent="0.15">
      <c r="B27">
        <f t="shared" si="4"/>
        <v>15</v>
      </c>
      <c r="C27" s="28">
        <f t="shared" si="5"/>
        <v>105881.2807398578</v>
      </c>
      <c r="E27" s="1" t="s">
        <v>24</v>
      </c>
      <c r="H27">
        <f t="shared" si="6"/>
        <v>15</v>
      </c>
      <c r="I27" s="28">
        <v>105881.2807398578</v>
      </c>
      <c r="J27" s="29">
        <f t="shared" si="9"/>
        <v>5294.0640369928906</v>
      </c>
      <c r="K27" s="28">
        <f t="shared" si="1"/>
        <v>59119.551753061802</v>
      </c>
      <c r="M27">
        <f t="shared" si="7"/>
        <v>15</v>
      </c>
      <c r="N27" s="28">
        <v>105881.2807398578</v>
      </c>
      <c r="O27" s="29">
        <f t="shared" si="2"/>
        <v>12705.753688782936</v>
      </c>
      <c r="P27" s="28">
        <f t="shared" si="3"/>
        <v>141886.92420734829</v>
      </c>
    </row>
    <row r="28" spans="2:16" x14ac:dyDescent="0.15">
      <c r="B28">
        <f t="shared" si="4"/>
        <v>16</v>
      </c>
      <c r="C28" s="28">
        <f t="shared" si="5"/>
        <v>109057.71916205353</v>
      </c>
      <c r="E28" t="s">
        <v>25</v>
      </c>
      <c r="F28" s="29">
        <f>AVERAGE(C53:C55)*0.015*30</f>
        <v>105867.64241854439</v>
      </c>
      <c r="H28">
        <f t="shared" si="6"/>
        <v>16</v>
      </c>
      <c r="I28" s="28">
        <v>109057.71916205353</v>
      </c>
      <c r="J28" s="29">
        <f>'SensitivityAnalysis-IR'!I28*6%</f>
        <v>6543.4631497232112</v>
      </c>
      <c r="K28" s="28">
        <f t="shared" si="1"/>
        <v>67038.317400719607</v>
      </c>
      <c r="M28">
        <f t="shared" si="7"/>
        <v>16</v>
      </c>
      <c r="N28" s="28">
        <v>109057.71916205353</v>
      </c>
      <c r="O28" s="29">
        <f t="shared" si="2"/>
        <v>13086.926299446422</v>
      </c>
      <c r="P28" s="28">
        <f t="shared" si="3"/>
        <v>134076.63480143921</v>
      </c>
    </row>
    <row r="29" spans="2:16" x14ac:dyDescent="0.15">
      <c r="B29">
        <f t="shared" si="4"/>
        <v>17</v>
      </c>
      <c r="C29" s="28">
        <f t="shared" si="5"/>
        <v>112329.45073691514</v>
      </c>
      <c r="E29" t="s">
        <v>22</v>
      </c>
      <c r="F29" s="29" t="e">
        <f>#REF!/(1.04*(1-(1.04^(-14)))/0.04)</f>
        <v>#REF!</v>
      </c>
      <c r="H29">
        <f t="shared" si="6"/>
        <v>17</v>
      </c>
      <c r="I29" s="28">
        <v>112329.45073691514</v>
      </c>
      <c r="J29" s="29">
        <f>'SensitivityAnalysis-IR'!I29*6%</f>
        <v>6739.7670442149083</v>
      </c>
      <c r="K29" s="28">
        <f t="shared" si="1"/>
        <v>63348.13479150569</v>
      </c>
      <c r="M29">
        <f t="shared" si="7"/>
        <v>17</v>
      </c>
      <c r="N29" s="28">
        <v>112329.45073691514</v>
      </c>
      <c r="O29" s="29">
        <f t="shared" si="2"/>
        <v>13479.534088429817</v>
      </c>
      <c r="P29" s="28">
        <f t="shared" si="3"/>
        <v>126696.26958301138</v>
      </c>
    </row>
    <row r="30" spans="2:16" x14ac:dyDescent="0.15">
      <c r="B30">
        <f t="shared" si="4"/>
        <v>18</v>
      </c>
      <c r="C30" s="28">
        <f t="shared" si="5"/>
        <v>115699.33425902259</v>
      </c>
      <c r="E30" t="s">
        <v>23</v>
      </c>
      <c r="F30" s="29" t="e">
        <f>#REF!/(1.04*(1-(1.04^(-14)))/0.04)</f>
        <v>#REF!</v>
      </c>
      <c r="H30">
        <f t="shared" si="6"/>
        <v>18</v>
      </c>
      <c r="I30" s="28">
        <v>115699.33425902259</v>
      </c>
      <c r="J30" s="29">
        <f>'SensitivityAnalysis-IR'!I30*6%</f>
        <v>6941.9600555413554</v>
      </c>
      <c r="K30" s="28">
        <f t="shared" si="1"/>
        <v>59861.081500230139</v>
      </c>
      <c r="M30">
        <f t="shared" si="7"/>
        <v>18</v>
      </c>
      <c r="N30" s="28">
        <v>115699.33425902259</v>
      </c>
      <c r="O30" s="29">
        <f t="shared" si="2"/>
        <v>13883.920111082711</v>
      </c>
      <c r="P30" s="28">
        <f t="shared" si="3"/>
        <v>119722.16300046028</v>
      </c>
    </row>
    <row r="31" spans="2:16" x14ac:dyDescent="0.15">
      <c r="B31">
        <f t="shared" si="4"/>
        <v>19</v>
      </c>
      <c r="C31" s="28">
        <f t="shared" si="5"/>
        <v>119170.31428679328</v>
      </c>
      <c r="E31" s="39">
        <v>0.08</v>
      </c>
      <c r="F31" s="38"/>
      <c r="H31">
        <f t="shared" si="6"/>
        <v>19</v>
      </c>
      <c r="I31" s="28">
        <v>119170.31428679328</v>
      </c>
      <c r="J31" s="29">
        <f>'SensitivityAnalysis-IR'!I31*6%</f>
        <v>7150.2188572075966</v>
      </c>
      <c r="K31" s="28">
        <f t="shared" si="1"/>
        <v>56565.97609654774</v>
      </c>
      <c r="M31">
        <f t="shared" si="7"/>
        <v>19</v>
      </c>
      <c r="N31" s="28">
        <v>119170.31428679328</v>
      </c>
      <c r="O31" s="29">
        <f t="shared" si="2"/>
        <v>14300.437714415193</v>
      </c>
      <c r="P31" s="28">
        <f t="shared" si="3"/>
        <v>113131.95219309548</v>
      </c>
    </row>
    <row r="32" spans="2:16" x14ac:dyDescent="0.15">
      <c r="B32">
        <f t="shared" si="4"/>
        <v>20</v>
      </c>
      <c r="C32" s="28">
        <f t="shared" si="5"/>
        <v>122745.42371539708</v>
      </c>
      <c r="E32" s="1" t="s">
        <v>20</v>
      </c>
      <c r="H32">
        <f t="shared" si="6"/>
        <v>20</v>
      </c>
      <c r="I32" s="28">
        <v>122745.42371539708</v>
      </c>
      <c r="J32" s="29">
        <f>'SensitivityAnalysis-IR'!I32*6%</f>
        <v>7364.7254229238242</v>
      </c>
      <c r="K32" s="28">
        <f t="shared" si="1"/>
        <v>53452.252641691899</v>
      </c>
      <c r="M32">
        <f t="shared" si="7"/>
        <v>20</v>
      </c>
      <c r="N32" s="28">
        <v>122745.42371539708</v>
      </c>
      <c r="O32" s="29">
        <f t="shared" si="2"/>
        <v>14729.450845847648</v>
      </c>
      <c r="P32" s="28">
        <f t="shared" si="3"/>
        <v>106904.5052833838</v>
      </c>
    </row>
    <row r="33" spans="2:16" x14ac:dyDescent="0.15">
      <c r="B33">
        <f t="shared" si="4"/>
        <v>21</v>
      </c>
      <c r="C33" s="28">
        <f t="shared" si="5"/>
        <v>126427.78642685899</v>
      </c>
      <c r="E33" t="s">
        <v>21</v>
      </c>
      <c r="F33">
        <v>1482146.9938596215</v>
      </c>
      <c r="H33">
        <f t="shared" si="6"/>
        <v>21</v>
      </c>
      <c r="I33" s="28">
        <v>126427.78642685899</v>
      </c>
      <c r="J33" s="29">
        <f>I33*7%</f>
        <v>8849.9450498801307</v>
      </c>
      <c r="K33" s="28">
        <f t="shared" si="1"/>
        <v>58928.247942905</v>
      </c>
      <c r="M33">
        <f t="shared" si="7"/>
        <v>21</v>
      </c>
      <c r="N33" s="28">
        <v>126427.78642685899</v>
      </c>
      <c r="O33" s="29">
        <f t="shared" si="2"/>
        <v>15171.334371223078</v>
      </c>
      <c r="P33" s="28">
        <f t="shared" si="3"/>
        <v>101019.85361640854</v>
      </c>
    </row>
    <row r="34" spans="2:16" x14ac:dyDescent="0.15">
      <c r="B34">
        <f t="shared" si="4"/>
        <v>22</v>
      </c>
      <c r="C34" s="28">
        <f t="shared" si="5"/>
        <v>130220.62001966477</v>
      </c>
      <c r="E34" t="s">
        <v>22</v>
      </c>
      <c r="F34">
        <v>1744724.5415978385</v>
      </c>
      <c r="H34">
        <f t="shared" si="6"/>
        <v>22</v>
      </c>
      <c r="I34" s="28">
        <v>130220.62001966477</v>
      </c>
      <c r="J34" s="29">
        <f t="shared" ref="J34:J37" si="10">I34*7%</f>
        <v>9115.4434013765349</v>
      </c>
      <c r="K34" s="28">
        <f t="shared" si="1"/>
        <v>55684.491175405637</v>
      </c>
      <c r="M34">
        <f t="shared" si="7"/>
        <v>22</v>
      </c>
      <c r="N34" s="28">
        <v>130220.62001966477</v>
      </c>
      <c r="O34" s="29">
        <f t="shared" si="2"/>
        <v>15626.474402359772</v>
      </c>
      <c r="P34" s="28">
        <f t="shared" si="3"/>
        <v>95459.127729266795</v>
      </c>
    </row>
    <row r="35" spans="2:16" x14ac:dyDescent="0.15">
      <c r="B35">
        <f t="shared" si="4"/>
        <v>23</v>
      </c>
      <c r="C35" s="28">
        <f t="shared" si="5"/>
        <v>134127.23862025471</v>
      </c>
      <c r="E35" t="s">
        <v>23</v>
      </c>
      <c r="F35">
        <v>3998756.7737777499</v>
      </c>
      <c r="H35">
        <f t="shared" si="6"/>
        <v>23</v>
      </c>
      <c r="I35" s="28">
        <v>134127.23862025471</v>
      </c>
      <c r="J35" s="29">
        <f t="shared" si="10"/>
        <v>9388.9067034178297</v>
      </c>
      <c r="K35" s="28">
        <f t="shared" si="1"/>
        <v>52619.289826300723</v>
      </c>
      <c r="M35">
        <f t="shared" si="7"/>
        <v>23</v>
      </c>
      <c r="N35" s="28">
        <v>134127.23862025471</v>
      </c>
      <c r="O35" s="29">
        <f t="shared" si="2"/>
        <v>16095.268634430564</v>
      </c>
      <c r="P35" s="28">
        <f t="shared" si="3"/>
        <v>90204.496845086949</v>
      </c>
    </row>
    <row r="36" spans="2:16" x14ac:dyDescent="0.15">
      <c r="B36">
        <f t="shared" si="4"/>
        <v>24</v>
      </c>
      <c r="C36" s="28">
        <f t="shared" si="5"/>
        <v>138151.05577886236</v>
      </c>
      <c r="H36">
        <f t="shared" si="6"/>
        <v>24</v>
      </c>
      <c r="I36" s="28">
        <v>138151.05577886236</v>
      </c>
      <c r="J36" s="29">
        <f t="shared" si="10"/>
        <v>9670.5739045203663</v>
      </c>
      <c r="K36" s="28">
        <f t="shared" si="1"/>
        <v>49722.815156963079</v>
      </c>
      <c r="M36">
        <f t="shared" si="7"/>
        <v>24</v>
      </c>
      <c r="N36" s="28">
        <v>138151.05577886236</v>
      </c>
      <c r="O36" s="29">
        <f t="shared" si="2"/>
        <v>16578.12669346348</v>
      </c>
      <c r="P36" s="28">
        <f t="shared" si="3"/>
        <v>85239.111697650966</v>
      </c>
    </row>
    <row r="37" spans="2:16" x14ac:dyDescent="0.15">
      <c r="B37">
        <f t="shared" si="4"/>
        <v>25</v>
      </c>
      <c r="C37" s="28">
        <f t="shared" si="5"/>
        <v>142295.58745222824</v>
      </c>
      <c r="E37" s="1" t="s">
        <v>24</v>
      </c>
      <c r="H37">
        <f t="shared" si="6"/>
        <v>25</v>
      </c>
      <c r="I37" s="28">
        <v>142295.58745222824</v>
      </c>
      <c r="J37" s="29">
        <f t="shared" si="10"/>
        <v>9960.6911216559783</v>
      </c>
      <c r="K37" s="28">
        <f t="shared" si="1"/>
        <v>46985.77946024952</v>
      </c>
      <c r="M37">
        <f t="shared" si="7"/>
        <v>25</v>
      </c>
      <c r="N37" s="28">
        <v>142295.58745222824</v>
      </c>
      <c r="O37" s="29">
        <f t="shared" si="2"/>
        <v>17075.470494267389</v>
      </c>
      <c r="P37" s="28">
        <f t="shared" si="3"/>
        <v>80547.050503284874</v>
      </c>
    </row>
    <row r="38" spans="2:16" x14ac:dyDescent="0.15">
      <c r="B38">
        <f t="shared" si="4"/>
        <v>26</v>
      </c>
      <c r="C38" s="28">
        <f t="shared" si="5"/>
        <v>146564.45507579509</v>
      </c>
      <c r="E38" t="s">
        <v>25</v>
      </c>
      <c r="F38" s="29" t="e">
        <f>AVERAGE(C73:C75)*0.015*30</f>
        <v>#DIV/0!</v>
      </c>
      <c r="H38">
        <f t="shared" si="6"/>
        <v>26</v>
      </c>
      <c r="I38" s="28">
        <v>146564.45507579509</v>
      </c>
      <c r="J38" s="29">
        <f>I38*8%</f>
        <v>11725.156406063608</v>
      </c>
      <c r="K38" s="28">
        <f t="shared" si="1"/>
        <v>50742.178604515851</v>
      </c>
      <c r="M38">
        <f t="shared" si="7"/>
        <v>26</v>
      </c>
      <c r="N38" s="28">
        <v>146564.45507579509</v>
      </c>
      <c r="O38" s="29">
        <f t="shared" si="2"/>
        <v>17587.734609095409</v>
      </c>
      <c r="P38" s="28">
        <f t="shared" si="3"/>
        <v>76113.267906773763</v>
      </c>
    </row>
    <row r="39" spans="2:16" x14ac:dyDescent="0.15">
      <c r="B39">
        <f t="shared" si="4"/>
        <v>27</v>
      </c>
      <c r="C39" s="28">
        <f t="shared" si="5"/>
        <v>150961.38872806894</v>
      </c>
      <c r="E39" t="s">
        <v>22</v>
      </c>
      <c r="F39" s="29" t="e">
        <f>#REF!/(1.04*(1-(1.04^(-14)))/0.04)</f>
        <v>#REF!</v>
      </c>
      <c r="H39">
        <f t="shared" si="6"/>
        <v>27</v>
      </c>
      <c r="I39" s="28">
        <v>150961.38872806894</v>
      </c>
      <c r="J39" s="29">
        <f t="shared" ref="J39:J55" si="11">I39*8%</f>
        <v>12076.911098245515</v>
      </c>
      <c r="K39" s="28">
        <f t="shared" si="1"/>
        <v>47949.031158395708</v>
      </c>
      <c r="M39">
        <f t="shared" si="7"/>
        <v>27</v>
      </c>
      <c r="N39" s="28">
        <v>150961.38872806894</v>
      </c>
      <c r="O39" s="29">
        <f t="shared" si="2"/>
        <v>18115.366647368272</v>
      </c>
      <c r="P39" s="28">
        <f t="shared" si="3"/>
        <v>71923.546737593555</v>
      </c>
    </row>
    <row r="40" spans="2:16" x14ac:dyDescent="0.15">
      <c r="B40">
        <f t="shared" si="4"/>
        <v>28</v>
      </c>
      <c r="C40" s="28">
        <f t="shared" si="5"/>
        <v>155490.23038991101</v>
      </c>
      <c r="E40" t="s">
        <v>23</v>
      </c>
      <c r="F40" s="29" t="e">
        <f>#REF!/(1.04*(1-(1.04^(-14)))/0.04)</f>
        <v>#REF!</v>
      </c>
      <c r="H40">
        <f t="shared" si="6"/>
        <v>28</v>
      </c>
      <c r="I40" s="28">
        <v>155490.23038991101</v>
      </c>
      <c r="J40" s="29">
        <f t="shared" si="11"/>
        <v>12439.218431192881</v>
      </c>
      <c r="K40" s="28">
        <f t="shared" si="1"/>
        <v>45309.63494784182</v>
      </c>
      <c r="M40">
        <f t="shared" si="7"/>
        <v>28</v>
      </c>
      <c r="N40" s="28">
        <v>155490.23038991101</v>
      </c>
      <c r="O40" s="29">
        <f t="shared" si="2"/>
        <v>18658.827646789319</v>
      </c>
      <c r="P40" s="28">
        <f t="shared" si="3"/>
        <v>67964.452421762719</v>
      </c>
    </row>
    <row r="41" spans="2:16" x14ac:dyDescent="0.15">
      <c r="B41">
        <f t="shared" si="4"/>
        <v>29</v>
      </c>
      <c r="C41" s="28">
        <f t="shared" si="5"/>
        <v>160154.93730160836</v>
      </c>
      <c r="E41" s="39">
        <v>0.09</v>
      </c>
      <c r="F41" s="38"/>
      <c r="H41">
        <f t="shared" si="6"/>
        <v>29</v>
      </c>
      <c r="I41" s="28">
        <v>160154.93730160836</v>
      </c>
      <c r="J41" s="29">
        <f t="shared" si="11"/>
        <v>12812.394984128669</v>
      </c>
      <c r="K41" s="28">
        <f t="shared" si="1"/>
        <v>42815.526602089056</v>
      </c>
      <c r="M41">
        <f t="shared" si="7"/>
        <v>29</v>
      </c>
      <c r="N41" s="28">
        <v>160154.93730160836</v>
      </c>
      <c r="O41" s="29">
        <f t="shared" si="2"/>
        <v>19218.592476193004</v>
      </c>
      <c r="P41" s="28">
        <f t="shared" si="3"/>
        <v>64223.289903133591</v>
      </c>
    </row>
    <row r="42" spans="2:16" x14ac:dyDescent="0.15">
      <c r="B42">
        <f t="shared" si="4"/>
        <v>30</v>
      </c>
      <c r="C42" s="28">
        <f t="shared" si="5"/>
        <v>164959.5854206566</v>
      </c>
      <c r="E42" s="1" t="s">
        <v>20</v>
      </c>
      <c r="H42">
        <f t="shared" si="6"/>
        <v>30</v>
      </c>
      <c r="I42" s="28">
        <v>164959.5854206566</v>
      </c>
      <c r="J42" s="29">
        <f t="shared" si="11"/>
        <v>13196.766833652528</v>
      </c>
      <c r="K42" s="28">
        <f t="shared" si="1"/>
        <v>40458.70862399241</v>
      </c>
      <c r="M42">
        <f t="shared" si="7"/>
        <v>30</v>
      </c>
      <c r="N42" s="28">
        <v>164959.5854206566</v>
      </c>
      <c r="O42" s="29">
        <f t="shared" si="2"/>
        <v>19795.15025047879</v>
      </c>
      <c r="P42" s="28">
        <f t="shared" si="3"/>
        <v>60688.062935988608</v>
      </c>
    </row>
    <row r="43" spans="2:16" x14ac:dyDescent="0.15">
      <c r="B43">
        <f t="shared" si="4"/>
        <v>31</v>
      </c>
      <c r="C43" s="28">
        <f t="shared" si="5"/>
        <v>169908.37298327629</v>
      </c>
      <c r="E43" t="s">
        <v>21</v>
      </c>
      <c r="F43">
        <v>1482146.9938596215</v>
      </c>
      <c r="H43">
        <f t="shared" si="6"/>
        <v>31</v>
      </c>
      <c r="I43" s="28">
        <v>169908.37298327629</v>
      </c>
      <c r="J43" s="29">
        <f t="shared" si="11"/>
        <v>13592.669838662103</v>
      </c>
      <c r="K43" s="28">
        <f t="shared" si="1"/>
        <v>38231.623745607496</v>
      </c>
      <c r="M43">
        <f t="shared" si="7"/>
        <v>31</v>
      </c>
      <c r="N43" s="28">
        <v>169908.37298327629</v>
      </c>
      <c r="O43" s="29">
        <f t="shared" si="2"/>
        <v>20389.004757993152</v>
      </c>
      <c r="P43" s="28">
        <f t="shared" si="3"/>
        <v>57347.43561841124</v>
      </c>
    </row>
    <row r="44" spans="2:16" x14ac:dyDescent="0.15">
      <c r="B44">
        <f t="shared" si="4"/>
        <v>32</v>
      </c>
      <c r="C44" s="28">
        <f t="shared" si="5"/>
        <v>175005.62417277458</v>
      </c>
      <c r="E44" t="s">
        <v>22</v>
      </c>
      <c r="F44">
        <v>2189062.5605983972</v>
      </c>
      <c r="H44">
        <f t="shared" si="6"/>
        <v>32</v>
      </c>
      <c r="I44" s="28">
        <v>175005.62417277458</v>
      </c>
      <c r="J44" s="29">
        <f t="shared" si="11"/>
        <v>14000.449933821967</v>
      </c>
      <c r="K44" s="28">
        <f t="shared" si="1"/>
        <v>36127.130695390573</v>
      </c>
      <c r="M44">
        <f t="shared" si="7"/>
        <v>32</v>
      </c>
      <c r="N44" s="28">
        <v>175005.62417277458</v>
      </c>
      <c r="O44" s="29">
        <f t="shared" si="2"/>
        <v>21000.674900732949</v>
      </c>
      <c r="P44" s="28">
        <f t="shared" si="3"/>
        <v>54190.69604308586</v>
      </c>
    </row>
    <row r="45" spans="2:16" x14ac:dyDescent="0.15">
      <c r="B45">
        <f t="shared" si="4"/>
        <v>33</v>
      </c>
      <c r="C45" s="28">
        <f t="shared" si="5"/>
        <v>180255.79289795781</v>
      </c>
      <c r="E45" t="s">
        <v>23</v>
      </c>
      <c r="F45">
        <v>5195623.0301863933</v>
      </c>
      <c r="H45">
        <f t="shared" si="6"/>
        <v>33</v>
      </c>
      <c r="I45" s="28">
        <v>180255.79289795781</v>
      </c>
      <c r="J45" s="29">
        <f t="shared" si="11"/>
        <v>14420.463431836626</v>
      </c>
      <c r="K45" s="28">
        <f t="shared" si="1"/>
        <v>34138.481299314029</v>
      </c>
      <c r="M45">
        <f t="shared" si="7"/>
        <v>33</v>
      </c>
      <c r="N45" s="28">
        <v>180255.79289795781</v>
      </c>
      <c r="O45" s="29">
        <f t="shared" si="2"/>
        <v>21630.695147754937</v>
      </c>
      <c r="P45" s="28">
        <f t="shared" si="3"/>
        <v>51207.721948971041</v>
      </c>
    </row>
    <row r="46" spans="2:16" x14ac:dyDescent="0.15">
      <c r="B46">
        <f t="shared" si="4"/>
        <v>34</v>
      </c>
      <c r="C46" s="28">
        <f t="shared" si="5"/>
        <v>185663.46668489656</v>
      </c>
      <c r="H46">
        <f t="shared" si="6"/>
        <v>34</v>
      </c>
      <c r="I46" s="28">
        <v>185663.46668489656</v>
      </c>
      <c r="J46" s="29">
        <f t="shared" si="11"/>
        <v>14853.077334791726</v>
      </c>
      <c r="K46" s="28">
        <f t="shared" si="1"/>
        <v>32259.298842471053</v>
      </c>
      <c r="M46">
        <f t="shared" si="7"/>
        <v>34</v>
      </c>
      <c r="N46" s="28">
        <v>185663.46668489656</v>
      </c>
      <c r="O46" s="29">
        <f t="shared" si="2"/>
        <v>22279.616002187588</v>
      </c>
      <c r="P46" s="28">
        <f t="shared" si="3"/>
        <v>48388.948263706581</v>
      </c>
    </row>
    <row r="47" spans="2:16" x14ac:dyDescent="0.15">
      <c r="B47">
        <f t="shared" si="4"/>
        <v>35</v>
      </c>
      <c r="C47" s="28">
        <f t="shared" si="5"/>
        <v>191233.37068544346</v>
      </c>
      <c r="E47" s="1" t="s">
        <v>24</v>
      </c>
      <c r="H47">
        <f t="shared" si="6"/>
        <v>35</v>
      </c>
      <c r="I47" s="28">
        <v>191233.37068544346</v>
      </c>
      <c r="J47" s="29">
        <f t="shared" si="11"/>
        <v>15298.669654835478</v>
      </c>
      <c r="K47" s="28">
        <f t="shared" si="1"/>
        <v>30483.55762178457</v>
      </c>
      <c r="M47">
        <f t="shared" si="7"/>
        <v>35</v>
      </c>
      <c r="N47" s="28">
        <v>191233.37068544346</v>
      </c>
      <c r="O47" s="29">
        <f t="shared" si="2"/>
        <v>22948.004482253215</v>
      </c>
      <c r="P47" s="28">
        <f t="shared" si="3"/>
        <v>45725.33643267685</v>
      </c>
    </row>
    <row r="48" spans="2:16" x14ac:dyDescent="0.15">
      <c r="B48">
        <f t="shared" si="4"/>
        <v>36</v>
      </c>
      <c r="C48" s="28">
        <f t="shared" si="5"/>
        <v>196970.37180600676</v>
      </c>
      <c r="E48" t="s">
        <v>25</v>
      </c>
      <c r="F48" s="29" t="e">
        <f>AVERAGE(C83:C85)*0.015*30</f>
        <v>#DIV/0!</v>
      </c>
      <c r="H48">
        <f t="shared" si="6"/>
        <v>36</v>
      </c>
      <c r="I48" s="28">
        <v>196970.37180600676</v>
      </c>
      <c r="J48" s="29">
        <f t="shared" si="11"/>
        <v>15757.62974448054</v>
      </c>
      <c r="K48" s="28">
        <f t="shared" si="1"/>
        <v>28805.563624255141</v>
      </c>
      <c r="M48">
        <f t="shared" si="7"/>
        <v>36</v>
      </c>
      <c r="N48" s="28">
        <v>196970.37180600676</v>
      </c>
      <c r="O48" s="29">
        <f t="shared" si="2"/>
        <v>23636.444616720812</v>
      </c>
      <c r="P48" s="28">
        <f t="shared" si="3"/>
        <v>43208.345436382711</v>
      </c>
    </row>
    <row r="49" spans="2:16" x14ac:dyDescent="0.15">
      <c r="B49">
        <f t="shared" si="4"/>
        <v>37</v>
      </c>
      <c r="C49" s="28">
        <f t="shared" si="5"/>
        <v>202879.48296018696</v>
      </c>
      <c r="E49" t="s">
        <v>22</v>
      </c>
      <c r="F49" s="29" t="e">
        <f>#REF!/(1.04*(1-(1.04^(-14)))/0.04)</f>
        <v>#REF!</v>
      </c>
      <c r="H49">
        <f t="shared" si="6"/>
        <v>37</v>
      </c>
      <c r="I49" s="28">
        <v>202879.48296018696</v>
      </c>
      <c r="J49" s="29">
        <f t="shared" si="11"/>
        <v>16230.358636814957</v>
      </c>
      <c r="K49" s="28">
        <f t="shared" si="1"/>
        <v>27219.936268791556</v>
      </c>
      <c r="M49">
        <f t="shared" si="7"/>
        <v>37</v>
      </c>
      <c r="N49" s="28">
        <v>202879.48296018696</v>
      </c>
      <c r="O49" s="29">
        <f t="shared" si="2"/>
        <v>24345.537955222433</v>
      </c>
      <c r="P49" s="28">
        <f t="shared" si="3"/>
        <v>40829.904403187327</v>
      </c>
    </row>
    <row r="50" spans="2:16" x14ac:dyDescent="0.15">
      <c r="B50">
        <f t="shared" si="4"/>
        <v>38</v>
      </c>
      <c r="C50" s="28">
        <f t="shared" si="5"/>
        <v>208965.86744899256</v>
      </c>
      <c r="E50" t="s">
        <v>23</v>
      </c>
      <c r="F50" s="29" t="e">
        <f>#REF!/(1.04*(1-(1.04^(-14)))/0.04)</f>
        <v>#REF!</v>
      </c>
      <c r="H50">
        <f t="shared" si="6"/>
        <v>38</v>
      </c>
      <c r="I50" s="28">
        <v>208965.86744899256</v>
      </c>
      <c r="J50" s="29">
        <f t="shared" si="11"/>
        <v>16717.269395919404</v>
      </c>
      <c r="K50" s="28">
        <f t="shared" si="1"/>
        <v>25721.591153078254</v>
      </c>
      <c r="M50">
        <f t="shared" si="7"/>
        <v>38</v>
      </c>
      <c r="N50" s="28">
        <v>208965.86744899256</v>
      </c>
      <c r="O50" s="29">
        <f t="shared" si="2"/>
        <v>25075.904093879108</v>
      </c>
      <c r="P50" s="28">
        <f t="shared" si="3"/>
        <v>38582.386729617385</v>
      </c>
    </row>
    <row r="51" spans="2:16" x14ac:dyDescent="0.15">
      <c r="B51">
        <f t="shared" si="4"/>
        <v>39</v>
      </c>
      <c r="C51" s="28">
        <f t="shared" si="5"/>
        <v>215234.84347246235</v>
      </c>
      <c r="H51">
        <f t="shared" si="6"/>
        <v>39</v>
      </c>
      <c r="I51" s="28">
        <v>215234.84347246235</v>
      </c>
      <c r="J51" s="29">
        <f t="shared" si="11"/>
        <v>17218.787477796988</v>
      </c>
      <c r="K51" s="28">
        <f t="shared" si="1"/>
        <v>24305.723750156518</v>
      </c>
      <c r="M51">
        <f t="shared" si="7"/>
        <v>39</v>
      </c>
      <c r="N51" s="28">
        <v>215234.84347246235</v>
      </c>
      <c r="O51" s="29">
        <f t="shared" si="2"/>
        <v>25828.181216695481</v>
      </c>
      <c r="P51" s="28">
        <f t="shared" si="3"/>
        <v>36458.585625234773</v>
      </c>
    </row>
    <row r="52" spans="2:16" x14ac:dyDescent="0.15">
      <c r="B52">
        <f t="shared" si="4"/>
        <v>40</v>
      </c>
      <c r="C52" s="28">
        <f t="shared" si="5"/>
        <v>221691.88877663622</v>
      </c>
      <c r="H52">
        <f t="shared" si="6"/>
        <v>40</v>
      </c>
      <c r="I52" s="28">
        <v>221691.88877663622</v>
      </c>
      <c r="J52" s="29">
        <f t="shared" si="11"/>
        <v>17735.351102130899</v>
      </c>
      <c r="K52" s="28">
        <f t="shared" si="1"/>
        <v>22967.794002441478</v>
      </c>
      <c r="M52">
        <f t="shared" si="7"/>
        <v>40</v>
      </c>
      <c r="N52" s="28">
        <v>221691.88877663622</v>
      </c>
      <c r="O52" s="29">
        <f t="shared" si="2"/>
        <v>26603.026653196346</v>
      </c>
      <c r="P52" s="28">
        <f t="shared" si="3"/>
        <v>34451.691003662214</v>
      </c>
    </row>
    <row r="53" spans="2:16" x14ac:dyDescent="0.15">
      <c r="B53">
        <f t="shared" si="4"/>
        <v>41</v>
      </c>
      <c r="C53" s="28">
        <f t="shared" si="5"/>
        <v>228342.6454399353</v>
      </c>
      <c r="H53">
        <f t="shared" si="6"/>
        <v>41</v>
      </c>
      <c r="I53" s="28">
        <v>228342.6454399353</v>
      </c>
      <c r="J53" s="29">
        <f t="shared" si="11"/>
        <v>18267.411635194825</v>
      </c>
      <c r="K53" s="28">
        <f t="shared" si="1"/>
        <v>21703.511763774975</v>
      </c>
      <c r="M53">
        <f t="shared" si="7"/>
        <v>41</v>
      </c>
      <c r="N53" s="28">
        <v>228342.6454399353</v>
      </c>
      <c r="O53" s="29">
        <f t="shared" si="2"/>
        <v>27401.117452792234</v>
      </c>
      <c r="P53" s="28">
        <f t="shared" si="3"/>
        <v>32555.267645662458</v>
      </c>
    </row>
    <row r="54" spans="2:16" x14ac:dyDescent="0.15">
      <c r="B54">
        <f t="shared" si="4"/>
        <v>42</v>
      </c>
      <c r="C54" s="28">
        <f t="shared" si="5"/>
        <v>235192.92480313336</v>
      </c>
      <c r="H54">
        <f t="shared" si="6"/>
        <v>42</v>
      </c>
      <c r="I54" s="28">
        <v>235192.92480313336</v>
      </c>
      <c r="J54" s="29">
        <f t="shared" si="11"/>
        <v>18815.433984250671</v>
      </c>
      <c r="K54" s="28">
        <f t="shared" si="1"/>
        <v>20508.823042833232</v>
      </c>
      <c r="M54">
        <f t="shared" si="7"/>
        <v>42</v>
      </c>
      <c r="N54" s="28">
        <v>235192.92480313336</v>
      </c>
      <c r="O54" s="29">
        <f t="shared" si="2"/>
        <v>28223.150976376</v>
      </c>
      <c r="P54" s="28">
        <f t="shared" si="3"/>
        <v>30763.234564249844</v>
      </c>
    </row>
    <row r="55" spans="2:16" x14ac:dyDescent="0.15">
      <c r="B55">
        <f t="shared" si="4"/>
        <v>43</v>
      </c>
      <c r="C55" s="28">
        <f t="shared" si="5"/>
        <v>242248.71254722736</v>
      </c>
      <c r="H55">
        <f t="shared" si="6"/>
        <v>43</v>
      </c>
      <c r="I55" s="28">
        <v>242248.71254722736</v>
      </c>
      <c r="J55" s="29">
        <f t="shared" si="11"/>
        <v>19379.897003778191</v>
      </c>
      <c r="K55" s="28">
        <f t="shared" si="1"/>
        <v>19379.897003778191</v>
      </c>
      <c r="M55">
        <f t="shared" si="7"/>
        <v>43</v>
      </c>
      <c r="N55" s="28">
        <v>242248.71254722736</v>
      </c>
      <c r="O55" s="29">
        <f t="shared" si="2"/>
        <v>29069.845505667283</v>
      </c>
      <c r="P55" s="28">
        <f t="shared" si="3"/>
        <v>29069.845505667283</v>
      </c>
    </row>
    <row r="56" spans="2:16" x14ac:dyDescent="0.15">
      <c r="C56" s="28"/>
      <c r="I56" s="28"/>
      <c r="J56" s="29"/>
      <c r="K56" s="28"/>
    </row>
    <row r="57" spans="2:16" x14ac:dyDescent="0.15">
      <c r="P57" s="29"/>
    </row>
  </sheetData>
  <mergeCells count="4">
    <mergeCell ref="E21:F21"/>
    <mergeCell ref="E31:F31"/>
    <mergeCell ref="E41:F41"/>
    <mergeCell ref="E11:F11"/>
  </mergeCell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7"/>
  <sheetViews>
    <sheetView topLeftCell="C51" workbookViewId="0">
      <selection activeCell="D63" sqref="D63"/>
    </sheetView>
  </sheetViews>
  <sheetFormatPr baseColWidth="10" defaultColWidth="8.83203125" defaultRowHeight="13" x14ac:dyDescent="0.15"/>
  <cols>
    <col min="2" max="2" width="23.5" customWidth="1"/>
    <col min="3" max="3" width="12.1640625" bestFit="1" customWidth="1"/>
    <col min="6" max="6" width="14.6640625" bestFit="1" customWidth="1"/>
    <col min="9" max="9" width="12.1640625" bestFit="1" customWidth="1"/>
    <col min="10" max="11" width="11.1640625" bestFit="1" customWidth="1"/>
    <col min="14" max="14" width="12.1640625" bestFit="1" customWidth="1"/>
    <col min="15" max="15" width="11.1640625" bestFit="1" customWidth="1"/>
    <col min="16" max="16" width="13.6640625" bestFit="1" customWidth="1"/>
  </cols>
  <sheetData>
    <row r="1" spans="2:16" ht="14" thickBot="1" x14ac:dyDescent="0.2">
      <c r="B1" s="4"/>
    </row>
    <row r="2" spans="2:16" x14ac:dyDescent="0.15">
      <c r="B2" s="23" t="s">
        <v>10</v>
      </c>
      <c r="C2" s="14">
        <v>0.03</v>
      </c>
    </row>
    <row r="3" spans="2:16" x14ac:dyDescent="0.15">
      <c r="B3" s="24" t="s">
        <v>11</v>
      </c>
      <c r="C3" s="15">
        <v>7.0000000000000007E-2</v>
      </c>
    </row>
    <row r="4" spans="2:16" x14ac:dyDescent="0.15">
      <c r="B4" s="24" t="s">
        <v>12</v>
      </c>
      <c r="C4" s="15">
        <v>0.04</v>
      </c>
    </row>
    <row r="5" spans="2:16" ht="14" thickBot="1" x14ac:dyDescent="0.2">
      <c r="B5" s="25" t="s">
        <v>13</v>
      </c>
      <c r="C5" s="18">
        <v>14</v>
      </c>
    </row>
    <row r="6" spans="2:16" ht="14" thickBot="1" x14ac:dyDescent="0.2">
      <c r="B6" s="19"/>
      <c r="C6" s="16"/>
    </row>
    <row r="7" spans="2:16" x14ac:dyDescent="0.15">
      <c r="B7" s="23" t="s">
        <v>14</v>
      </c>
      <c r="C7" s="20">
        <v>22</v>
      </c>
    </row>
    <row r="8" spans="2:16" ht="14" thickBot="1" x14ac:dyDescent="0.2">
      <c r="B8" s="25" t="s">
        <v>15</v>
      </c>
      <c r="C8" s="21">
        <v>65</v>
      </c>
    </row>
    <row r="9" spans="2:16" ht="14" thickBot="1" x14ac:dyDescent="0.2">
      <c r="B9" s="19"/>
      <c r="C9" s="17"/>
    </row>
    <row r="10" spans="2:16" ht="14" thickBot="1" x14ac:dyDescent="0.2">
      <c r="B10" s="26" t="s">
        <v>16</v>
      </c>
      <c r="C10" s="22">
        <v>70000</v>
      </c>
    </row>
    <row r="11" spans="2:16" x14ac:dyDescent="0.15">
      <c r="B11" s="4"/>
      <c r="E11" s="39">
        <v>0.05</v>
      </c>
      <c r="F11" s="38"/>
    </row>
    <row r="12" spans="2:16" x14ac:dyDescent="0.15">
      <c r="B12" s="27" t="s">
        <v>18</v>
      </c>
      <c r="C12" s="1" t="s">
        <v>19</v>
      </c>
      <c r="E12" s="1" t="s">
        <v>20</v>
      </c>
      <c r="H12" s="27" t="s">
        <v>18</v>
      </c>
      <c r="I12" s="1" t="s">
        <v>19</v>
      </c>
      <c r="M12" s="1" t="s">
        <v>18</v>
      </c>
      <c r="N12" s="1" t="s">
        <v>19</v>
      </c>
    </row>
    <row r="13" spans="2:16" x14ac:dyDescent="0.15">
      <c r="B13">
        <f>1</f>
        <v>1</v>
      </c>
      <c r="C13" s="28">
        <f>C$10</f>
        <v>70000</v>
      </c>
      <c r="E13" t="s">
        <v>21</v>
      </c>
      <c r="F13">
        <v>1482146.9938596215</v>
      </c>
      <c r="H13">
        <v>1</v>
      </c>
      <c r="I13" s="28">
        <v>70000</v>
      </c>
      <c r="J13" s="29">
        <f>I13*3%</f>
        <v>2100</v>
      </c>
      <c r="K13" s="28">
        <f>J13*(1+$C$3)^(43-H13)</f>
        <v>36002.939238226885</v>
      </c>
      <c r="M13">
        <v>1</v>
      </c>
      <c r="N13" s="28">
        <v>70000</v>
      </c>
      <c r="O13" s="29">
        <f>N13*14%</f>
        <v>9800.0000000000018</v>
      </c>
      <c r="P13" s="28">
        <f>O13*(1+$C$3)^(43-M13)</f>
        <v>168013.71644505882</v>
      </c>
    </row>
    <row r="14" spans="2:16" x14ac:dyDescent="0.15">
      <c r="B14">
        <f>B13+1</f>
        <v>2</v>
      </c>
      <c r="C14" s="28">
        <f>C13*(1+$C$2)</f>
        <v>72100</v>
      </c>
      <c r="E14" t="s">
        <v>22</v>
      </c>
      <c r="F14">
        <v>1403662.6200416121</v>
      </c>
      <c r="H14">
        <f>H13+1</f>
        <v>2</v>
      </c>
      <c r="I14" s="28">
        <v>72100</v>
      </c>
      <c r="J14" s="29">
        <f t="shared" ref="J14:J17" si="0">I14*3%</f>
        <v>2163</v>
      </c>
      <c r="K14" s="28">
        <f t="shared" ref="K14:K55" si="1">J14*(1+$C$3)^(43-H14)</f>
        <v>34657.034967638967</v>
      </c>
      <c r="M14">
        <f>M13+1</f>
        <v>2</v>
      </c>
      <c r="N14" s="28">
        <v>72100</v>
      </c>
      <c r="O14" s="29">
        <f t="shared" ref="O14:O55" si="2">N14*14%</f>
        <v>10094.000000000002</v>
      </c>
      <c r="P14" s="28">
        <f t="shared" ref="P14:P55" si="3">O14*(1+$C$3)^(43-M14)</f>
        <v>161732.82984898187</v>
      </c>
    </row>
    <row r="15" spans="2:16" x14ac:dyDescent="0.15">
      <c r="B15">
        <f t="shared" ref="B15:B55" si="4">B14+1</f>
        <v>3</v>
      </c>
      <c r="C15" s="28">
        <f t="shared" ref="C15:C55" si="5">C14*(1+$C$2)</f>
        <v>74263</v>
      </c>
      <c r="E15" t="s">
        <v>23</v>
      </c>
      <c r="F15">
        <v>2586471.6472661202</v>
      </c>
      <c r="H15">
        <f t="shared" ref="H15:H55" si="6">H14+1</f>
        <v>3</v>
      </c>
      <c r="I15" s="28">
        <v>74263</v>
      </c>
      <c r="J15" s="29">
        <f t="shared" si="0"/>
        <v>2227.89</v>
      </c>
      <c r="K15" s="28">
        <f t="shared" si="1"/>
        <v>33361.444875390778</v>
      </c>
      <c r="M15">
        <f t="shared" ref="M15:M55" si="7">M14+1</f>
        <v>3</v>
      </c>
      <c r="N15" s="28">
        <v>74263</v>
      </c>
      <c r="O15" s="29">
        <f t="shared" si="2"/>
        <v>10396.820000000002</v>
      </c>
      <c r="P15" s="28">
        <f t="shared" si="3"/>
        <v>155686.74275182365</v>
      </c>
    </row>
    <row r="16" spans="2:16" x14ac:dyDescent="0.15">
      <c r="B16">
        <f t="shared" si="4"/>
        <v>4</v>
      </c>
      <c r="C16" s="28">
        <f t="shared" si="5"/>
        <v>76490.89</v>
      </c>
      <c r="H16">
        <f t="shared" si="6"/>
        <v>4</v>
      </c>
      <c r="I16" s="28">
        <v>76490.89</v>
      </c>
      <c r="J16" s="29">
        <f t="shared" si="0"/>
        <v>2294.7266999999997</v>
      </c>
      <c r="K16" s="28">
        <f t="shared" si="1"/>
        <v>32114.28805761916</v>
      </c>
      <c r="M16">
        <f t="shared" si="7"/>
        <v>4</v>
      </c>
      <c r="N16" s="28">
        <v>76490.89</v>
      </c>
      <c r="O16" s="29">
        <f t="shared" si="2"/>
        <v>10708.724600000001</v>
      </c>
      <c r="P16" s="28">
        <f t="shared" si="3"/>
        <v>149866.67760222277</v>
      </c>
    </row>
    <row r="17" spans="2:16" x14ac:dyDescent="0.15">
      <c r="B17">
        <f t="shared" si="4"/>
        <v>5</v>
      </c>
      <c r="C17" s="28">
        <f t="shared" si="5"/>
        <v>78785.616699999999</v>
      </c>
      <c r="E17" s="1" t="s">
        <v>24</v>
      </c>
      <c r="H17">
        <f t="shared" si="6"/>
        <v>5</v>
      </c>
      <c r="I17" s="28">
        <v>78785.616699999999</v>
      </c>
      <c r="J17" s="29">
        <f t="shared" si="0"/>
        <v>2363.5685009999997</v>
      </c>
      <c r="K17" s="28">
        <f t="shared" si="1"/>
        <v>30913.753924624049</v>
      </c>
      <c r="M17">
        <f t="shared" si="7"/>
        <v>5</v>
      </c>
      <c r="N17" s="28">
        <v>78785.616699999999</v>
      </c>
      <c r="O17" s="29">
        <f t="shared" si="2"/>
        <v>11029.986338000001</v>
      </c>
      <c r="P17" s="28">
        <f t="shared" si="3"/>
        <v>144264.18498157893</v>
      </c>
    </row>
    <row r="18" spans="2:16" x14ac:dyDescent="0.15">
      <c r="B18">
        <f t="shared" si="4"/>
        <v>6</v>
      </c>
      <c r="C18" s="28">
        <f t="shared" si="5"/>
        <v>81149.185201</v>
      </c>
      <c r="E18" t="s">
        <v>25</v>
      </c>
      <c r="F18" s="29">
        <f>AVERAGE(C43:C45)*0.015*30</f>
        <v>78775.468508101301</v>
      </c>
      <c r="H18">
        <f t="shared" si="6"/>
        <v>6</v>
      </c>
      <c r="I18" s="28">
        <v>81149.185201</v>
      </c>
      <c r="J18" s="29">
        <f>I18*4%</f>
        <v>3245.96740804</v>
      </c>
      <c r="K18" s="28">
        <f t="shared" si="1"/>
        <v>39677.466096402211</v>
      </c>
      <c r="M18">
        <f t="shared" si="7"/>
        <v>6</v>
      </c>
      <c r="N18" s="28">
        <v>81149.185201</v>
      </c>
      <c r="O18" s="29">
        <f t="shared" si="2"/>
        <v>11360.885928140002</v>
      </c>
      <c r="P18" s="28">
        <f t="shared" si="3"/>
        <v>138871.13133740777</v>
      </c>
    </row>
    <row r="19" spans="2:16" x14ac:dyDescent="0.15">
      <c r="B19">
        <f t="shared" si="4"/>
        <v>7</v>
      </c>
      <c r="C19" s="28">
        <f t="shared" si="5"/>
        <v>83583.660757029997</v>
      </c>
      <c r="E19" t="s">
        <v>22</v>
      </c>
      <c r="F19" s="29" t="e">
        <f>#REF!/(1.04*(1-(1.04^(-14)))/0.04)</f>
        <v>#REF!</v>
      </c>
      <c r="H19">
        <f t="shared" si="6"/>
        <v>7</v>
      </c>
      <c r="I19" s="28">
        <v>83583.660757029997</v>
      </c>
      <c r="J19" s="29">
        <f t="shared" ref="J19:J22" si="8">I19*4%</f>
        <v>3343.3464302811999</v>
      </c>
      <c r="K19" s="28">
        <f t="shared" si="1"/>
        <v>38194.196335789042</v>
      </c>
      <c r="M19">
        <f t="shared" si="7"/>
        <v>7</v>
      </c>
      <c r="N19" s="28">
        <v>83583.660757029997</v>
      </c>
      <c r="O19" s="29">
        <f t="shared" si="2"/>
        <v>11701.7125059842</v>
      </c>
      <c r="P19" s="28">
        <f t="shared" si="3"/>
        <v>133679.68717526164</v>
      </c>
    </row>
    <row r="20" spans="2:16" x14ac:dyDescent="0.15">
      <c r="B20">
        <f t="shared" si="4"/>
        <v>8</v>
      </c>
      <c r="C20" s="28">
        <f t="shared" si="5"/>
        <v>86091.170579740894</v>
      </c>
      <c r="E20" t="s">
        <v>23</v>
      </c>
      <c r="F20" s="29" t="e">
        <f>#REF!/(1.04*(1-(1.04^(-14)))/0.04)</f>
        <v>#REF!</v>
      </c>
      <c r="H20">
        <f t="shared" si="6"/>
        <v>8</v>
      </c>
      <c r="I20" s="28">
        <v>86091.170579740894</v>
      </c>
      <c r="J20" s="29">
        <f t="shared" si="8"/>
        <v>3443.6468231896361</v>
      </c>
      <c r="K20" s="28">
        <f t="shared" si="1"/>
        <v>36766.375912021227</v>
      </c>
      <c r="M20">
        <f t="shared" si="7"/>
        <v>8</v>
      </c>
      <c r="N20" s="28">
        <v>86091.170579740894</v>
      </c>
      <c r="O20" s="29">
        <f t="shared" si="2"/>
        <v>12052.763881163726</v>
      </c>
      <c r="P20" s="28">
        <f t="shared" si="3"/>
        <v>128682.31569207431</v>
      </c>
    </row>
    <row r="21" spans="2:16" x14ac:dyDescent="0.15">
      <c r="B21">
        <f t="shared" si="4"/>
        <v>9</v>
      </c>
      <c r="C21" s="28">
        <f t="shared" si="5"/>
        <v>88673.90569713313</v>
      </c>
      <c r="E21" s="39">
        <v>0.06</v>
      </c>
      <c r="F21" s="39"/>
      <c r="H21">
        <f t="shared" si="6"/>
        <v>9</v>
      </c>
      <c r="I21" s="28">
        <v>88673.90569713313</v>
      </c>
      <c r="J21" s="29">
        <f t="shared" si="8"/>
        <v>3546.9562278853255</v>
      </c>
      <c r="K21" s="28">
        <f t="shared" si="1"/>
        <v>35391.931952693332</v>
      </c>
      <c r="M21">
        <f t="shared" si="7"/>
        <v>9</v>
      </c>
      <c r="N21" s="28">
        <v>88673.90569713313</v>
      </c>
      <c r="O21" s="29">
        <f t="shared" si="2"/>
        <v>12414.346797598639</v>
      </c>
      <c r="P21" s="28">
        <f t="shared" si="3"/>
        <v>123871.76183442667</v>
      </c>
    </row>
    <row r="22" spans="2:16" x14ac:dyDescent="0.15">
      <c r="B22">
        <f t="shared" si="4"/>
        <v>10</v>
      </c>
      <c r="C22" s="28">
        <f t="shared" si="5"/>
        <v>91334.122868047125</v>
      </c>
      <c r="E22" s="1" t="s">
        <v>20</v>
      </c>
      <c r="H22">
        <f t="shared" si="6"/>
        <v>10</v>
      </c>
      <c r="I22" s="28">
        <v>91334.122868047125</v>
      </c>
      <c r="J22" s="29">
        <f t="shared" si="8"/>
        <v>3653.3649147218853</v>
      </c>
      <c r="K22" s="28">
        <f t="shared" si="1"/>
        <v>34068.86907595714</v>
      </c>
      <c r="M22">
        <f t="shared" si="7"/>
        <v>10</v>
      </c>
      <c r="N22" s="28">
        <v>91334.122868047125</v>
      </c>
      <c r="O22" s="29">
        <f t="shared" si="2"/>
        <v>12786.777201526598</v>
      </c>
      <c r="P22" s="28">
        <f t="shared" si="3"/>
        <v>119241.04176584998</v>
      </c>
    </row>
    <row r="23" spans="2:16" x14ac:dyDescent="0.15">
      <c r="B23">
        <f t="shared" si="4"/>
        <v>11</v>
      </c>
      <c r="C23" s="28">
        <f t="shared" si="5"/>
        <v>94074.14655408854</v>
      </c>
      <c r="E23" t="s">
        <v>21</v>
      </c>
      <c r="F23">
        <v>1482146.9938596215</v>
      </c>
      <c r="H23">
        <f t="shared" si="6"/>
        <v>11</v>
      </c>
      <c r="I23" s="28">
        <v>94074.14655408854</v>
      </c>
      <c r="J23" s="29">
        <f>I23*5%</f>
        <v>4703.7073277044274</v>
      </c>
      <c r="K23" s="28">
        <f t="shared" si="1"/>
        <v>40994.083117097958</v>
      </c>
      <c r="M23">
        <f t="shared" si="7"/>
        <v>11</v>
      </c>
      <c r="N23" s="28">
        <v>94074.14655408854</v>
      </c>
      <c r="O23" s="29">
        <f t="shared" si="2"/>
        <v>13170.380517572397</v>
      </c>
      <c r="P23" s="28">
        <f t="shared" si="3"/>
        <v>114783.43272787429</v>
      </c>
    </row>
    <row r="24" spans="2:16" x14ac:dyDescent="0.15">
      <c r="B24">
        <f t="shared" si="4"/>
        <v>12</v>
      </c>
      <c r="C24" s="28">
        <f t="shared" si="5"/>
        <v>96896.370950711193</v>
      </c>
      <c r="E24" t="s">
        <v>22</v>
      </c>
      <c r="F24">
        <v>1403662.6200416121</v>
      </c>
      <c r="H24">
        <f t="shared" si="6"/>
        <v>12</v>
      </c>
      <c r="I24" s="28">
        <v>96896.370950711193</v>
      </c>
      <c r="J24" s="29">
        <f t="shared" ref="J24:J27" si="9">I24*5%</f>
        <v>4844.8185475355594</v>
      </c>
      <c r="K24" s="28">
        <f t="shared" si="1"/>
        <v>39461.594028608313</v>
      </c>
      <c r="M24">
        <f t="shared" si="7"/>
        <v>12</v>
      </c>
      <c r="N24" s="28">
        <v>96896.370950711193</v>
      </c>
      <c r="O24" s="29">
        <f t="shared" si="2"/>
        <v>13565.491933099569</v>
      </c>
      <c r="P24" s="28">
        <f t="shared" si="3"/>
        <v>110492.46328010329</v>
      </c>
    </row>
    <row r="25" spans="2:16" x14ac:dyDescent="0.15">
      <c r="B25">
        <f t="shared" si="4"/>
        <v>13</v>
      </c>
      <c r="C25" s="28">
        <f t="shared" si="5"/>
        <v>99803.262079232532</v>
      </c>
      <c r="E25" t="s">
        <v>23</v>
      </c>
      <c r="F25">
        <v>3103765.9767193445</v>
      </c>
      <c r="H25">
        <f t="shared" si="6"/>
        <v>13</v>
      </c>
      <c r="I25" s="28">
        <v>99803.262079232532</v>
      </c>
      <c r="J25" s="29">
        <f t="shared" si="9"/>
        <v>4990.1631039616268</v>
      </c>
      <c r="K25" s="28">
        <f t="shared" si="1"/>
        <v>37986.394251837904</v>
      </c>
      <c r="M25">
        <f t="shared" si="7"/>
        <v>13</v>
      </c>
      <c r="N25" s="28">
        <v>99803.262079232532</v>
      </c>
      <c r="O25" s="29">
        <f t="shared" si="2"/>
        <v>13972.456691092555</v>
      </c>
      <c r="P25" s="28">
        <f t="shared" si="3"/>
        <v>106361.90390514613</v>
      </c>
    </row>
    <row r="26" spans="2:16" x14ac:dyDescent="0.15">
      <c r="B26">
        <f t="shared" si="4"/>
        <v>14</v>
      </c>
      <c r="C26" s="28">
        <f t="shared" si="5"/>
        <v>102797.35994160951</v>
      </c>
      <c r="H26">
        <f t="shared" si="6"/>
        <v>14</v>
      </c>
      <c r="I26" s="28">
        <v>102797.35994160951</v>
      </c>
      <c r="J26" s="29">
        <f t="shared" si="9"/>
        <v>5139.867997080476</v>
      </c>
      <c r="K26" s="28">
        <f t="shared" si="1"/>
        <v>36566.342130273872</v>
      </c>
      <c r="M26">
        <f t="shared" si="7"/>
        <v>14</v>
      </c>
      <c r="N26" s="28">
        <v>102797.35994160951</v>
      </c>
      <c r="O26" s="29">
        <f t="shared" si="2"/>
        <v>14391.630391825332</v>
      </c>
      <c r="P26" s="28">
        <f t="shared" si="3"/>
        <v>102385.75796476685</v>
      </c>
    </row>
    <row r="27" spans="2:16" x14ac:dyDescent="0.15">
      <c r="B27">
        <f t="shared" si="4"/>
        <v>15</v>
      </c>
      <c r="C27" s="28">
        <f t="shared" si="5"/>
        <v>105881.2807398578</v>
      </c>
      <c r="E27" s="1" t="s">
        <v>24</v>
      </c>
      <c r="H27">
        <f t="shared" si="6"/>
        <v>15</v>
      </c>
      <c r="I27" s="28">
        <v>105881.2807398578</v>
      </c>
      <c r="J27" s="29">
        <f t="shared" si="9"/>
        <v>5294.0640369928906</v>
      </c>
      <c r="K27" s="28">
        <f t="shared" si="1"/>
        <v>35199.376069329061</v>
      </c>
      <c r="M27">
        <f t="shared" si="7"/>
        <v>15</v>
      </c>
      <c r="N27" s="28">
        <v>105881.2807398578</v>
      </c>
      <c r="O27" s="29">
        <f t="shared" si="2"/>
        <v>14823.379303580094</v>
      </c>
      <c r="P27" s="28">
        <f t="shared" si="3"/>
        <v>98558.252994121358</v>
      </c>
    </row>
    <row r="28" spans="2:16" x14ac:dyDescent="0.15">
      <c r="B28">
        <f t="shared" si="4"/>
        <v>16</v>
      </c>
      <c r="C28" s="28">
        <f t="shared" si="5"/>
        <v>109057.71916205353</v>
      </c>
      <c r="E28" t="s">
        <v>25</v>
      </c>
      <c r="F28" s="29">
        <f>AVERAGE(C53:C55)*0.015*30</f>
        <v>105867.64241854439</v>
      </c>
      <c r="H28">
        <f t="shared" si="6"/>
        <v>16</v>
      </c>
      <c r="I28" s="28">
        <v>109057.71916205353</v>
      </c>
      <c r="J28" s="29">
        <f>'SensitivityAnalysis-DiscreSpend'!I28*6%</f>
        <v>6543.4631497232112</v>
      </c>
      <c r="K28" s="28">
        <f t="shared" si="1"/>
        <v>40660.213852047396</v>
      </c>
      <c r="M28">
        <f t="shared" si="7"/>
        <v>16</v>
      </c>
      <c r="N28" s="28">
        <v>109057.71916205353</v>
      </c>
      <c r="O28" s="29">
        <f t="shared" si="2"/>
        <v>15268.080682687496</v>
      </c>
      <c r="P28" s="28">
        <f t="shared" si="3"/>
        <v>94873.832321443944</v>
      </c>
    </row>
    <row r="29" spans="2:16" x14ac:dyDescent="0.15">
      <c r="B29">
        <f t="shared" si="4"/>
        <v>17</v>
      </c>
      <c r="C29" s="28">
        <f t="shared" si="5"/>
        <v>112329.45073691514</v>
      </c>
      <c r="E29" t="s">
        <v>22</v>
      </c>
      <c r="F29" s="29" t="e">
        <f>#REF!/(1.04*(1-(1.04^(-14)))/0.04)</f>
        <v>#REF!</v>
      </c>
      <c r="H29">
        <f t="shared" si="6"/>
        <v>17</v>
      </c>
      <c r="I29" s="28">
        <v>112329.45073691514</v>
      </c>
      <c r="J29" s="29">
        <f>'SensitivityAnalysis-DiscreSpend'!I29*6%</f>
        <v>6739.7670442149083</v>
      </c>
      <c r="K29" s="28">
        <f t="shared" si="1"/>
        <v>39140.20585757833</v>
      </c>
      <c r="M29">
        <f t="shared" si="7"/>
        <v>17</v>
      </c>
      <c r="N29" s="28">
        <v>112329.45073691514</v>
      </c>
      <c r="O29" s="29">
        <f t="shared" si="2"/>
        <v>15726.123103168122</v>
      </c>
      <c r="P29" s="28">
        <f t="shared" si="3"/>
        <v>91327.147001016114</v>
      </c>
    </row>
    <row r="30" spans="2:16" x14ac:dyDescent="0.15">
      <c r="B30">
        <f t="shared" si="4"/>
        <v>18</v>
      </c>
      <c r="C30" s="28">
        <f t="shared" si="5"/>
        <v>115699.33425902259</v>
      </c>
      <c r="E30" t="s">
        <v>23</v>
      </c>
      <c r="F30" s="29" t="e">
        <f>#REF!/(1.04*(1-(1.04^(-14)))/0.04)</f>
        <v>#REF!</v>
      </c>
      <c r="H30">
        <f t="shared" si="6"/>
        <v>18</v>
      </c>
      <c r="I30" s="28">
        <v>115699.33425902259</v>
      </c>
      <c r="J30" s="29">
        <f>'SensitivityAnalysis-DiscreSpend'!I30*6%</f>
        <v>6941.9600555413554</v>
      </c>
      <c r="K30" s="28">
        <f t="shared" si="1"/>
        <v>37677.020591874469</v>
      </c>
      <c r="M30">
        <f t="shared" si="7"/>
        <v>18</v>
      </c>
      <c r="N30" s="28">
        <v>115699.33425902259</v>
      </c>
      <c r="O30" s="29">
        <f t="shared" si="2"/>
        <v>16197.906796263165</v>
      </c>
      <c r="P30" s="28">
        <f t="shared" si="3"/>
        <v>87913.048047707111</v>
      </c>
    </row>
    <row r="31" spans="2:16" x14ac:dyDescent="0.15">
      <c r="B31">
        <f t="shared" si="4"/>
        <v>19</v>
      </c>
      <c r="C31" s="28">
        <f t="shared" si="5"/>
        <v>119170.31428679328</v>
      </c>
      <c r="E31" s="39">
        <v>7.0000000000000007E-2</v>
      </c>
      <c r="F31" s="38"/>
      <c r="H31">
        <f t="shared" si="6"/>
        <v>19</v>
      </c>
      <c r="I31" s="28">
        <v>119170.31428679328</v>
      </c>
      <c r="J31" s="29">
        <f>'SensitivityAnalysis-DiscreSpend'!I31*6%</f>
        <v>7150.2188572075966</v>
      </c>
      <c r="K31" s="28">
        <f t="shared" si="1"/>
        <v>36268.533840776363</v>
      </c>
      <c r="M31">
        <f t="shared" si="7"/>
        <v>19</v>
      </c>
      <c r="N31" s="28">
        <v>119170.31428679328</v>
      </c>
      <c r="O31" s="29">
        <f t="shared" si="2"/>
        <v>16683.844000151061</v>
      </c>
      <c r="P31" s="28">
        <f t="shared" si="3"/>
        <v>84626.578961811523</v>
      </c>
    </row>
    <row r="32" spans="2:16" x14ac:dyDescent="0.15">
      <c r="B32">
        <f t="shared" si="4"/>
        <v>20</v>
      </c>
      <c r="C32" s="28">
        <f t="shared" si="5"/>
        <v>122745.42371539708</v>
      </c>
      <c r="E32" s="1" t="s">
        <v>20</v>
      </c>
      <c r="H32">
        <f t="shared" si="6"/>
        <v>20</v>
      </c>
      <c r="I32" s="28">
        <v>122745.42371539708</v>
      </c>
      <c r="J32" s="29">
        <f>'SensitivityAnalysis-DiscreSpend'!I32*6%</f>
        <v>7364.7254229238242</v>
      </c>
      <c r="K32" s="28">
        <f t="shared" si="1"/>
        <v>34912.700799999671</v>
      </c>
      <c r="M32">
        <f t="shared" si="7"/>
        <v>20</v>
      </c>
      <c r="N32" s="28">
        <v>122745.42371539708</v>
      </c>
      <c r="O32" s="29">
        <f t="shared" si="2"/>
        <v>17184.359320155592</v>
      </c>
      <c r="P32" s="28">
        <f t="shared" si="3"/>
        <v>81462.968533332576</v>
      </c>
    </row>
    <row r="33" spans="2:16" x14ac:dyDescent="0.15">
      <c r="B33">
        <f t="shared" si="4"/>
        <v>21</v>
      </c>
      <c r="C33" s="28">
        <f t="shared" si="5"/>
        <v>126427.78642685899</v>
      </c>
      <c r="E33" t="s">
        <v>21</v>
      </c>
      <c r="F33">
        <v>1482146.9938596215</v>
      </c>
      <c r="H33">
        <f t="shared" si="6"/>
        <v>21</v>
      </c>
      <c r="I33" s="28">
        <v>126427.78642685899</v>
      </c>
      <c r="J33" s="29">
        <f>I33*7%</f>
        <v>8849.9450498801307</v>
      </c>
      <c r="K33" s="28">
        <f t="shared" si="1"/>
        <v>39208.811957632039</v>
      </c>
      <c r="M33">
        <f t="shared" si="7"/>
        <v>21</v>
      </c>
      <c r="N33" s="28">
        <v>126427.78642685899</v>
      </c>
      <c r="O33" s="29">
        <f t="shared" si="2"/>
        <v>17699.890099760261</v>
      </c>
      <c r="P33" s="28">
        <f t="shared" si="3"/>
        <v>78417.623915264077</v>
      </c>
    </row>
    <row r="34" spans="2:16" x14ac:dyDescent="0.15">
      <c r="B34">
        <f t="shared" si="4"/>
        <v>22</v>
      </c>
      <c r="C34" s="28">
        <f t="shared" si="5"/>
        <v>130220.62001966477</v>
      </c>
      <c r="E34" t="s">
        <v>22</v>
      </c>
      <c r="F34">
        <v>1403662.6200416121</v>
      </c>
      <c r="H34">
        <f t="shared" si="6"/>
        <v>22</v>
      </c>
      <c r="I34" s="28">
        <v>130220.62001966477</v>
      </c>
      <c r="J34" s="29">
        <f t="shared" ref="J34:J37" si="10">I34*7%</f>
        <v>9115.4434013765349</v>
      </c>
      <c r="K34" s="28">
        <f t="shared" si="1"/>
        <v>37743.061977907477</v>
      </c>
      <c r="M34">
        <f t="shared" si="7"/>
        <v>22</v>
      </c>
      <c r="N34" s="28">
        <v>130220.62001966477</v>
      </c>
      <c r="O34" s="29">
        <f t="shared" si="2"/>
        <v>18230.88680275307</v>
      </c>
      <c r="P34" s="28">
        <f t="shared" si="3"/>
        <v>75486.123955814954</v>
      </c>
    </row>
    <row r="35" spans="2:16" x14ac:dyDescent="0.15">
      <c r="B35">
        <f t="shared" si="4"/>
        <v>23</v>
      </c>
      <c r="C35" s="28">
        <f t="shared" si="5"/>
        <v>134127.23862025471</v>
      </c>
      <c r="E35" t="s">
        <v>23</v>
      </c>
      <c r="F35">
        <v>3362413.1414459562</v>
      </c>
      <c r="H35">
        <f t="shared" si="6"/>
        <v>23</v>
      </c>
      <c r="I35" s="28">
        <v>134127.23862025471</v>
      </c>
      <c r="J35" s="29">
        <f t="shared" si="10"/>
        <v>9388.9067034178297</v>
      </c>
      <c r="K35" s="28">
        <f t="shared" si="1"/>
        <v>36332.106389948312</v>
      </c>
      <c r="M35">
        <f t="shared" si="7"/>
        <v>23</v>
      </c>
      <c r="N35" s="28">
        <v>134127.23862025471</v>
      </c>
      <c r="O35" s="29">
        <f t="shared" si="2"/>
        <v>18777.813406835659</v>
      </c>
      <c r="P35" s="28">
        <f t="shared" si="3"/>
        <v>72664.212779896625</v>
      </c>
    </row>
    <row r="36" spans="2:16" x14ac:dyDescent="0.15">
      <c r="B36">
        <f t="shared" si="4"/>
        <v>24</v>
      </c>
      <c r="C36" s="28">
        <f t="shared" si="5"/>
        <v>138151.05577886236</v>
      </c>
      <c r="H36">
        <f t="shared" si="6"/>
        <v>24</v>
      </c>
      <c r="I36" s="28">
        <v>138151.05577886236</v>
      </c>
      <c r="J36" s="29">
        <f t="shared" si="10"/>
        <v>9670.5739045203663</v>
      </c>
      <c r="K36" s="28">
        <f t="shared" si="1"/>
        <v>34973.896805277356</v>
      </c>
      <c r="M36">
        <f t="shared" si="7"/>
        <v>24</v>
      </c>
      <c r="N36" s="28">
        <v>138151.05577886236</v>
      </c>
      <c r="O36" s="29">
        <f t="shared" si="2"/>
        <v>19341.147809040733</v>
      </c>
      <c r="P36" s="28">
        <f t="shared" si="3"/>
        <v>69947.793610554712</v>
      </c>
    </row>
    <row r="37" spans="2:16" x14ac:dyDescent="0.15">
      <c r="B37">
        <f t="shared" si="4"/>
        <v>25</v>
      </c>
      <c r="C37" s="28">
        <f t="shared" si="5"/>
        <v>142295.58745222824</v>
      </c>
      <c r="E37" s="1" t="s">
        <v>24</v>
      </c>
      <c r="H37">
        <f t="shared" si="6"/>
        <v>25</v>
      </c>
      <c r="I37" s="28">
        <v>142295.58745222824</v>
      </c>
      <c r="J37" s="29">
        <f t="shared" si="10"/>
        <v>9960.6911216559783</v>
      </c>
      <c r="K37" s="28">
        <f t="shared" si="1"/>
        <v>33666.461410687552</v>
      </c>
      <c r="M37">
        <f t="shared" si="7"/>
        <v>25</v>
      </c>
      <c r="N37" s="28">
        <v>142295.58745222824</v>
      </c>
      <c r="O37" s="29">
        <f t="shared" si="2"/>
        <v>19921.382243311957</v>
      </c>
      <c r="P37" s="28">
        <f t="shared" si="3"/>
        <v>67332.922821375105</v>
      </c>
    </row>
    <row r="38" spans="2:16" x14ac:dyDescent="0.15">
      <c r="B38">
        <f t="shared" si="4"/>
        <v>26</v>
      </c>
      <c r="C38" s="28">
        <f t="shared" si="5"/>
        <v>146564.45507579509</v>
      </c>
      <c r="E38" t="s">
        <v>25</v>
      </c>
      <c r="F38" s="29" t="e">
        <f>AVERAGE(C73:C75)*0.015*30</f>
        <v>#DIV/0!</v>
      </c>
      <c r="H38">
        <f t="shared" si="6"/>
        <v>26</v>
      </c>
      <c r="I38" s="28">
        <v>146564.45507579509</v>
      </c>
      <c r="J38" s="29">
        <f>I38*8%</f>
        <v>11725.156406063608</v>
      </c>
      <c r="K38" s="28">
        <f t="shared" si="1"/>
        <v>37037.602406417274</v>
      </c>
      <c r="M38">
        <f t="shared" si="7"/>
        <v>26</v>
      </c>
      <c r="N38" s="28">
        <v>146564.45507579509</v>
      </c>
      <c r="O38" s="29">
        <f t="shared" si="2"/>
        <v>20519.023710611316</v>
      </c>
      <c r="P38" s="28">
        <f t="shared" si="3"/>
        <v>64815.804211230236</v>
      </c>
    </row>
    <row r="39" spans="2:16" x14ac:dyDescent="0.15">
      <c r="B39">
        <f t="shared" si="4"/>
        <v>27</v>
      </c>
      <c r="C39" s="28">
        <f t="shared" si="5"/>
        <v>150961.38872806894</v>
      </c>
      <c r="E39" t="s">
        <v>22</v>
      </c>
      <c r="F39" s="29" t="e">
        <f>#REF!/(1.04*(1-(1.04^(-14)))/0.04)</f>
        <v>#REF!</v>
      </c>
      <c r="H39">
        <f t="shared" si="6"/>
        <v>27</v>
      </c>
      <c r="I39" s="28">
        <v>150961.38872806894</v>
      </c>
      <c r="J39" s="29">
        <f t="shared" ref="J39:J55" si="11">I39*8%</f>
        <v>12076.911098245515</v>
      </c>
      <c r="K39" s="28">
        <f t="shared" si="1"/>
        <v>35653.019138887656</v>
      </c>
      <c r="M39">
        <f t="shared" si="7"/>
        <v>27</v>
      </c>
      <c r="N39" s="28">
        <v>150961.38872806894</v>
      </c>
      <c r="O39" s="29">
        <f t="shared" si="2"/>
        <v>21134.594421929654</v>
      </c>
      <c r="P39" s="28">
        <f t="shared" si="3"/>
        <v>62392.783493053401</v>
      </c>
    </row>
    <row r="40" spans="2:16" x14ac:dyDescent="0.15">
      <c r="B40">
        <f t="shared" si="4"/>
        <v>28</v>
      </c>
      <c r="C40" s="28">
        <f t="shared" si="5"/>
        <v>155490.23038991101</v>
      </c>
      <c r="E40" t="s">
        <v>23</v>
      </c>
      <c r="F40" s="29" t="e">
        <f>#REF!/(1.04*(1-(1.04^(-14)))/0.04)</f>
        <v>#REF!</v>
      </c>
      <c r="H40">
        <f t="shared" si="6"/>
        <v>28</v>
      </c>
      <c r="I40" s="28">
        <v>155490.23038991101</v>
      </c>
      <c r="J40" s="29">
        <f t="shared" si="11"/>
        <v>12439.218431192881</v>
      </c>
      <c r="K40" s="28">
        <f t="shared" si="1"/>
        <v>34320.195993508685</v>
      </c>
      <c r="M40">
        <f t="shared" si="7"/>
        <v>28</v>
      </c>
      <c r="N40" s="28">
        <v>155490.23038991101</v>
      </c>
      <c r="O40" s="29">
        <f t="shared" si="2"/>
        <v>21768.632254587545</v>
      </c>
      <c r="P40" s="28">
        <f t="shared" si="3"/>
        <v>60060.342988640201</v>
      </c>
    </row>
    <row r="41" spans="2:16" x14ac:dyDescent="0.15">
      <c r="B41">
        <f t="shared" si="4"/>
        <v>29</v>
      </c>
      <c r="C41" s="28">
        <f t="shared" si="5"/>
        <v>160154.93730160836</v>
      </c>
      <c r="E41" s="39">
        <v>0.08</v>
      </c>
      <c r="F41" s="38"/>
      <c r="H41">
        <f t="shared" si="6"/>
        <v>29</v>
      </c>
      <c r="I41" s="28">
        <v>160154.93730160836</v>
      </c>
      <c r="J41" s="29">
        <f t="shared" si="11"/>
        <v>12812.394984128669</v>
      </c>
      <c r="K41" s="28">
        <f t="shared" si="1"/>
        <v>33037.198012442932</v>
      </c>
      <c r="M41">
        <f t="shared" si="7"/>
        <v>29</v>
      </c>
      <c r="N41" s="28">
        <v>160154.93730160836</v>
      </c>
      <c r="O41" s="29">
        <f t="shared" si="2"/>
        <v>22421.69122222517</v>
      </c>
      <c r="P41" s="28">
        <f t="shared" si="3"/>
        <v>57815.096521775136</v>
      </c>
    </row>
    <row r="42" spans="2:16" x14ac:dyDescent="0.15">
      <c r="B42">
        <f t="shared" si="4"/>
        <v>30</v>
      </c>
      <c r="C42" s="28">
        <f t="shared" si="5"/>
        <v>164959.5854206566</v>
      </c>
      <c r="E42" s="1" t="s">
        <v>20</v>
      </c>
      <c r="H42">
        <f t="shared" si="6"/>
        <v>30</v>
      </c>
      <c r="I42" s="28">
        <v>164959.5854206566</v>
      </c>
      <c r="J42" s="29">
        <f t="shared" si="11"/>
        <v>13196.766833652528</v>
      </c>
      <c r="K42" s="28">
        <f t="shared" si="1"/>
        <v>31802.16257272544</v>
      </c>
      <c r="M42">
        <f t="shared" si="7"/>
        <v>30</v>
      </c>
      <c r="N42" s="28">
        <v>164959.5854206566</v>
      </c>
      <c r="O42" s="29">
        <f t="shared" si="2"/>
        <v>23094.341958891928</v>
      </c>
      <c r="P42" s="28">
        <f t="shared" si="3"/>
        <v>55653.784502269533</v>
      </c>
    </row>
    <row r="43" spans="2:16" x14ac:dyDescent="0.15">
      <c r="B43">
        <f t="shared" si="4"/>
        <v>31</v>
      </c>
      <c r="C43" s="28">
        <f t="shared" si="5"/>
        <v>169908.37298327629</v>
      </c>
      <c r="E43" t="s">
        <v>21</v>
      </c>
      <c r="F43">
        <v>1482146.9938596215</v>
      </c>
      <c r="H43">
        <f t="shared" si="6"/>
        <v>31</v>
      </c>
      <c r="I43" s="28">
        <v>169908.37298327629</v>
      </c>
      <c r="J43" s="29">
        <f t="shared" si="11"/>
        <v>13592.669838662103</v>
      </c>
      <c r="K43" s="28">
        <f t="shared" si="1"/>
        <v>30613.296682156262</v>
      </c>
      <c r="M43">
        <f t="shared" si="7"/>
        <v>31</v>
      </c>
      <c r="N43" s="28">
        <v>169908.37298327629</v>
      </c>
      <c r="O43" s="29">
        <f t="shared" si="2"/>
        <v>23787.172217658685</v>
      </c>
      <c r="P43" s="28">
        <f t="shared" si="3"/>
        <v>53573.269193773471</v>
      </c>
    </row>
    <row r="44" spans="2:16" x14ac:dyDescent="0.15">
      <c r="B44">
        <f t="shared" si="4"/>
        <v>32</v>
      </c>
      <c r="C44" s="28">
        <f t="shared" si="5"/>
        <v>175005.62417277458</v>
      </c>
      <c r="E44" t="s">
        <v>22</v>
      </c>
      <c r="F44">
        <v>1403662.6200416121</v>
      </c>
      <c r="H44">
        <f t="shared" si="6"/>
        <v>32</v>
      </c>
      <c r="I44" s="28">
        <v>175005.62417277458</v>
      </c>
      <c r="J44" s="29">
        <f t="shared" si="11"/>
        <v>14000.449933821967</v>
      </c>
      <c r="K44" s="28">
        <f t="shared" si="1"/>
        <v>29468.87437628127</v>
      </c>
      <c r="M44">
        <f t="shared" si="7"/>
        <v>32</v>
      </c>
      <c r="N44" s="28">
        <v>175005.62417277458</v>
      </c>
      <c r="O44" s="29">
        <f t="shared" si="2"/>
        <v>24500.787384188443</v>
      </c>
      <c r="P44" s="28">
        <f t="shared" si="3"/>
        <v>51570.53015849222</v>
      </c>
    </row>
    <row r="45" spans="2:16" x14ac:dyDescent="0.15">
      <c r="B45">
        <f t="shared" si="4"/>
        <v>33</v>
      </c>
      <c r="C45" s="28">
        <f t="shared" si="5"/>
        <v>180255.79289795781</v>
      </c>
      <c r="E45" t="s">
        <v>23</v>
      </c>
      <c r="F45">
        <v>3621060.3061725693</v>
      </c>
      <c r="H45">
        <f t="shared" si="6"/>
        <v>33</v>
      </c>
      <c r="I45" s="28">
        <v>180255.79289795781</v>
      </c>
      <c r="J45" s="29">
        <f t="shared" si="11"/>
        <v>14420.463431836626</v>
      </c>
      <c r="K45" s="28">
        <f t="shared" si="1"/>
        <v>28367.234212681968</v>
      </c>
      <c r="M45">
        <f t="shared" si="7"/>
        <v>33</v>
      </c>
      <c r="N45" s="28">
        <v>180255.79289795781</v>
      </c>
      <c r="O45" s="29">
        <f t="shared" si="2"/>
        <v>25235.811005714095</v>
      </c>
      <c r="P45" s="28">
        <f t="shared" si="3"/>
        <v>49642.659872193435</v>
      </c>
    </row>
    <row r="46" spans="2:16" x14ac:dyDescent="0.15">
      <c r="B46">
        <f t="shared" si="4"/>
        <v>34</v>
      </c>
      <c r="C46" s="28">
        <f t="shared" si="5"/>
        <v>185663.46668489656</v>
      </c>
      <c r="H46">
        <f t="shared" si="6"/>
        <v>34</v>
      </c>
      <c r="I46" s="28">
        <v>185663.46668489656</v>
      </c>
      <c r="J46" s="29">
        <f t="shared" si="11"/>
        <v>14853.077334791726</v>
      </c>
      <c r="K46" s="28">
        <f t="shared" si="1"/>
        <v>27306.77685893685</v>
      </c>
      <c r="M46">
        <f t="shared" si="7"/>
        <v>34</v>
      </c>
      <c r="N46" s="28">
        <v>185663.46668489656</v>
      </c>
      <c r="O46" s="29">
        <f t="shared" si="2"/>
        <v>25992.885335885519</v>
      </c>
      <c r="P46" s="28">
        <f t="shared" si="3"/>
        <v>47786.859503139487</v>
      </c>
    </row>
    <row r="47" spans="2:16" x14ac:dyDescent="0.15">
      <c r="B47">
        <f t="shared" si="4"/>
        <v>35</v>
      </c>
      <c r="C47" s="28">
        <f t="shared" si="5"/>
        <v>191233.37068544346</v>
      </c>
      <c r="E47" s="1" t="s">
        <v>24</v>
      </c>
      <c r="H47">
        <f t="shared" si="6"/>
        <v>35</v>
      </c>
      <c r="I47" s="28">
        <v>191233.37068544346</v>
      </c>
      <c r="J47" s="29">
        <f t="shared" si="11"/>
        <v>15298.669654835478</v>
      </c>
      <c r="K47" s="28">
        <f t="shared" si="1"/>
        <v>26285.962770752292</v>
      </c>
      <c r="M47">
        <f t="shared" si="7"/>
        <v>35</v>
      </c>
      <c r="N47" s="28">
        <v>191233.37068544346</v>
      </c>
      <c r="O47" s="29">
        <f t="shared" si="2"/>
        <v>26772.671895962085</v>
      </c>
      <c r="P47" s="28">
        <f t="shared" si="3"/>
        <v>46000.434848816505</v>
      </c>
    </row>
    <row r="48" spans="2:16" x14ac:dyDescent="0.15">
      <c r="B48">
        <f t="shared" si="4"/>
        <v>36</v>
      </c>
      <c r="C48" s="28">
        <f t="shared" si="5"/>
        <v>196970.37180600676</v>
      </c>
      <c r="E48" t="s">
        <v>25</v>
      </c>
      <c r="F48" s="29" t="e">
        <f>AVERAGE(C83:C85)*0.015*30</f>
        <v>#DIV/0!</v>
      </c>
      <c r="H48">
        <f t="shared" si="6"/>
        <v>36</v>
      </c>
      <c r="I48" s="28">
        <v>196970.37180600676</v>
      </c>
      <c r="J48" s="29">
        <f t="shared" si="11"/>
        <v>15757.62974448054</v>
      </c>
      <c r="K48" s="28">
        <f t="shared" si="1"/>
        <v>25303.30995689239</v>
      </c>
      <c r="M48">
        <f t="shared" si="7"/>
        <v>36</v>
      </c>
      <c r="N48" s="28">
        <v>196970.37180600676</v>
      </c>
      <c r="O48" s="29">
        <f t="shared" si="2"/>
        <v>27575.85205284095</v>
      </c>
      <c r="P48" s="28">
        <f t="shared" si="3"/>
        <v>44280.792424561689</v>
      </c>
    </row>
    <row r="49" spans="2:16" x14ac:dyDescent="0.15">
      <c r="B49">
        <f t="shared" si="4"/>
        <v>37</v>
      </c>
      <c r="C49" s="28">
        <f t="shared" si="5"/>
        <v>202879.48296018696</v>
      </c>
      <c r="E49" t="s">
        <v>22</v>
      </c>
      <c r="F49" s="29" t="e">
        <f>#REF!/(1.04*(1-(1.04^(-14)))/0.04)</f>
        <v>#REF!</v>
      </c>
      <c r="H49">
        <f t="shared" si="6"/>
        <v>37</v>
      </c>
      <c r="I49" s="28">
        <v>202879.48296018696</v>
      </c>
      <c r="J49" s="29">
        <f t="shared" si="11"/>
        <v>16230.358636814957</v>
      </c>
      <c r="K49" s="28">
        <f t="shared" si="1"/>
        <v>24357.391827662766</v>
      </c>
      <c r="M49">
        <f t="shared" si="7"/>
        <v>37</v>
      </c>
      <c r="N49" s="28">
        <v>202879.48296018696</v>
      </c>
      <c r="O49" s="29">
        <f t="shared" si="2"/>
        <v>28403.127614426176</v>
      </c>
      <c r="P49" s="28">
        <f t="shared" si="3"/>
        <v>42625.435698409841</v>
      </c>
    </row>
    <row r="50" spans="2:16" x14ac:dyDescent="0.15">
      <c r="B50">
        <f t="shared" si="4"/>
        <v>38</v>
      </c>
      <c r="C50" s="28">
        <f t="shared" si="5"/>
        <v>208965.86744899256</v>
      </c>
      <c r="E50" t="s">
        <v>23</v>
      </c>
      <c r="F50" s="29" t="e">
        <f>#REF!/(1.04*(1-(1.04^(-14)))/0.04)</f>
        <v>#REF!</v>
      </c>
      <c r="H50">
        <f t="shared" si="6"/>
        <v>38</v>
      </c>
      <c r="I50" s="28">
        <v>208965.86744899256</v>
      </c>
      <c r="J50" s="29">
        <f t="shared" si="11"/>
        <v>16717.269395919404</v>
      </c>
      <c r="K50" s="28">
        <f t="shared" si="1"/>
        <v>23446.835123824905</v>
      </c>
      <c r="M50">
        <f t="shared" si="7"/>
        <v>38</v>
      </c>
      <c r="N50" s="28">
        <v>208965.86744899256</v>
      </c>
      <c r="O50" s="29">
        <f t="shared" si="2"/>
        <v>29255.221442858961</v>
      </c>
      <c r="P50" s="28">
        <f t="shared" si="3"/>
        <v>41031.961466693596</v>
      </c>
    </row>
    <row r="51" spans="2:16" x14ac:dyDescent="0.15">
      <c r="B51">
        <f t="shared" si="4"/>
        <v>39</v>
      </c>
      <c r="C51" s="28">
        <f t="shared" si="5"/>
        <v>215234.84347246235</v>
      </c>
      <c r="H51">
        <f t="shared" si="6"/>
        <v>39</v>
      </c>
      <c r="I51" s="28">
        <v>215234.84347246235</v>
      </c>
      <c r="J51" s="29">
        <f t="shared" si="11"/>
        <v>17218.787477796988</v>
      </c>
      <c r="K51" s="28">
        <f t="shared" si="1"/>
        <v>22570.317922934257</v>
      </c>
      <c r="M51">
        <f t="shared" si="7"/>
        <v>39</v>
      </c>
      <c r="N51" s="28">
        <v>215234.84347246235</v>
      </c>
      <c r="O51" s="29">
        <f t="shared" si="2"/>
        <v>30132.87808614473</v>
      </c>
      <c r="P51" s="28">
        <f t="shared" si="3"/>
        <v>39498.056365134951</v>
      </c>
    </row>
    <row r="52" spans="2:16" x14ac:dyDescent="0.15">
      <c r="B52">
        <f t="shared" si="4"/>
        <v>40</v>
      </c>
      <c r="C52" s="28">
        <f t="shared" si="5"/>
        <v>221691.88877663622</v>
      </c>
      <c r="H52">
        <f t="shared" si="6"/>
        <v>40</v>
      </c>
      <c r="I52" s="28">
        <v>221691.88877663622</v>
      </c>
      <c r="J52" s="29">
        <f t="shared" si="11"/>
        <v>17735.351102130899</v>
      </c>
      <c r="K52" s="28">
        <f t="shared" si="1"/>
        <v>21726.567720207746</v>
      </c>
      <c r="M52">
        <f t="shared" si="7"/>
        <v>40</v>
      </c>
      <c r="N52" s="28">
        <v>221691.88877663622</v>
      </c>
      <c r="O52" s="29">
        <f t="shared" si="2"/>
        <v>31036.864428729074</v>
      </c>
      <c r="P52" s="28">
        <f t="shared" si="3"/>
        <v>38021.493510363551</v>
      </c>
    </row>
    <row r="53" spans="2:16" x14ac:dyDescent="0.15">
      <c r="B53">
        <f t="shared" si="4"/>
        <v>41</v>
      </c>
      <c r="C53" s="28">
        <f t="shared" si="5"/>
        <v>228342.6454399353</v>
      </c>
      <c r="H53">
        <f t="shared" si="6"/>
        <v>41</v>
      </c>
      <c r="I53" s="28">
        <v>228342.6454399353</v>
      </c>
      <c r="J53" s="29">
        <f t="shared" si="11"/>
        <v>18267.411635194825</v>
      </c>
      <c r="K53" s="28">
        <f t="shared" si="1"/>
        <v>20914.359581134555</v>
      </c>
      <c r="M53">
        <f t="shared" si="7"/>
        <v>41</v>
      </c>
      <c r="N53" s="28">
        <v>228342.6454399353</v>
      </c>
      <c r="O53" s="29">
        <f t="shared" si="2"/>
        <v>31967.970361590946</v>
      </c>
      <c r="P53" s="28">
        <f t="shared" si="3"/>
        <v>36600.129266985474</v>
      </c>
    </row>
    <row r="54" spans="2:16" x14ac:dyDescent="0.15">
      <c r="B54">
        <f t="shared" si="4"/>
        <v>42</v>
      </c>
      <c r="C54" s="28">
        <f t="shared" si="5"/>
        <v>235192.92480313336</v>
      </c>
      <c r="H54">
        <f t="shared" si="6"/>
        <v>42</v>
      </c>
      <c r="I54" s="28">
        <v>235192.92480313336</v>
      </c>
      <c r="J54" s="29">
        <f t="shared" si="11"/>
        <v>18815.433984250671</v>
      </c>
      <c r="K54" s="28">
        <f t="shared" si="1"/>
        <v>20132.514363148217</v>
      </c>
      <c r="M54">
        <f t="shared" si="7"/>
        <v>42</v>
      </c>
      <c r="N54" s="28">
        <v>235192.92480313336</v>
      </c>
      <c r="O54" s="29">
        <f t="shared" si="2"/>
        <v>32927.009472438673</v>
      </c>
      <c r="P54" s="28">
        <f t="shared" si="3"/>
        <v>35231.900135509379</v>
      </c>
    </row>
    <row r="55" spans="2:16" x14ac:dyDescent="0.15">
      <c r="B55">
        <f t="shared" si="4"/>
        <v>43</v>
      </c>
      <c r="C55" s="28">
        <f t="shared" si="5"/>
        <v>242248.71254722736</v>
      </c>
      <c r="H55">
        <f t="shared" si="6"/>
        <v>43</v>
      </c>
      <c r="I55" s="28">
        <v>242248.71254722736</v>
      </c>
      <c r="J55" s="29">
        <f t="shared" si="11"/>
        <v>19379.897003778191</v>
      </c>
      <c r="K55" s="28">
        <f t="shared" si="1"/>
        <v>19379.897003778191</v>
      </c>
      <c r="M55">
        <f t="shared" si="7"/>
        <v>43</v>
      </c>
      <c r="N55" s="28">
        <v>242248.71254722736</v>
      </c>
      <c r="O55" s="29">
        <f t="shared" si="2"/>
        <v>33914.819756611832</v>
      </c>
      <c r="P55" s="28">
        <f t="shared" si="3"/>
        <v>33914.819756611832</v>
      </c>
    </row>
    <row r="56" spans="2:16" x14ac:dyDescent="0.15">
      <c r="C56" s="28"/>
      <c r="I56" s="28"/>
      <c r="J56" s="29"/>
      <c r="K56" s="28"/>
    </row>
    <row r="57" spans="2:16" x14ac:dyDescent="0.15">
      <c r="P57" s="29"/>
    </row>
  </sheetData>
  <mergeCells count="4">
    <mergeCell ref="E21:F21"/>
    <mergeCell ref="E31:F31"/>
    <mergeCell ref="E41:F41"/>
    <mergeCell ref="E11:F1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Retirement Plans</vt:lpstr>
      <vt:lpstr>Assumptions</vt:lpstr>
      <vt:lpstr>Value Adjustment</vt:lpstr>
      <vt:lpstr>SensitivityAnalysis-CurrentAge</vt:lpstr>
      <vt:lpstr>SensitivityAnalysis-CurrentPay</vt:lpstr>
      <vt:lpstr>SensitivityAnalysis-Mortality</vt:lpstr>
      <vt:lpstr>SensitivityAnalysis-IR</vt:lpstr>
      <vt:lpstr>SensitivityAnalysis-DiscreSpend</vt:lpstr>
    </vt:vector>
  </TitlesOfParts>
  <Company>Aon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Hsu</dc:creator>
  <cp:lastModifiedBy>Jonathan Boyle</cp:lastModifiedBy>
  <dcterms:created xsi:type="dcterms:W3CDTF">2017-10-08T03:55:19Z</dcterms:created>
  <dcterms:modified xsi:type="dcterms:W3CDTF">2018-03-11T01:37:42Z</dcterms:modified>
</cp:coreProperties>
</file>