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defaultThemeVersion="166925"/>
  <xr:revisionPtr revIDLastSave="0" documentId="8_{5C56710B-E004-45AF-BD57-BA22EA917C7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CF Model" sheetId="5" r:id="rId1"/>
    <sheet name="Discount Rate" sheetId="4" r:id="rId2"/>
    <sheet name="Income Statement" sheetId="1" r:id="rId3"/>
    <sheet name="Balance Sheet" sheetId="2" r:id="rId4"/>
    <sheet name="Cash Flow Statement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B36" i="5"/>
  <c r="M4" i="5"/>
  <c r="E22" i="5"/>
  <c r="H32" i="5"/>
  <c r="H26" i="5"/>
  <c r="M3" i="5"/>
  <c r="L4" i="5"/>
  <c r="L3" i="5"/>
  <c r="K4" i="5"/>
  <c r="K3" i="5"/>
  <c r="J4" i="5"/>
  <c r="J3" i="5"/>
  <c r="I4" i="5"/>
  <c r="I3" i="5"/>
  <c r="H10" i="5"/>
  <c r="D13" i="4"/>
  <c r="B29" i="5"/>
  <c r="C29" i="5"/>
  <c r="D29" i="5"/>
  <c r="D27" i="5"/>
  <c r="E27" i="5"/>
  <c r="H18" i="5"/>
  <c r="H27" i="5" s="1"/>
  <c r="G27" i="5"/>
  <c r="D3" i="4"/>
  <c r="C8" i="4"/>
  <c r="C9" i="4"/>
  <c r="C10" i="4"/>
  <c r="C12" i="4"/>
  <c r="F18" i="5"/>
  <c r="F27" i="5" s="1"/>
  <c r="F16" i="5"/>
  <c r="G16" i="5"/>
  <c r="H16" i="5"/>
  <c r="I16" i="5"/>
  <c r="J16" i="5"/>
  <c r="K16" i="5"/>
  <c r="L16" i="5"/>
  <c r="M16" i="5"/>
  <c r="I18" i="5"/>
  <c r="I27" i="5" s="1"/>
  <c r="J18" i="5"/>
  <c r="J27" i="5" s="1"/>
  <c r="K18" i="5"/>
  <c r="K27" i="5" s="1"/>
  <c r="L18" i="5"/>
  <c r="L27" i="5" s="1"/>
  <c r="M18" i="5"/>
  <c r="M27" i="5" s="1"/>
  <c r="C18" i="5"/>
  <c r="C27" i="5" s="1"/>
  <c r="B18" i="5"/>
  <c r="B27" i="5" s="1"/>
  <c r="C16" i="5"/>
  <c r="D16" i="5"/>
  <c r="E16" i="5"/>
  <c r="B16" i="5"/>
  <c r="I10" i="5"/>
  <c r="L10" i="5"/>
  <c r="M9" i="5"/>
  <c r="L9" i="5"/>
  <c r="K9" i="5"/>
  <c r="J9" i="5"/>
  <c r="I9" i="5"/>
  <c r="I12" i="5" s="1"/>
  <c r="H9" i="5"/>
  <c r="F9" i="5"/>
  <c r="G9" i="5"/>
  <c r="B10" i="5"/>
  <c r="B9" i="5"/>
  <c r="F6" i="5"/>
  <c r="G6" i="5"/>
  <c r="B6" i="5"/>
  <c r="C6" i="5"/>
  <c r="D6" i="5"/>
  <c r="B12" i="5"/>
  <c r="C12" i="5"/>
  <c r="F12" i="5"/>
  <c r="G12" i="5"/>
  <c r="M10" i="5"/>
  <c r="K10" i="5"/>
  <c r="J10" i="5"/>
  <c r="E6" i="5"/>
  <c r="H6" i="5"/>
  <c r="I6" i="5"/>
  <c r="J6" i="5"/>
  <c r="K6" i="5"/>
  <c r="L6" i="5"/>
  <c r="M6" i="5"/>
  <c r="D9" i="5"/>
  <c r="D12" i="5" s="1"/>
  <c r="E9" i="5"/>
  <c r="E12" i="5" s="1"/>
  <c r="E7" i="5"/>
  <c r="B7" i="5"/>
  <c r="B8" i="5" s="1"/>
  <c r="C7" i="5"/>
  <c r="D7" i="5"/>
  <c r="F7" i="5"/>
  <c r="G7" i="5"/>
  <c r="M7" i="5"/>
  <c r="L7" i="5"/>
  <c r="K7" i="5"/>
  <c r="J7" i="5"/>
  <c r="I7" i="5"/>
  <c r="H7" i="5"/>
  <c r="D11" i="4"/>
  <c r="C11" i="4"/>
  <c r="D20" i="4"/>
  <c r="C20" i="4"/>
  <c r="C3" i="4"/>
  <c r="C13" i="4"/>
  <c r="C4" i="4"/>
  <c r="D5" i="4"/>
  <c r="D21" i="4" s="1"/>
  <c r="C2" i="4"/>
  <c r="C5" i="4" s="1"/>
  <c r="J26" i="5" l="1"/>
  <c r="K26" i="5"/>
  <c r="L26" i="5"/>
  <c r="M26" i="5"/>
  <c r="I26" i="5"/>
  <c r="H33" i="5"/>
  <c r="I32" i="5"/>
  <c r="I33" i="5" s="1"/>
  <c r="J32" i="5"/>
  <c r="J33" i="5" s="1"/>
  <c r="K32" i="5"/>
  <c r="K33" i="5" s="1"/>
  <c r="L32" i="5"/>
  <c r="L33" i="5" s="1"/>
  <c r="M32" i="5"/>
  <c r="M33" i="5" s="1"/>
  <c r="D8" i="5"/>
  <c r="E8" i="5"/>
  <c r="B13" i="5"/>
  <c r="E13" i="5"/>
  <c r="E23" i="5" s="1"/>
  <c r="D13" i="5"/>
  <c r="D22" i="5" s="1"/>
  <c r="D23" i="5" s="1"/>
  <c r="C13" i="5"/>
  <c r="M13" i="5"/>
  <c r="L13" i="5"/>
  <c r="K13" i="5"/>
  <c r="J13" i="5"/>
  <c r="I13" i="5"/>
  <c r="H13" i="5"/>
  <c r="G13" i="5"/>
  <c r="F13" i="5"/>
  <c r="M12" i="5"/>
  <c r="L12" i="5"/>
  <c r="K12" i="5"/>
  <c r="J12" i="5"/>
  <c r="H12" i="5"/>
  <c r="M8" i="5"/>
  <c r="M22" i="5" s="1"/>
  <c r="L8" i="5"/>
  <c r="L22" i="5" s="1"/>
  <c r="K8" i="5"/>
  <c r="K22" i="5" s="1"/>
  <c r="J8" i="5"/>
  <c r="J22" i="5" s="1"/>
  <c r="I8" i="5"/>
  <c r="I22" i="5" s="1"/>
  <c r="H8" i="5"/>
  <c r="C21" i="4"/>
  <c r="G8" i="5"/>
  <c r="G22" i="5" s="1"/>
  <c r="G23" i="5" s="1"/>
  <c r="F8" i="5"/>
  <c r="F22" i="5" s="1"/>
  <c r="F23" i="5" s="1"/>
  <c r="B22" i="5"/>
  <c r="B23" i="5" s="1"/>
  <c r="C8" i="5"/>
  <c r="C22" i="5" s="1"/>
  <c r="C23" i="5" s="1"/>
  <c r="H22" i="5" l="1"/>
  <c r="H25" i="5" s="1"/>
  <c r="H23" i="5"/>
  <c r="H31" i="5"/>
  <c r="I23" i="5"/>
  <c r="I25" i="5"/>
  <c r="I31" i="5" s="1"/>
  <c r="J23" i="5"/>
  <c r="J25" i="5"/>
  <c r="J31" i="5" s="1"/>
  <c r="K23" i="5"/>
  <c r="K25" i="5"/>
  <c r="K31" i="5" s="1"/>
  <c r="L23" i="5"/>
  <c r="L25" i="5"/>
  <c r="L31" i="5" s="1"/>
  <c r="M23" i="5"/>
  <c r="M25" i="5"/>
  <c r="M31" i="5" s="1"/>
  <c r="H34" i="5"/>
  <c r="I34" i="5"/>
  <c r="J34" i="5"/>
  <c r="K34" i="5"/>
  <c r="L34" i="5"/>
  <c r="B38" i="5" l="1"/>
  <c r="M34" i="5"/>
  <c r="B37" i="5"/>
  <c r="B39" i="5" l="1"/>
  <c r="B41" i="5" s="1"/>
  <c r="B46" i="5" s="1"/>
  <c r="B48" i="5" s="1"/>
  <c r="B50" i="5" s="1"/>
  <c r="B52" i="5" l="1"/>
</calcChain>
</file>

<file path=xl/sharedStrings.xml><?xml version="1.0" encoding="utf-8"?>
<sst xmlns="http://schemas.openxmlformats.org/spreadsheetml/2006/main" count="145" uniqueCount="118">
  <si>
    <t>Historical*</t>
  </si>
  <si>
    <t>Projected</t>
  </si>
  <si>
    <t>Fiscal Year</t>
  </si>
  <si>
    <t>2020 (Can.)</t>
  </si>
  <si>
    <t>2021 (Can.)</t>
  </si>
  <si>
    <t>2022 (Can.)</t>
  </si>
  <si>
    <t>2023 (Can.)</t>
  </si>
  <si>
    <t>Q2 2023 (US.)</t>
  </si>
  <si>
    <t>Q3 2023</t>
  </si>
  <si>
    <t>Q4 2023</t>
  </si>
  <si>
    <t>Revenue Wholesale</t>
  </si>
  <si>
    <t>Notes</t>
  </si>
  <si>
    <t>Revenue DTC</t>
  </si>
  <si>
    <t>1. Canadian fiscal quarters are off-set by one quarter. For historical data, we thus call the year 202[X]</t>
  </si>
  <si>
    <t>Other</t>
  </si>
  <si>
    <t>ending in April 202[X]. There is thus an overlap between Q1 2023 (US) and 2023 (Can.). Otherwise,</t>
  </si>
  <si>
    <t>DTC Proportion of Revenue</t>
  </si>
  <si>
    <t>we use US fiscal quarters in our projections, and Q2 2023 is equivalent to Q1 2024 (Can.)</t>
  </si>
  <si>
    <t>Total Revenue</t>
  </si>
  <si>
    <t>2. Gross Margin DTC increases slightly over projected years due to increased pricing power outside of Canada</t>
  </si>
  <si>
    <t>Cost of Goods Sold (Direct Costs)</t>
  </si>
  <si>
    <t>3. "Other" revenue is extremely conservatively chosen, especially as it and currency risks are negligible</t>
  </si>
  <si>
    <t>Gross Margin Wholesale (Cons.)</t>
  </si>
  <si>
    <t>4. SG&amp;A decreases over time as DTC store upfront costs decrease, but is placed in "other" SG&amp;A</t>
  </si>
  <si>
    <t>Gross Margin DTC (Cons.)</t>
  </si>
  <si>
    <t>5. Effective tax rate conservative but low due to Canadian tax laws</t>
  </si>
  <si>
    <t>Gross Margin Other</t>
  </si>
  <si>
    <t>6. Our revenue projections are more pessimistic than GOOS management predictions.</t>
  </si>
  <si>
    <t>Gross Margin</t>
  </si>
  <si>
    <t>7. Numbers, unless explictly stated otherwise, are in CAD millions</t>
  </si>
  <si>
    <t>SG&amp;A</t>
  </si>
  <si>
    <t>% SG&amp;A of Revenue Wholesale</t>
  </si>
  <si>
    <t>% SG&amp;A of Revenue DTC</t>
  </si>
  <si>
    <t>Weighted % SG&amp;A of Revenue Wholesale/DTC</t>
  </si>
  <si>
    <t>D&amp;A</t>
  </si>
  <si>
    <t>DTC</t>
  </si>
  <si>
    <t>Wholesale</t>
  </si>
  <si>
    <t>Total Operating Profit</t>
  </si>
  <si>
    <t>Operating Margin</t>
  </si>
  <si>
    <t>EBIT(1-t)</t>
  </si>
  <si>
    <t>Assumed Tax Rate</t>
  </si>
  <si>
    <t>(+) D&amp;A</t>
  </si>
  <si>
    <t>(-) Change in NWC</t>
  </si>
  <si>
    <t>(-) CapEx</t>
  </si>
  <si>
    <t>UFCF</t>
  </si>
  <si>
    <t>Discount Rate</t>
  </si>
  <si>
    <t>Compounded Discount Rate</t>
  </si>
  <si>
    <t>PV of UFCF</t>
  </si>
  <si>
    <t>Perpetual Growth Rate</t>
  </si>
  <si>
    <t>PV of Projected FCFs</t>
  </si>
  <si>
    <t>Implied Terminal Value</t>
  </si>
  <si>
    <t>PV of Terminal Value</t>
  </si>
  <si>
    <t>Implied EV</t>
  </si>
  <si>
    <t>(+) Cash</t>
  </si>
  <si>
    <t>(-) Preferred Equity</t>
  </si>
  <si>
    <t>(-) Debt</t>
  </si>
  <si>
    <t>Market Capitalization</t>
  </si>
  <si>
    <t>Basic Shares</t>
  </si>
  <si>
    <t>Target Share Price (CAD)</t>
  </si>
  <si>
    <t>Current CAD/USD Conversion</t>
  </si>
  <si>
    <t>Target Share Price (USD)</t>
  </si>
  <si>
    <t>Current Share Price</t>
  </si>
  <si>
    <t>Implied Upside</t>
  </si>
  <si>
    <t>Cost of Equity</t>
  </si>
  <si>
    <t>Base</t>
  </si>
  <si>
    <t>Con.</t>
  </si>
  <si>
    <t>Risk-Free Rate</t>
  </si>
  <si>
    <t>Equity Beta</t>
  </si>
  <si>
    <t>Expected Market Return</t>
  </si>
  <si>
    <t>Cost of Debt</t>
  </si>
  <si>
    <t>Short Term Interest Rate</t>
  </si>
  <si>
    <t>Current Portion of Long-Term Debt Interest Rate</t>
  </si>
  <si>
    <t>Long-Term Interest Rate</t>
  </si>
  <si>
    <t>Pre-tax Cost of Debt</t>
  </si>
  <si>
    <t>Effective Tax Rate</t>
  </si>
  <si>
    <t>Post-tax Cost of Debt</t>
  </si>
  <si>
    <t>Weighted Average Cost of Capital</t>
  </si>
  <si>
    <t>Short Term Debt</t>
  </si>
  <si>
    <t>Current Portion of Long-Term Debt</t>
  </si>
  <si>
    <t>Long-Term Debt</t>
  </si>
  <si>
    <t>Debt + Capital</t>
  </si>
  <si>
    <t>WACC</t>
  </si>
  <si>
    <t>(in million USD)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</si>
  <si>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</si>
  <si>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</si>
  <si>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</si>
  <si>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</si>
  <si>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</si>
  <si>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</si>
  <si>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</si>
  <si>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</si>
  <si>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</si>
  <si>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TTM</t>
  </si>
  <si>
    <t>Revenue</t>
  </si>
  <si>
    <t>Cost of Revenue</t>
  </si>
  <si>
    <t>Gross Profit</t>
  </si>
  <si>
    <t>(Selling, General &amp; Administrative)</t>
  </si>
  <si>
    <t>Total Operating Expenses</t>
  </si>
  <si>
    <t>Operating Income</t>
  </si>
  <si>
    <t>Earnings From Continuing Operations</t>
  </si>
  <si>
    <t>Income Tax</t>
  </si>
  <si>
    <t>Net Income</t>
  </si>
  <si>
    <t>Last Report</t>
  </si>
  <si>
    <t>Total Cash &amp; ST Investments</t>
  </si>
  <si>
    <t>Total Receivables</t>
  </si>
  <si>
    <t>Total Current Assets</t>
  </si>
  <si>
    <t>PP&amp;E</t>
  </si>
  <si>
    <t>Total Assets</t>
  </si>
  <si>
    <t>Total Current Liabilities</t>
  </si>
  <si>
    <t>Total Liabilities</t>
  </si>
  <si>
    <t>Total Common Equity</t>
  </si>
  <si>
    <t>Total Liabilities &amp; Equity</t>
  </si>
  <si>
    <t>Depreciation &amp; Amortization</t>
  </si>
  <si>
    <t>Cash From Operations</t>
  </si>
  <si>
    <t>Cash From Investing</t>
  </si>
  <si>
    <t>Total Debt Issued</t>
  </si>
  <si>
    <t>Total Debt Repaid</t>
  </si>
  <si>
    <t>Cash From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</si>
</sst>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rgb="FFFFFFFF"/>
      <name val="Calibri"/>
      <scheme val="minor"/>
    </font>
    <font>
      <sz val="11"/>
      <color rgb="FF030EED"/>
      <name val="Calibri"/>
      <family val="2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000000"/>
      <name val="Aptos Narrow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scheme val="minor"/>
    </font>
    <font>
      <i/>
      <sz val="11"/>
      <color rgb="FF000000"/>
      <name val="Calibri"/>
      <family val="2"/>
      <scheme val="minor"/>
    </font>
    <font>
      <sz val="11"/>
      <color rgb="FF005E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1CBFC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5" fillId="0" borderId="4" xfId="0" applyFont="1" applyBorder="1"/>
    <xf numFmtId="9" fontId="4" fillId="0" borderId="0" xfId="0" applyNumberFormat="1" applyFont="1" applyAlignment="1">
      <alignment horizontal="right"/>
    </xf>
    <xf numFmtId="9" fontId="4" fillId="0" borderId="5" xfId="0" applyNumberFormat="1" applyFont="1" applyBorder="1"/>
    <xf numFmtId="0" fontId="0" fillId="0" borderId="4" xfId="0" applyBorder="1"/>
    <xf numFmtId="10" fontId="0" fillId="0" borderId="0" xfId="0" applyNumberFormat="1"/>
    <xf numFmtId="10" fontId="0" fillId="0" borderId="5" xfId="0" applyNumberFormat="1" applyBorder="1"/>
    <xf numFmtId="0" fontId="0" fillId="0" borderId="6" xfId="0" applyBorder="1"/>
    <xf numFmtId="10" fontId="0" fillId="0" borderId="7" xfId="0" applyNumberFormat="1" applyBorder="1"/>
    <xf numFmtId="10" fontId="0" fillId="0" borderId="8" xfId="0" applyNumberFormat="1" applyBorder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10" fontId="4" fillId="0" borderId="5" xfId="0" applyNumberFormat="1" applyFont="1" applyBorder="1"/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5" xfId="0" applyBorder="1"/>
    <xf numFmtId="9" fontId="0" fillId="0" borderId="0" xfId="0" applyNumberFormat="1"/>
    <xf numFmtId="0" fontId="6" fillId="0" borderId="5" xfId="0" applyFont="1" applyBorder="1" applyAlignment="1">
      <alignment horizontal="left" indent="1"/>
    </xf>
    <xf numFmtId="0" fontId="6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Border="1"/>
    <xf numFmtId="0" fontId="0" fillId="0" borderId="5" xfId="0" applyBorder="1" applyAlignment="1">
      <alignment horizontal="left" indent="1"/>
    </xf>
    <xf numFmtId="0" fontId="0" fillId="0" borderId="8" xfId="0" applyBorder="1"/>
    <xf numFmtId="0" fontId="0" fillId="0" borderId="7" xfId="0" applyBorder="1"/>
    <xf numFmtId="2" fontId="0" fillId="0" borderId="0" xfId="0" applyNumberFormat="1"/>
    <xf numFmtId="0" fontId="6" fillId="0" borderId="5" xfId="0" applyFont="1" applyBorder="1"/>
    <xf numFmtId="10" fontId="7" fillId="0" borderId="0" xfId="0" applyNumberFormat="1" applyFont="1"/>
    <xf numFmtId="0" fontId="0" fillId="6" borderId="0" xfId="0" applyFill="1"/>
    <xf numFmtId="0" fontId="0" fillId="0" borderId="0" xfId="0" applyAlignment="1">
      <alignment horizontal="right"/>
    </xf>
    <xf numFmtId="0" fontId="12" fillId="0" borderId="0" xfId="0" applyFont="1"/>
    <xf numFmtId="2" fontId="6" fillId="0" borderId="0" xfId="0" applyNumberFormat="1" applyFont="1" applyAlignment="1">
      <alignment horizontal="right"/>
    </xf>
    <xf numFmtId="164" fontId="0" fillId="0" borderId="0" xfId="0" applyNumberFormat="1"/>
    <xf numFmtId="10" fontId="9" fillId="0" borderId="0" xfId="0" applyNumberFormat="1" applyFont="1"/>
    <xf numFmtId="0" fontId="10" fillId="0" borderId="0" xfId="0" applyFont="1"/>
    <xf numFmtId="2" fontId="0" fillId="0" borderId="5" xfId="0" applyNumberFormat="1" applyBorder="1"/>
    <xf numFmtId="165" fontId="0" fillId="0" borderId="0" xfId="0" applyNumberFormat="1"/>
    <xf numFmtId="0" fontId="14" fillId="0" borderId="5" xfId="0" applyFont="1" applyBorder="1"/>
    <xf numFmtId="10" fontId="15" fillId="0" borderId="0" xfId="0" applyNumberFormat="1" applyFont="1"/>
    <xf numFmtId="0" fontId="9" fillId="0" borderId="9" xfId="0" applyFont="1" applyBorder="1"/>
    <xf numFmtId="2" fontId="9" fillId="0" borderId="0" xfId="0" applyNumberFormat="1" applyFont="1"/>
    <xf numFmtId="2" fontId="17" fillId="0" borderId="0" xfId="0" applyNumberFormat="1" applyFont="1"/>
    <xf numFmtId="9" fontId="8" fillId="5" borderId="0" xfId="0" applyNumberFormat="1" applyFont="1" applyFill="1"/>
    <xf numFmtId="3" fontId="0" fillId="6" borderId="0" xfId="0" applyNumberFormat="1" applyFill="1"/>
    <xf numFmtId="0" fontId="18" fillId="6" borderId="1" xfId="0" applyFont="1" applyFill="1" applyBorder="1"/>
    <xf numFmtId="0" fontId="0" fillId="6" borderId="4" xfId="0" applyFill="1" applyBorder="1"/>
    <xf numFmtId="0" fontId="0" fillId="6" borderId="6" xfId="0" applyFill="1" applyBorder="1"/>
    <xf numFmtId="0" fontId="13" fillId="6" borderId="2" xfId="0" applyFont="1" applyFill="1" applyBorder="1" applyAlignment="1">
      <alignment horizontal="right"/>
    </xf>
    <xf numFmtId="0" fontId="13" fillId="6" borderId="3" xfId="0" applyFont="1" applyFill="1" applyBorder="1" applyAlignment="1">
      <alignment horizontal="right"/>
    </xf>
    <xf numFmtId="0" fontId="19" fillId="6" borderId="4" xfId="0" applyFont="1" applyFill="1" applyBorder="1"/>
    <xf numFmtId="0" fontId="11" fillId="6" borderId="4" xfId="0" applyFont="1" applyFill="1" applyBorder="1"/>
    <xf numFmtId="2" fontId="0" fillId="0" borderId="7" xfId="0" applyNumberFormat="1" applyBorder="1"/>
    <xf numFmtId="0" fontId="0" fillId="0" borderId="7" xfId="0" applyBorder="1" applyAlignment="1">
      <alignment horizontal="right"/>
    </xf>
    <xf numFmtId="4" fontId="0" fillId="6" borderId="0" xfId="0" applyNumberFormat="1" applyFill="1"/>
    <xf numFmtId="2" fontId="0" fillId="6" borderId="0" xfId="0" applyNumberFormat="1" applyFill="1"/>
    <xf numFmtId="2" fontId="0" fillId="6" borderId="5" xfId="0" applyNumberFormat="1" applyFill="1" applyBorder="1"/>
    <xf numFmtId="2" fontId="0" fillId="6" borderId="7" xfId="0" applyNumberFormat="1" applyFill="1" applyBorder="1"/>
    <xf numFmtId="2" fontId="0" fillId="6" borderId="8" xfId="0" applyNumberFormat="1" applyFill="1" applyBorder="1"/>
    <xf numFmtId="4" fontId="0" fillId="6" borderId="5" xfId="0" applyNumberFormat="1" applyFill="1" applyBorder="1"/>
    <xf numFmtId="4" fontId="0" fillId="6" borderId="7" xfId="0" applyNumberFormat="1" applyFill="1" applyBorder="1"/>
    <xf numFmtId="4" fontId="0" fillId="6" borderId="8" xfId="0" applyNumberFormat="1" applyFill="1" applyBorder="1"/>
    <xf numFmtId="9" fontId="0" fillId="0" borderId="0" xfId="0" applyNumberFormat="1" applyAlignment="1">
      <alignment horizontal="center"/>
    </xf>
    <xf numFmtId="0" fontId="8" fillId="0" borderId="0" xfId="0" applyFont="1"/>
    <xf numFmtId="0" fontId="8" fillId="0" borderId="5" xfId="0" applyFont="1" applyBorder="1"/>
    <xf numFmtId="2" fontId="6" fillId="0" borderId="5" xfId="0" applyNumberFormat="1" applyFont="1" applyBorder="1" applyAlignment="1">
      <alignment horizontal="right"/>
    </xf>
    <xf numFmtId="0" fontId="9" fillId="0" borderId="10" xfId="0" applyFont="1" applyBorder="1"/>
    <xf numFmtId="0" fontId="9" fillId="0" borderId="0" xfId="0" applyFont="1"/>
    <xf numFmtId="0" fontId="9" fillId="0" borderId="5" xfId="0" applyFont="1" applyBorder="1"/>
    <xf numFmtId="9" fontId="8" fillId="0" borderId="0" xfId="0" applyNumberFormat="1" applyFont="1"/>
    <xf numFmtId="9" fontId="8" fillId="0" borderId="5" xfId="0" applyNumberFormat="1" applyFont="1" applyBorder="1"/>
    <xf numFmtId="10" fontId="8" fillId="0" borderId="0" xfId="0" applyNumberFormat="1" applyFont="1"/>
    <xf numFmtId="10" fontId="8" fillId="0" borderId="5" xfId="0" applyNumberFormat="1" applyFont="1" applyBorder="1"/>
    <xf numFmtId="10" fontId="15" fillId="0" borderId="5" xfId="0" applyNumberFormat="1" applyFont="1" applyBorder="1"/>
    <xf numFmtId="10" fontId="7" fillId="0" borderId="5" xfId="0" applyNumberFormat="1" applyFont="1" applyBorder="1"/>
    <xf numFmtId="10" fontId="16" fillId="0" borderId="0" xfId="0" applyNumberFormat="1" applyFont="1"/>
    <xf numFmtId="10" fontId="16" fillId="0" borderId="5" xfId="0" applyNumberFormat="1" applyFont="1" applyBorder="1"/>
    <xf numFmtId="2" fontId="0" fillId="0" borderId="8" xfId="0" applyNumberForma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  <color rgb="FF005E00"/>
      <color rgb="FF006E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F7F9-7C68-4C6C-ADAD-FDF2D0438596}">
  <sheetPr>
    <tabColor rgb="FFC00000"/>
  </sheetPr>
  <dimension ref="A1:O52"/>
  <sheetViews>
    <sheetView showGridLines="0" tabSelected="1" workbookViewId="0">
      <selection activeCell="O11" sqref="O11"/>
    </sheetView>
  </sheetViews>
  <sheetFormatPr defaultRowHeight="15"/>
  <cols>
    <col min="1" max="1" width="43.140625" style="18" customWidth="1"/>
    <col min="2" max="3" width="10.85546875" customWidth="1"/>
    <col min="4" max="4" width="11.5703125" customWidth="1"/>
    <col min="5" max="5" width="11.85546875" customWidth="1"/>
    <col min="6" max="6" width="13" customWidth="1"/>
    <col min="7" max="7" width="9.5703125" customWidth="1"/>
    <col min="8" max="8" width="9.140625" bestFit="1" customWidth="1"/>
    <col min="9" max="9" width="11.42578125" bestFit="1" customWidth="1"/>
  </cols>
  <sheetData>
    <row r="1" spans="1:15">
      <c r="A1"/>
      <c r="B1" s="79" t="s">
        <v>0</v>
      </c>
      <c r="C1" s="80"/>
      <c r="D1" s="80"/>
      <c r="E1" s="80"/>
      <c r="F1" s="80"/>
      <c r="G1" s="81"/>
      <c r="H1" s="82" t="s">
        <v>1</v>
      </c>
      <c r="I1" s="83"/>
      <c r="J1" s="83"/>
      <c r="K1" s="83"/>
      <c r="L1" s="83"/>
      <c r="M1" s="84"/>
    </row>
    <row r="2" spans="1:15" s="26" customFormat="1">
      <c r="A2" s="25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7</v>
      </c>
      <c r="G2" s="54" t="s">
        <v>8</v>
      </c>
      <c r="H2" s="54" t="s">
        <v>9</v>
      </c>
      <c r="I2" s="26">
        <v>2024</v>
      </c>
      <c r="J2" s="26">
        <v>2025</v>
      </c>
      <c r="K2" s="26">
        <v>2026</v>
      </c>
      <c r="L2" s="26">
        <v>2027</v>
      </c>
      <c r="M2" s="25">
        <v>2028</v>
      </c>
    </row>
    <row r="3" spans="1:15">
      <c r="A3" s="22" t="s">
        <v>10</v>
      </c>
      <c r="B3">
        <v>424</v>
      </c>
      <c r="C3">
        <v>312.3</v>
      </c>
      <c r="D3">
        <v>348.5</v>
      </c>
      <c r="E3">
        <v>373.8</v>
      </c>
      <c r="F3">
        <v>27.1</v>
      </c>
      <c r="G3">
        <v>162</v>
      </c>
      <c r="H3" s="64">
        <f>200</f>
        <v>200</v>
      </c>
      <c r="I3" s="64">
        <f>1.2*465</f>
        <v>558</v>
      </c>
      <c r="J3" s="64">
        <f>1.2*500</f>
        <v>600</v>
      </c>
      <c r="K3" s="64">
        <f>1.2*550</f>
        <v>660</v>
      </c>
      <c r="L3" s="64">
        <f>1.2*580</f>
        <v>696</v>
      </c>
      <c r="M3" s="65">
        <f>1.2*600</f>
        <v>720</v>
      </c>
      <c r="O3" t="s">
        <v>11</v>
      </c>
    </row>
    <row r="4" spans="1:15">
      <c r="A4" s="22" t="s">
        <v>12</v>
      </c>
      <c r="B4">
        <v>525</v>
      </c>
      <c r="C4">
        <v>528.20000000000005</v>
      </c>
      <c r="D4">
        <v>740.4</v>
      </c>
      <c r="E4">
        <v>807.3</v>
      </c>
      <c r="F4">
        <v>55.8</v>
      </c>
      <c r="G4">
        <v>109.4</v>
      </c>
      <c r="H4" s="64">
        <v>150</v>
      </c>
      <c r="I4" s="64">
        <f>1.2*990</f>
        <v>1188</v>
      </c>
      <c r="J4" s="64">
        <f>1.2*1100</f>
        <v>1320</v>
      </c>
      <c r="K4" s="64">
        <f>1.2*1200</f>
        <v>1440</v>
      </c>
      <c r="L4" s="64">
        <f>1.2*1300</f>
        <v>1560</v>
      </c>
      <c r="M4" s="65">
        <f>1.2*1400</f>
        <v>1680</v>
      </c>
      <c r="O4" t="s">
        <v>13</v>
      </c>
    </row>
    <row r="5" spans="1:15">
      <c r="A5" s="22" t="s">
        <v>14</v>
      </c>
      <c r="B5">
        <v>9.1</v>
      </c>
      <c r="C5">
        <v>54.2</v>
      </c>
      <c r="D5">
        <v>9.5</v>
      </c>
      <c r="E5">
        <v>35.9</v>
      </c>
      <c r="F5">
        <v>1.9</v>
      </c>
      <c r="G5">
        <v>9.6999999999999993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5">
        <v>0</v>
      </c>
      <c r="O5" t="s">
        <v>15</v>
      </c>
    </row>
    <row r="6" spans="1:15">
      <c r="A6" s="21" t="s">
        <v>16</v>
      </c>
      <c r="B6" s="33">
        <f t="shared" ref="B6:C6" si="0">B4/(B3+B4+B5)</f>
        <v>0.54795950318338382</v>
      </c>
      <c r="C6" s="33">
        <f t="shared" si="0"/>
        <v>0.59036548563764391</v>
      </c>
      <c r="D6" s="33">
        <f>D4/(D3+D4+D5)</f>
        <v>0.67407137654770566</v>
      </c>
      <c r="E6" s="33">
        <f>E4/(E3+E4+E5)</f>
        <v>0.66335250616269514</v>
      </c>
      <c r="F6" s="33">
        <f t="shared" ref="F6" si="1">F4/(F3+F4+F5)</f>
        <v>0.65801886792452813</v>
      </c>
      <c r="G6" s="33">
        <f t="shared" ref="G6" si="2">G4/(G3+G4+G5)</f>
        <v>0.3891853432942014</v>
      </c>
      <c r="H6" s="33">
        <f>H4/(H3+H4)</f>
        <v>0.42857142857142855</v>
      </c>
      <c r="I6" s="33">
        <f>I4/(I3+I4)</f>
        <v>0.68041237113402064</v>
      </c>
      <c r="J6" s="33">
        <f>J4/(J3+J4)</f>
        <v>0.6875</v>
      </c>
      <c r="K6" s="33">
        <f>K4/(K3+K4)</f>
        <v>0.68571428571428572</v>
      </c>
      <c r="L6" s="33">
        <f>L4/(L3+L4)</f>
        <v>0.69148936170212771</v>
      </c>
      <c r="M6" s="66">
        <f>M4/(M3+M4)</f>
        <v>0.7</v>
      </c>
      <c r="O6" t="s">
        <v>17</v>
      </c>
    </row>
    <row r="7" spans="1:15">
      <c r="A7" s="23" t="s">
        <v>18</v>
      </c>
      <c r="B7" s="41">
        <f>B4+B3+B5</f>
        <v>958.1</v>
      </c>
      <c r="C7" s="41">
        <f>C4+C3+C5</f>
        <v>894.7</v>
      </c>
      <c r="D7" s="41">
        <f>D4+D3+D5</f>
        <v>1098.4000000000001</v>
      </c>
      <c r="E7" s="41">
        <f>E4+E3+E5</f>
        <v>1217</v>
      </c>
      <c r="F7" s="41">
        <f>F4+F3+F5</f>
        <v>84.800000000000011</v>
      </c>
      <c r="G7" s="41">
        <f>G4+G3+G5</f>
        <v>281.09999999999997</v>
      </c>
      <c r="H7" s="41">
        <f>H4+H3</f>
        <v>350</v>
      </c>
      <c r="I7" s="41">
        <f>I4+I3</f>
        <v>1746</v>
      </c>
      <c r="J7" s="41">
        <f>J4+J3</f>
        <v>1920</v>
      </c>
      <c r="K7" s="41">
        <f>K4+K3</f>
        <v>2100</v>
      </c>
      <c r="L7" s="41">
        <f>L4+L3</f>
        <v>2256</v>
      </c>
      <c r="M7" s="67">
        <f>M4+M3</f>
        <v>2400</v>
      </c>
      <c r="O7" t="s">
        <v>19</v>
      </c>
    </row>
    <row r="8" spans="1:15">
      <c r="A8" s="18" t="s">
        <v>20</v>
      </c>
      <c r="B8" s="42">
        <f>B7-(B7*B12)</f>
        <v>364.79150000000004</v>
      </c>
      <c r="C8" s="42">
        <f t="shared" ref="C8" si="3">C7-(C7*C12)</f>
        <v>345.17619999999999</v>
      </c>
      <c r="D8" s="42">
        <f t="shared" ref="D8" si="4">D7-(D7*D12)</f>
        <v>365.00900000000013</v>
      </c>
      <c r="E8" s="42">
        <f t="shared" ref="E8" si="5">E7-(E7*E12)</f>
        <v>401.96850000000006</v>
      </c>
      <c r="F8" s="42">
        <f t="shared" ref="F8" si="6">F7-(F7*F12)</f>
        <v>29.561700000000009</v>
      </c>
      <c r="G8" s="42">
        <f t="shared" ref="G8" si="7">G7-(G7*G12)</f>
        <v>101.65339999999995</v>
      </c>
      <c r="H8" s="68">
        <f>H7-(H7*H12)</f>
        <v>135.25</v>
      </c>
      <c r="I8" s="68">
        <f t="shared" ref="I8:M8" si="8">I7-(I7*I12)</f>
        <v>555.21</v>
      </c>
      <c r="J8" s="68">
        <f t="shared" si="8"/>
        <v>603.59999999999991</v>
      </c>
      <c r="K8" s="68">
        <f t="shared" si="8"/>
        <v>657.60000000000014</v>
      </c>
      <c r="L8" s="68">
        <f t="shared" si="8"/>
        <v>699</v>
      </c>
      <c r="M8" s="69">
        <f t="shared" si="8"/>
        <v>729.59999999999991</v>
      </c>
      <c r="O8" t="s">
        <v>21</v>
      </c>
    </row>
    <row r="9" spans="1:15">
      <c r="A9" s="24" t="s">
        <v>22</v>
      </c>
      <c r="B9" s="34">
        <f>46.7%</f>
        <v>0.46700000000000003</v>
      </c>
      <c r="C9" s="34">
        <v>0.46800000000000003</v>
      </c>
      <c r="D9" s="34">
        <f>47.8%</f>
        <v>0.47799999999999998</v>
      </c>
      <c r="E9" s="34">
        <f t="shared" ref="E9" si="9">49.7%</f>
        <v>0.49700000000000005</v>
      </c>
      <c r="F9" s="34">
        <f>51.1%</f>
        <v>0.51100000000000001</v>
      </c>
      <c r="G9" s="34">
        <f>57.2%</f>
        <v>0.57200000000000006</v>
      </c>
      <c r="H9" s="70">
        <f>50%</f>
        <v>0.5</v>
      </c>
      <c r="I9" s="70">
        <f>50%</f>
        <v>0.5</v>
      </c>
      <c r="J9" s="70">
        <f>50%</f>
        <v>0.5</v>
      </c>
      <c r="K9" s="70">
        <f>50%</f>
        <v>0.5</v>
      </c>
      <c r="L9" s="70">
        <f>50%</f>
        <v>0.5</v>
      </c>
      <c r="M9" s="71">
        <f>50%</f>
        <v>0.5</v>
      </c>
      <c r="O9" t="s">
        <v>23</v>
      </c>
    </row>
    <row r="10" spans="1:15">
      <c r="A10" s="24" t="s">
        <v>24</v>
      </c>
      <c r="B10" s="34">
        <f>75.2%</f>
        <v>0.752</v>
      </c>
      <c r="C10" s="34">
        <v>0.76900000000000002</v>
      </c>
      <c r="D10" s="34">
        <v>0.76</v>
      </c>
      <c r="E10" s="34">
        <v>0.76300000000000001</v>
      </c>
      <c r="F10" s="34">
        <v>0.73099999999999998</v>
      </c>
      <c r="G10" s="34">
        <v>0.76400000000000001</v>
      </c>
      <c r="H10" s="72">
        <f>76.5%</f>
        <v>0.76500000000000001</v>
      </c>
      <c r="I10" s="72">
        <f>76.75%</f>
        <v>0.76749999999999996</v>
      </c>
      <c r="J10" s="72">
        <f>77%</f>
        <v>0.77</v>
      </c>
      <c r="K10" s="72">
        <f>77.25%</f>
        <v>0.77249999999999996</v>
      </c>
      <c r="L10" s="72">
        <f>77.5%</f>
        <v>0.77500000000000002</v>
      </c>
      <c r="M10" s="73">
        <f>78%</f>
        <v>0.78</v>
      </c>
      <c r="O10" t="s">
        <v>25</v>
      </c>
    </row>
    <row r="11" spans="1:15">
      <c r="A11" s="24" t="s">
        <v>26</v>
      </c>
      <c r="B11" s="34">
        <v>5.5E-2</v>
      </c>
      <c r="C11" s="34">
        <v>-5.1999999999999998E-2</v>
      </c>
      <c r="D11" s="34">
        <v>0.432</v>
      </c>
      <c r="E11" s="34">
        <v>0.37</v>
      </c>
      <c r="F11" s="34">
        <v>0.316</v>
      </c>
      <c r="G11" s="34">
        <v>0.33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1">
        <v>0</v>
      </c>
      <c r="O11" t="s">
        <v>27</v>
      </c>
    </row>
    <row r="12" spans="1:15">
      <c r="A12" s="20" t="s">
        <v>28</v>
      </c>
      <c r="B12" s="40">
        <f t="shared" ref="B12:C12" si="10">((B3*B9)+(B4*B10)+(B5*B11))/(B4+B3+B5)</f>
        <v>0.6192552969418641</v>
      </c>
      <c r="C12" s="40">
        <f t="shared" si="10"/>
        <v>0.61419894936850339</v>
      </c>
      <c r="D12" s="40">
        <f>((D3*D9)+(D4*D10)+(D5*D11))/(D4+D3+D5)</f>
        <v>0.66769027676620529</v>
      </c>
      <c r="E12" s="40">
        <f>((E3*E9)+(E4*E10)+(E5*E11))/(E4+E3+E5)</f>
        <v>0.66970542317173376</v>
      </c>
      <c r="F12" s="40">
        <f t="shared" ref="F12:G12" si="11">((F3*F9)+(F4*F10)+(F5*F11))/(F4+F3+F5)</f>
        <v>0.65139504716981123</v>
      </c>
      <c r="G12" s="40">
        <f t="shared" si="11"/>
        <v>0.63837282106012105</v>
      </c>
      <c r="H12" s="40">
        <f>((H3*H9)+(H4*H10)+(H5*H11))/(H4+H3+H5)</f>
        <v>0.61357142857142855</v>
      </c>
      <c r="I12" s="40">
        <f>((I3*I9)+(I4*I10)+(I5*I11))/(I4+I3+I5)</f>
        <v>0.68201030927835049</v>
      </c>
      <c r="J12" s="40">
        <f>((J3*J9)+(J4*J10)+(J5*J11))/(J4+J3+J5)</f>
        <v>0.68562500000000004</v>
      </c>
      <c r="K12" s="40">
        <f>((K3*K9)+(K4*K10)+(K5*K11))/(K4+K3+K5)</f>
        <v>0.68685714285714283</v>
      </c>
      <c r="L12" s="40">
        <f>((L3*L9)+(L4*L10)+(L5*L11))/(L4+L3+L5)</f>
        <v>0.69015957446808507</v>
      </c>
      <c r="M12" s="74">
        <f>((M3*M9)+(M4*M10)+(M5*M11))/(M4+M3+M5)</f>
        <v>0.69600000000000006</v>
      </c>
      <c r="O12" t="s">
        <v>29</v>
      </c>
    </row>
    <row r="13" spans="1:15">
      <c r="A13" s="18" t="s">
        <v>30</v>
      </c>
      <c r="B13" s="27">
        <f>B16*B7+B17</f>
        <v>352.36877945205475</v>
      </c>
      <c r="C13" s="27">
        <f t="shared" ref="C13:M13" si="12">C16*C7+C17</f>
        <v>373.09592454491383</v>
      </c>
      <c r="D13" s="27">
        <f t="shared" si="12"/>
        <v>579.8682510423364</v>
      </c>
      <c r="E13" s="27">
        <f t="shared" si="12"/>
        <v>689.65367183134367</v>
      </c>
      <c r="F13" s="27">
        <f t="shared" si="12"/>
        <v>156.38328395657419</v>
      </c>
      <c r="G13" s="27">
        <f t="shared" si="12"/>
        <v>180.17351016949152</v>
      </c>
      <c r="H13" s="27">
        <f t="shared" si="12"/>
        <v>421.5</v>
      </c>
      <c r="I13" s="27">
        <f t="shared" si="12"/>
        <v>739.31999999999994</v>
      </c>
      <c r="J13" s="27">
        <f t="shared" si="12"/>
        <v>791.2</v>
      </c>
      <c r="K13" s="27">
        <f t="shared" si="12"/>
        <v>828.8</v>
      </c>
      <c r="L13" s="27">
        <f t="shared" si="12"/>
        <v>875.28</v>
      </c>
      <c r="M13" s="37">
        <f t="shared" si="12"/>
        <v>919.6</v>
      </c>
    </row>
    <row r="14" spans="1:15">
      <c r="A14" s="24" t="s">
        <v>31</v>
      </c>
      <c r="B14" s="35">
        <v>0.11799999999999999</v>
      </c>
      <c r="C14" s="35">
        <v>0.13600000000000001</v>
      </c>
      <c r="D14" s="35">
        <v>0.159</v>
      </c>
      <c r="E14" s="35">
        <v>0.18</v>
      </c>
      <c r="F14" s="19">
        <v>0.51700000000000002</v>
      </c>
      <c r="G14" s="19">
        <v>0.11899999999999999</v>
      </c>
      <c r="H14" s="70">
        <v>0.18</v>
      </c>
      <c r="I14" s="70">
        <v>0.18</v>
      </c>
      <c r="J14" s="70">
        <v>0.18</v>
      </c>
      <c r="K14" s="70">
        <v>0.18</v>
      </c>
      <c r="L14" s="70">
        <v>0.18</v>
      </c>
      <c r="M14" s="71">
        <v>0.18</v>
      </c>
    </row>
    <row r="15" spans="1:15">
      <c r="A15" s="24" t="s">
        <v>32</v>
      </c>
      <c r="B15" s="35">
        <v>0.20499999999999999</v>
      </c>
      <c r="C15" s="35">
        <v>0.223</v>
      </c>
      <c r="D15" s="35">
        <v>0.311</v>
      </c>
      <c r="E15" s="35">
        <v>0.318</v>
      </c>
      <c r="F15" s="19">
        <v>0.98199999999999998</v>
      </c>
      <c r="G15" s="19">
        <v>0.57899999999999996</v>
      </c>
      <c r="H15" s="70">
        <v>0.27</v>
      </c>
      <c r="I15" s="70">
        <v>0.26</v>
      </c>
      <c r="J15" s="70">
        <v>0.26</v>
      </c>
      <c r="K15" s="70">
        <v>0.25</v>
      </c>
      <c r="L15" s="70">
        <v>0.25</v>
      </c>
      <c r="M15" s="71">
        <v>0.25</v>
      </c>
    </row>
    <row r="16" spans="1:15">
      <c r="A16" s="24" t="s">
        <v>33</v>
      </c>
      <c r="B16" s="35">
        <f>((B14*B3)+(B15*B4))/(B4+B3)</f>
        <v>0.16612961011591146</v>
      </c>
      <c r="C16" s="35">
        <f t="shared" ref="C16:E16" si="13">((C14*C3)+(C15*C4))/(C4+C3)</f>
        <v>0.19067388459250451</v>
      </c>
      <c r="D16" s="35">
        <f>((D14*D3)+(D15*D4))/(D4+D3)</f>
        <v>0.26235274129855818</v>
      </c>
      <c r="E16" s="35">
        <f t="shared" si="13"/>
        <v>0.27432512065024134</v>
      </c>
      <c r="F16" s="35">
        <f t="shared" ref="F16" si="14">((F14*F3)+(F15*F4))/(F4+F3)</f>
        <v>0.82999155609167663</v>
      </c>
      <c r="G16" s="35">
        <f t="shared" ref="G16" si="15">((G14*G3)+(G15*G4))/(G4+G3)</f>
        <v>0.30442372881355934</v>
      </c>
      <c r="H16" s="72">
        <f t="shared" ref="H16" si="16">((H14*H3)+(H15*H4))/(H4+H3)</f>
        <v>0.21857142857142858</v>
      </c>
      <c r="I16" s="72">
        <f t="shared" ref="I16" si="17">((I14*I3)+(I15*I4))/(I4+I3)</f>
        <v>0.23443298969072165</v>
      </c>
      <c r="J16" s="72">
        <f t="shared" ref="J16" si="18">((J14*J3)+(J15*J4))/(J4+J3)</f>
        <v>0.23499999999999999</v>
      </c>
      <c r="K16" s="72">
        <f t="shared" ref="K16" si="19">((K14*K3)+(K15*K4))/(K4+K3)</f>
        <v>0.22800000000000001</v>
      </c>
      <c r="L16" s="72">
        <f t="shared" ref="L16" si="20">((L14*L3)+(L15*L4))/(L4+L3)</f>
        <v>0.22840425531914893</v>
      </c>
      <c r="M16" s="73">
        <f t="shared" ref="M16" si="21">((M14*M3)+(M15*M4))/(M4+M3)</f>
        <v>0.22900000000000001</v>
      </c>
    </row>
    <row r="17" spans="1:13">
      <c r="A17" s="24" t="s">
        <v>14</v>
      </c>
      <c r="B17">
        <v>193.2</v>
      </c>
      <c r="C17">
        <v>202.5</v>
      </c>
      <c r="D17">
        <v>291.7</v>
      </c>
      <c r="E17">
        <v>355.8</v>
      </c>
      <c r="F17">
        <v>86</v>
      </c>
      <c r="G17">
        <v>94.6</v>
      </c>
      <c r="H17" s="64">
        <v>345</v>
      </c>
      <c r="I17" s="64">
        <v>330</v>
      </c>
      <c r="J17" s="64">
        <v>340</v>
      </c>
      <c r="K17" s="64">
        <v>350</v>
      </c>
      <c r="L17" s="64">
        <v>360</v>
      </c>
      <c r="M17" s="65">
        <v>370</v>
      </c>
    </row>
    <row r="18" spans="1:13">
      <c r="A18" s="18" t="s">
        <v>34</v>
      </c>
      <c r="B18">
        <f>B19+B20+B21</f>
        <v>50.7</v>
      </c>
      <c r="C18">
        <f>C19+C20+C21</f>
        <v>69.8</v>
      </c>
      <c r="D18">
        <v>81.099999999999994</v>
      </c>
      <c r="E18">
        <v>99.4</v>
      </c>
      <c r="F18">
        <f>39.18</f>
        <v>39.18</v>
      </c>
      <c r="G18">
        <v>41.06</v>
      </c>
      <c r="H18">
        <f>H20+H19+H21</f>
        <v>97</v>
      </c>
      <c r="I18">
        <f t="shared" ref="G18:M18" si="22">I20+I19+I21</f>
        <v>99</v>
      </c>
      <c r="J18">
        <f t="shared" si="22"/>
        <v>101</v>
      </c>
      <c r="K18">
        <f t="shared" si="22"/>
        <v>103</v>
      </c>
      <c r="L18">
        <f t="shared" si="22"/>
        <v>105</v>
      </c>
      <c r="M18" s="18">
        <f t="shared" si="22"/>
        <v>107</v>
      </c>
    </row>
    <row r="19" spans="1:13">
      <c r="A19" s="24" t="s">
        <v>35</v>
      </c>
      <c r="B19">
        <v>38.6</v>
      </c>
      <c r="C19">
        <v>52.4</v>
      </c>
      <c r="D19" s="36"/>
      <c r="E19" s="36"/>
      <c r="H19" s="64">
        <v>80</v>
      </c>
      <c r="I19" s="64">
        <v>82</v>
      </c>
      <c r="J19" s="64">
        <v>84</v>
      </c>
      <c r="K19" s="64">
        <v>86</v>
      </c>
      <c r="L19" s="64">
        <v>88</v>
      </c>
      <c r="M19" s="65">
        <v>90</v>
      </c>
    </row>
    <row r="20" spans="1:13">
      <c r="A20" s="24" t="s">
        <v>36</v>
      </c>
      <c r="B20">
        <v>2.8</v>
      </c>
      <c r="C20">
        <v>3.8</v>
      </c>
      <c r="H20" s="64">
        <v>4</v>
      </c>
      <c r="I20" s="64">
        <v>4</v>
      </c>
      <c r="J20" s="64">
        <v>4</v>
      </c>
      <c r="K20" s="64">
        <v>4</v>
      </c>
      <c r="L20" s="64">
        <v>4</v>
      </c>
      <c r="M20" s="65">
        <v>4</v>
      </c>
    </row>
    <row r="21" spans="1:13">
      <c r="A21" s="24" t="s">
        <v>14</v>
      </c>
      <c r="B21">
        <v>9.3000000000000007</v>
      </c>
      <c r="C21">
        <v>13.6</v>
      </c>
      <c r="H21" s="64">
        <v>13</v>
      </c>
      <c r="I21" s="64">
        <v>13</v>
      </c>
      <c r="J21" s="64">
        <v>13</v>
      </c>
      <c r="K21" s="64">
        <v>13</v>
      </c>
      <c r="L21" s="64">
        <v>13</v>
      </c>
      <c r="M21" s="65">
        <v>13</v>
      </c>
    </row>
    <row r="22" spans="1:13">
      <c r="A22" s="18" t="s">
        <v>37</v>
      </c>
      <c r="B22" s="27">
        <f>B7-B8-B13-B18</f>
        <v>190.23972054794524</v>
      </c>
      <c r="C22" s="27">
        <f t="shared" ref="C22:M22" si="23">C7-C8-C13-C18</f>
        <v>106.62787545508623</v>
      </c>
      <c r="D22" s="27">
        <f t="shared" si="23"/>
        <v>72.422748957663572</v>
      </c>
      <c r="E22" s="27">
        <f>E7-E8-E13-E18</f>
        <v>25.977828168656259</v>
      </c>
      <c r="F22" s="27">
        <f t="shared" si="23"/>
        <v>-140.32498395657419</v>
      </c>
      <c r="G22" s="27">
        <f t="shared" si="23"/>
        <v>-41.786910169491506</v>
      </c>
      <c r="H22" s="27">
        <f>H7-H8-H13-H18</f>
        <v>-303.75</v>
      </c>
      <c r="I22" s="27">
        <f t="shared" si="23"/>
        <v>352.47</v>
      </c>
      <c r="J22" s="27">
        <f t="shared" si="23"/>
        <v>424.20000000000005</v>
      </c>
      <c r="K22" s="27">
        <f t="shared" si="23"/>
        <v>510.59999999999991</v>
      </c>
      <c r="L22" s="27">
        <f t="shared" si="23"/>
        <v>576.72</v>
      </c>
      <c r="M22" s="37">
        <f t="shared" si="23"/>
        <v>643.80000000000007</v>
      </c>
    </row>
    <row r="23" spans="1:13">
      <c r="A23" s="28" t="s">
        <v>38</v>
      </c>
      <c r="B23" s="29">
        <f>B22/B7</f>
        <v>0.19855935763275778</v>
      </c>
      <c r="C23" s="29">
        <f t="shared" ref="C23:M23" si="24">C22/C7</f>
        <v>0.11917723868904238</v>
      </c>
      <c r="D23" s="29">
        <f t="shared" si="24"/>
        <v>6.5934767805593195E-2</v>
      </c>
      <c r="E23" s="29">
        <f>E22/E7</f>
        <v>2.1345791428641132E-2</v>
      </c>
      <c r="F23" s="29">
        <f t="shared" si="24"/>
        <v>-1.654775754204884</v>
      </c>
      <c r="G23" s="29">
        <f t="shared" si="24"/>
        <v>-0.14865496324970298</v>
      </c>
      <c r="H23" s="29">
        <f>H22/H7</f>
        <v>-0.86785714285714288</v>
      </c>
      <c r="I23" s="29">
        <f t="shared" si="24"/>
        <v>0.20187285223367699</v>
      </c>
      <c r="J23" s="29">
        <f t="shared" si="24"/>
        <v>0.22093750000000004</v>
      </c>
      <c r="K23" s="29">
        <f t="shared" si="24"/>
        <v>0.24314285714285711</v>
      </c>
      <c r="L23" s="29">
        <f t="shared" si="24"/>
        <v>0.25563829787234044</v>
      </c>
      <c r="M23" s="75">
        <f t="shared" si="24"/>
        <v>0.26825000000000004</v>
      </c>
    </row>
    <row r="24" spans="1:13">
      <c r="M24" s="18"/>
    </row>
    <row r="25" spans="1:13">
      <c r="A25" s="18" t="s">
        <v>39</v>
      </c>
      <c r="H25">
        <f>H22*(1-H26)</f>
        <v>-224.77500000000001</v>
      </c>
      <c r="I25">
        <f t="shared" ref="I25:M25" si="25">I22*(1-I26)</f>
        <v>260.82780000000002</v>
      </c>
      <c r="J25">
        <f t="shared" si="25"/>
        <v>313.90800000000002</v>
      </c>
      <c r="K25">
        <f t="shared" si="25"/>
        <v>377.84399999999994</v>
      </c>
      <c r="L25">
        <f t="shared" si="25"/>
        <v>426.77280000000002</v>
      </c>
      <c r="M25" s="18">
        <f t="shared" si="25"/>
        <v>476.41200000000003</v>
      </c>
    </row>
    <row r="26" spans="1:13">
      <c r="A26" s="24" t="s">
        <v>40</v>
      </c>
      <c r="F26" s="19"/>
      <c r="G26" s="19"/>
      <c r="H26" s="70">
        <f>26%</f>
        <v>0.26</v>
      </c>
      <c r="I26" s="70">
        <f>$H$26</f>
        <v>0.26</v>
      </c>
      <c r="J26" s="70">
        <f t="shared" ref="J26:M26" si="26">$H$26</f>
        <v>0.26</v>
      </c>
      <c r="K26" s="70">
        <f t="shared" si="26"/>
        <v>0.26</v>
      </c>
      <c r="L26" s="70">
        <f t="shared" si="26"/>
        <v>0.26</v>
      </c>
      <c r="M26" s="71">
        <f t="shared" si="26"/>
        <v>0.26</v>
      </c>
    </row>
    <row r="27" spans="1:13">
      <c r="A27" s="24" t="s">
        <v>41</v>
      </c>
      <c r="B27">
        <f t="shared" ref="B27:E27" si="27">B18</f>
        <v>50.7</v>
      </c>
      <c r="C27">
        <f t="shared" si="27"/>
        <v>69.8</v>
      </c>
      <c r="D27">
        <f t="shared" si="27"/>
        <v>81.099999999999994</v>
      </c>
      <c r="E27">
        <f t="shared" si="27"/>
        <v>99.4</v>
      </c>
      <c r="F27">
        <f>F18</f>
        <v>39.18</v>
      </c>
      <c r="G27">
        <f t="shared" ref="G27:M27" si="28">G18</f>
        <v>41.06</v>
      </c>
      <c r="H27">
        <f>H18</f>
        <v>97</v>
      </c>
      <c r="I27">
        <f t="shared" si="28"/>
        <v>99</v>
      </c>
      <c r="J27">
        <f t="shared" si="28"/>
        <v>101</v>
      </c>
      <c r="K27">
        <f t="shared" si="28"/>
        <v>103</v>
      </c>
      <c r="L27">
        <f t="shared" si="28"/>
        <v>105</v>
      </c>
      <c r="M27" s="18">
        <f t="shared" si="28"/>
        <v>107</v>
      </c>
    </row>
    <row r="28" spans="1:13">
      <c r="A28" s="24" t="s">
        <v>42</v>
      </c>
      <c r="B28">
        <v>130.6</v>
      </c>
      <c r="C28">
        <v>-104.5</v>
      </c>
      <c r="D28">
        <v>82.8</v>
      </c>
      <c r="E28">
        <v>75.400000000000006</v>
      </c>
      <c r="F28">
        <v>98.9</v>
      </c>
      <c r="G28">
        <v>67.3</v>
      </c>
      <c r="H28" s="64">
        <v>50</v>
      </c>
      <c r="I28" s="64">
        <v>80</v>
      </c>
      <c r="J28" s="64">
        <v>80</v>
      </c>
      <c r="K28" s="64">
        <v>80</v>
      </c>
      <c r="L28" s="64">
        <v>80</v>
      </c>
      <c r="M28" s="65">
        <v>80</v>
      </c>
    </row>
    <row r="29" spans="1:13">
      <c r="A29" s="24" t="s">
        <v>43</v>
      </c>
      <c r="B29">
        <f>62.3*1.34</f>
        <v>83.481999999999999</v>
      </c>
      <c r="C29">
        <f>26.9*1.34</f>
        <v>36.045999999999999</v>
      </c>
      <c r="D29">
        <f>37.2*1.34</f>
        <v>49.848000000000006</v>
      </c>
      <c r="E29">
        <v>48.1</v>
      </c>
      <c r="F29">
        <v>5.7</v>
      </c>
      <c r="G29">
        <v>26.4</v>
      </c>
      <c r="H29" s="64">
        <v>70</v>
      </c>
      <c r="I29" s="64">
        <v>70</v>
      </c>
      <c r="J29" s="64">
        <v>60</v>
      </c>
      <c r="K29" s="64">
        <v>60</v>
      </c>
      <c r="L29" s="64">
        <v>60</v>
      </c>
      <c r="M29" s="65">
        <v>60</v>
      </c>
    </row>
    <row r="30" spans="1:13">
      <c r="M30" s="18"/>
    </row>
    <row r="31" spans="1:13">
      <c r="A31" s="18" t="s">
        <v>44</v>
      </c>
      <c r="H31">
        <f t="shared" ref="G31:M31" si="29">H25+H27-H28-H29</f>
        <v>-247.77500000000001</v>
      </c>
      <c r="I31">
        <f t="shared" si="29"/>
        <v>209.82780000000002</v>
      </c>
      <c r="J31">
        <f>J25+J27-J28-J29</f>
        <v>274.90800000000002</v>
      </c>
      <c r="K31">
        <f t="shared" si="29"/>
        <v>340.84399999999994</v>
      </c>
      <c r="L31">
        <f t="shared" si="29"/>
        <v>391.77279999999996</v>
      </c>
      <c r="M31" s="18">
        <f t="shared" si="29"/>
        <v>443.41200000000003</v>
      </c>
    </row>
    <row r="32" spans="1:13">
      <c r="A32" s="24" t="s">
        <v>45</v>
      </c>
      <c r="F32" s="8"/>
      <c r="G32" s="8"/>
      <c r="H32" s="76">
        <f>'Discount Rate'!$D$21</f>
        <v>0.1251439664041436</v>
      </c>
      <c r="I32" s="76">
        <f>'Discount Rate'!$D$21</f>
        <v>0.1251439664041436</v>
      </c>
      <c r="J32" s="76">
        <f>'Discount Rate'!$D$21</f>
        <v>0.1251439664041436</v>
      </c>
      <c r="K32" s="76">
        <f>'Discount Rate'!$D$21</f>
        <v>0.1251439664041436</v>
      </c>
      <c r="L32" s="76">
        <f>'Discount Rate'!$D$21</f>
        <v>0.1251439664041436</v>
      </c>
      <c r="M32" s="77">
        <f>'Discount Rate'!$D$21</f>
        <v>0.1251439664041436</v>
      </c>
    </row>
    <row r="33" spans="1:13">
      <c r="A33" s="24" t="s">
        <v>46</v>
      </c>
      <c r="F33" s="8"/>
      <c r="G33" s="8"/>
      <c r="H33" s="8">
        <f>H32</f>
        <v>0.1251439664041436</v>
      </c>
      <c r="I33" s="8">
        <f t="shared" ref="I33:M33" si="30">(1+I32)*(1+H33)-1</f>
        <v>0.26594894513564871</v>
      </c>
      <c r="J33" s="8">
        <f t="shared" si="30"/>
        <v>0.42437481739506544</v>
      </c>
      <c r="K33" s="8">
        <f t="shared" si="30"/>
        <v>0.60262673169006176</v>
      </c>
      <c r="L33" s="8">
        <f t="shared" si="30"/>
        <v>0.80318579755906527</v>
      </c>
      <c r="M33" s="9">
        <f t="shared" si="30"/>
        <v>1.0288436204292259</v>
      </c>
    </row>
    <row r="34" spans="1:13">
      <c r="A34" s="25" t="s">
        <v>47</v>
      </c>
      <c r="B34" s="26"/>
      <c r="C34" s="26"/>
      <c r="D34" s="26"/>
      <c r="E34" s="26"/>
      <c r="F34" s="26"/>
      <c r="G34" s="26"/>
      <c r="H34" s="53">
        <f>H31/(1+H33)</f>
        <v>-220.21626333905169</v>
      </c>
      <c r="I34" s="53">
        <f>I31/(1+I33)</f>
        <v>165.74744250647217</v>
      </c>
      <c r="J34" s="53">
        <f>J31/(1+J33)</f>
        <v>193.00256971880412</v>
      </c>
      <c r="K34" s="53">
        <f>K31/(1+K33)</f>
        <v>212.67834440809582</v>
      </c>
      <c r="L34" s="53">
        <f>L31/(1+L33)</f>
        <v>217.26701737022029</v>
      </c>
      <c r="M34" s="78">
        <f>M31/(1+M33)</f>
        <v>218.55405489861803</v>
      </c>
    </row>
    <row r="36" spans="1:13">
      <c r="A36" s="18" t="s">
        <v>48</v>
      </c>
      <c r="B36" s="44">
        <f>3%</f>
        <v>0.03</v>
      </c>
    </row>
    <row r="37" spans="1:13">
      <c r="A37" s="18" t="s">
        <v>49</v>
      </c>
      <c r="B37" s="27">
        <f>SUM(H34:M34)</f>
        <v>787.03316556315872</v>
      </c>
    </row>
    <row r="38" spans="1:13">
      <c r="A38" s="18" t="s">
        <v>50</v>
      </c>
      <c r="B38" s="27">
        <f>M31*(1+B36)/('Discount Rate'!D21-B36)</f>
        <v>4800.2451154917353</v>
      </c>
    </row>
    <row r="39" spans="1:13">
      <c r="A39" s="18" t="s">
        <v>51</v>
      </c>
      <c r="B39" s="27">
        <f>B38/(1+M33)</f>
        <v>2366.0005468909362</v>
      </c>
    </row>
    <row r="41" spans="1:13">
      <c r="A41" s="18" t="s">
        <v>52</v>
      </c>
      <c r="B41" s="27">
        <f>B37+B39</f>
        <v>3153.0337124540947</v>
      </c>
      <c r="F41" s="32"/>
    </row>
    <row r="42" spans="1:13">
      <c r="A42" s="24" t="s">
        <v>53</v>
      </c>
      <c r="B42">
        <v>287</v>
      </c>
    </row>
    <row r="43" spans="1:13">
      <c r="A43" s="24" t="s">
        <v>54</v>
      </c>
      <c r="B43">
        <v>0</v>
      </c>
      <c r="E43" s="27"/>
      <c r="F43" s="63"/>
      <c r="G43" s="63"/>
      <c r="H43" s="63"/>
      <c r="I43" s="63"/>
      <c r="J43" s="63"/>
      <c r="K43" s="19"/>
    </row>
    <row r="44" spans="1:13">
      <c r="A44" s="24" t="s">
        <v>55</v>
      </c>
      <c r="B44">
        <v>600</v>
      </c>
      <c r="E44" s="19"/>
    </row>
    <row r="45" spans="1:13">
      <c r="D45" s="31"/>
      <c r="E45" s="19"/>
    </row>
    <row r="46" spans="1:13">
      <c r="A46" s="18" t="s">
        <v>56</v>
      </c>
      <c r="B46" s="37">
        <f>B41+B42-B43-B44</f>
        <v>2840.0337124540947</v>
      </c>
      <c r="D46" s="31"/>
      <c r="E46" s="19"/>
    </row>
    <row r="47" spans="1:13">
      <c r="A47" s="18" t="s">
        <v>57</v>
      </c>
      <c r="B47" s="38">
        <v>102.468</v>
      </c>
      <c r="E47" s="19"/>
    </row>
    <row r="48" spans="1:13">
      <c r="A48" s="18" t="s">
        <v>58</v>
      </c>
      <c r="B48" s="27">
        <f>B46/B47</f>
        <v>27.716298868467177</v>
      </c>
      <c r="E48" s="19"/>
    </row>
    <row r="49" spans="1:2">
      <c r="A49" s="18" t="s">
        <v>59</v>
      </c>
      <c r="B49">
        <v>0.75</v>
      </c>
    </row>
    <row r="50" spans="1:2">
      <c r="A50" s="39" t="s">
        <v>60</v>
      </c>
      <c r="B50" s="43">
        <f>B48*B49</f>
        <v>20.787224151350383</v>
      </c>
    </row>
    <row r="51" spans="1:2">
      <c r="A51" s="18" t="s">
        <v>61</v>
      </c>
      <c r="B51">
        <v>11.78</v>
      </c>
    </row>
    <row r="52" spans="1:2">
      <c r="A52" s="18" t="s">
        <v>62</v>
      </c>
      <c r="B52" s="19">
        <f>(B50-B51)/B51</f>
        <v>0.76462004680393758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8F40-2C31-4C6A-8048-9813FD7ACBB7}">
  <dimension ref="B1:D21"/>
  <sheetViews>
    <sheetView showGridLines="0" workbookViewId="0">
      <selection activeCell="D24" sqref="D24"/>
    </sheetView>
  </sheetViews>
  <sheetFormatPr defaultRowHeight="15"/>
  <cols>
    <col min="2" max="2" width="37" customWidth="1"/>
  </cols>
  <sheetData>
    <row r="1" spans="2:4">
      <c r="B1" s="1" t="s">
        <v>63</v>
      </c>
      <c r="C1" s="13" t="s">
        <v>64</v>
      </c>
      <c r="D1" s="14" t="s">
        <v>65</v>
      </c>
    </row>
    <row r="2" spans="2:4">
      <c r="B2" s="85" t="s">
        <v>66</v>
      </c>
      <c r="C2" s="5">
        <f>4%</f>
        <v>0.04</v>
      </c>
      <c r="D2" s="15">
        <v>4.2500000000000003E-2</v>
      </c>
    </row>
    <row r="3" spans="2:4">
      <c r="B3" s="85" t="s">
        <v>67</v>
      </c>
      <c r="C3" s="16">
        <f>1.49</f>
        <v>1.49</v>
      </c>
      <c r="D3" s="17">
        <f>1.75</f>
        <v>1.75</v>
      </c>
    </row>
    <row r="4" spans="2:4">
      <c r="B4" s="85" t="s">
        <v>68</v>
      </c>
      <c r="C4" s="5">
        <f>10%</f>
        <v>0.1</v>
      </c>
      <c r="D4" s="6">
        <v>0.12</v>
      </c>
    </row>
    <row r="5" spans="2:4">
      <c r="B5" s="10" t="s">
        <v>63</v>
      </c>
      <c r="C5" s="11">
        <f>C2+((C4-C2)*C3)</f>
        <v>0.12940000000000002</v>
      </c>
      <c r="D5" s="12">
        <f>D2+((D4-D2)*D3)</f>
        <v>0.17812499999999998</v>
      </c>
    </row>
    <row r="7" spans="2:4">
      <c r="B7" s="1" t="s">
        <v>69</v>
      </c>
      <c r="C7" s="2"/>
      <c r="D7" s="3"/>
    </row>
    <row r="8" spans="2:4">
      <c r="B8" s="4" t="s">
        <v>70</v>
      </c>
      <c r="C8" s="5">
        <f>4%</f>
        <v>0.04</v>
      </c>
      <c r="D8" s="6">
        <v>0.04</v>
      </c>
    </row>
    <row r="9" spans="2:4">
      <c r="B9" s="4" t="s">
        <v>71</v>
      </c>
      <c r="C9" s="5">
        <f>5%</f>
        <v>0.05</v>
      </c>
      <c r="D9" s="6">
        <v>0.05</v>
      </c>
    </row>
    <row r="10" spans="2:4">
      <c r="B10" s="7" t="s">
        <v>72</v>
      </c>
      <c r="C10" s="5">
        <f>6%</f>
        <v>0.06</v>
      </c>
      <c r="D10" s="6">
        <v>6.5000000000000002E-2</v>
      </c>
    </row>
    <row r="11" spans="2:4">
      <c r="B11" s="7" t="s">
        <v>73</v>
      </c>
      <c r="C11" s="8">
        <f>((C19*C10)+(C9*C18)+(C8*C17))/(C19+C18+C17)</f>
        <v>5.8249336870026515E-2</v>
      </c>
      <c r="D11" s="9">
        <f>((D19*D10)+(D9*D18)+(D8*D17))/(D19+D18+D17)</f>
        <v>6.2559681697612723E-2</v>
      </c>
    </row>
    <row r="12" spans="2:4">
      <c r="B12" s="4" t="s">
        <v>74</v>
      </c>
      <c r="C12" s="5">
        <f>26%</f>
        <v>0.26</v>
      </c>
      <c r="D12" s="6">
        <v>0.23</v>
      </c>
    </row>
    <row r="13" spans="2:4">
      <c r="B13" s="10" t="s">
        <v>75</v>
      </c>
      <c r="C13" s="11">
        <f>C11*(1-C12)</f>
        <v>4.310450928381962E-2</v>
      </c>
      <c r="D13" s="12">
        <f>D11*(1-D12)</f>
        <v>4.8170954907161799E-2</v>
      </c>
    </row>
    <row r="15" spans="2:4">
      <c r="B15" s="1" t="s">
        <v>76</v>
      </c>
      <c r="C15" s="2"/>
      <c r="D15" s="3"/>
    </row>
    <row r="16" spans="2:4">
      <c r="B16" s="7" t="s">
        <v>56</v>
      </c>
      <c r="C16">
        <v>1190</v>
      </c>
      <c r="D16" s="18">
        <v>1190</v>
      </c>
    </row>
    <row r="17" spans="2:4">
      <c r="B17" s="7" t="s">
        <v>77</v>
      </c>
      <c r="C17">
        <v>28</v>
      </c>
      <c r="D17" s="18">
        <v>28</v>
      </c>
    </row>
    <row r="18" spans="2:4">
      <c r="B18" s="7" t="s">
        <v>78</v>
      </c>
      <c r="C18">
        <v>76</v>
      </c>
      <c r="D18" s="18">
        <v>76</v>
      </c>
    </row>
    <row r="19" spans="2:4">
      <c r="B19" s="7" t="s">
        <v>79</v>
      </c>
      <c r="C19">
        <v>650</v>
      </c>
      <c r="D19" s="18">
        <v>650</v>
      </c>
    </row>
    <row r="20" spans="2:4">
      <c r="B20" s="7" t="s">
        <v>80</v>
      </c>
      <c r="C20">
        <f>C19+C16+C17+C18</f>
        <v>1944</v>
      </c>
      <c r="D20" s="18">
        <f>D19+D16+D17+D18</f>
        <v>1944</v>
      </c>
    </row>
    <row r="21" spans="2:4">
      <c r="B21" s="10" t="s">
        <v>81</v>
      </c>
      <c r="C21" s="11">
        <f>(((C16/C20)*C5)+((C19/C20)*C13))</f>
        <v>9.3623421314034352E-2</v>
      </c>
      <c r="D21" s="12">
        <f>(((D16/D20)*D5)+((D19/D20)*D13))</f>
        <v>0.1251439664041436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16"/>
  <sheetViews>
    <sheetView showGridLines="0" workbookViewId="0">
      <selection activeCell="E18" sqref="E18"/>
    </sheetView>
  </sheetViews>
  <sheetFormatPr defaultRowHeight="15"/>
  <cols>
    <col min="1" max="1" width="15.5703125" customWidth="1"/>
    <col min="2" max="2" width="32.140625" customWidth="1"/>
    <col min="3" max="12" width="12.7109375" customWidth="1"/>
  </cols>
  <sheetData>
    <row r="4" spans="2:12" ht="15.75">
      <c r="B4" s="46" t="s">
        <v>82</v>
      </c>
      <c r="C4" s="49" t="s">
        <v>83</v>
      </c>
      <c r="D4" s="49" t="s">
        <v>84</v>
      </c>
      <c r="E4" s="49" t="s">
        <v>85</v>
      </c>
      <c r="F4" s="49" t="s">
        <v>86</v>
      </c>
      <c r="G4" s="49" t="s">
        <v>87</v>
      </c>
      <c r="H4" s="49" t="s">
        <v>88</v>
      </c>
      <c r="I4" s="49" t="s">
        <v>89</v>
      </c>
      <c r="J4" s="49" t="s">
        <v>90</v>
      </c>
      <c r="K4" s="49" t="s">
        <v>91</v>
      </c>
      <c r="L4" s="50" t="s">
        <v>92</v>
      </c>
    </row>
    <row r="5" spans="2:12">
      <c r="B5" s="47" t="s">
        <v>93</v>
      </c>
      <c r="C5" s="55">
        <v>172.5</v>
      </c>
      <c r="D5" s="55">
        <v>224.3</v>
      </c>
      <c r="E5" s="55">
        <v>303.60000000000002</v>
      </c>
      <c r="F5" s="55">
        <v>458.4</v>
      </c>
      <c r="G5" s="55">
        <v>621.5</v>
      </c>
      <c r="H5" s="55">
        <v>684.9</v>
      </c>
      <c r="I5" s="55">
        <v>718.7</v>
      </c>
      <c r="J5" s="55">
        <v>877.8</v>
      </c>
      <c r="K5" s="55">
        <v>900.5</v>
      </c>
      <c r="L5" s="60">
        <v>909.9</v>
      </c>
    </row>
    <row r="6" spans="2:12">
      <c r="B6" s="47" t="s">
        <v>94</v>
      </c>
      <c r="C6" s="55">
        <v>100.3</v>
      </c>
      <c r="D6" s="55">
        <v>112</v>
      </c>
      <c r="E6" s="55">
        <v>144.19999999999999</v>
      </c>
      <c r="F6" s="55">
        <v>188.9</v>
      </c>
      <c r="G6" s="55">
        <v>234.7</v>
      </c>
      <c r="H6" s="55">
        <v>260.8</v>
      </c>
      <c r="I6" s="55">
        <v>285.39999999999998</v>
      </c>
      <c r="J6" s="55">
        <v>291.5</v>
      </c>
      <c r="K6" s="55">
        <v>297.3</v>
      </c>
      <c r="L6" s="60">
        <v>290.39999999999998</v>
      </c>
    </row>
    <row r="7" spans="2:12">
      <c r="B7" s="47" t="s">
        <v>95</v>
      </c>
      <c r="C7" s="55">
        <v>72.2</v>
      </c>
      <c r="D7" s="55">
        <v>112.3</v>
      </c>
      <c r="E7" s="55">
        <v>159.5</v>
      </c>
      <c r="F7" s="55">
        <v>269.5</v>
      </c>
      <c r="G7" s="55">
        <v>386.7</v>
      </c>
      <c r="H7" s="55">
        <v>424.1</v>
      </c>
      <c r="I7" s="55">
        <v>433.2</v>
      </c>
      <c r="J7" s="55">
        <v>586.29999999999995</v>
      </c>
      <c r="K7" s="55">
        <v>603.5</v>
      </c>
      <c r="L7" s="60">
        <v>619.5</v>
      </c>
    </row>
    <row r="8" spans="2:12">
      <c r="B8" s="51" t="s">
        <v>96</v>
      </c>
      <c r="C8" s="55">
        <v>46.8</v>
      </c>
      <c r="D8" s="55">
        <v>77.2</v>
      </c>
      <c r="E8" s="55">
        <v>124.1</v>
      </c>
      <c r="F8" s="55">
        <v>155.1</v>
      </c>
      <c r="G8" s="55">
        <v>226.1</v>
      </c>
      <c r="H8" s="55">
        <v>290.39999999999998</v>
      </c>
      <c r="I8" s="55">
        <v>358.3</v>
      </c>
      <c r="J8" s="55">
        <v>454.2</v>
      </c>
      <c r="K8" s="55">
        <v>498.8</v>
      </c>
      <c r="L8" s="60">
        <v>527.4</v>
      </c>
    </row>
    <row r="9" spans="2:12">
      <c r="B9" s="47" t="s">
        <v>97</v>
      </c>
      <c r="C9" s="55">
        <v>48.9</v>
      </c>
      <c r="D9" s="55">
        <v>80.7</v>
      </c>
      <c r="E9" s="55">
        <v>129</v>
      </c>
      <c r="F9" s="55">
        <v>162.4</v>
      </c>
      <c r="G9" s="55">
        <v>239.5</v>
      </c>
      <c r="H9" s="55">
        <v>290.39999999999998</v>
      </c>
      <c r="I9" s="55">
        <v>358.3</v>
      </c>
      <c r="J9" s="55">
        <v>454.2</v>
      </c>
      <c r="K9" s="55">
        <v>498.8</v>
      </c>
      <c r="L9" s="60">
        <v>527.4</v>
      </c>
    </row>
    <row r="10" spans="2:12" ht="15.75">
      <c r="B10" s="52" t="s">
        <v>98</v>
      </c>
      <c r="C10" s="55">
        <v>23.3</v>
      </c>
      <c r="D10" s="55">
        <v>31.6</v>
      </c>
      <c r="E10" s="55">
        <v>30.5</v>
      </c>
      <c r="F10" s="55">
        <v>107.1</v>
      </c>
      <c r="G10" s="55">
        <v>147.19999999999999</v>
      </c>
      <c r="H10" s="55">
        <v>133.69999999999999</v>
      </c>
      <c r="I10" s="55">
        <v>74.900000000000006</v>
      </c>
      <c r="J10" s="55">
        <v>132.1</v>
      </c>
      <c r="K10" s="55">
        <v>104.3</v>
      </c>
      <c r="L10" s="60">
        <v>92.1</v>
      </c>
    </row>
    <row r="11" spans="2:12">
      <c r="B11" s="47" t="s">
        <v>99</v>
      </c>
      <c r="C11" s="55">
        <v>11.4</v>
      </c>
      <c r="D11" s="55">
        <v>20.399999999999999</v>
      </c>
      <c r="E11" s="55">
        <v>16.2</v>
      </c>
      <c r="F11" s="55">
        <v>74.5</v>
      </c>
      <c r="G11" s="55">
        <v>107.5</v>
      </c>
      <c r="H11" s="55">
        <v>105.8</v>
      </c>
      <c r="I11" s="55">
        <v>55.9</v>
      </c>
      <c r="J11" s="55">
        <v>75.599999999999994</v>
      </c>
      <c r="K11" s="55">
        <v>51</v>
      </c>
      <c r="L11" s="60">
        <v>34.299999999999997</v>
      </c>
    </row>
    <row r="12" spans="2:12">
      <c r="B12" s="47" t="s">
        <v>100</v>
      </c>
      <c r="C12" s="55">
        <v>3.7</v>
      </c>
      <c r="D12" s="55">
        <v>5</v>
      </c>
      <c r="E12" s="55">
        <v>6.7</v>
      </c>
      <c r="F12" s="55">
        <v>22.6</v>
      </c>
      <c r="G12" s="55">
        <v>29.1</v>
      </c>
      <c r="H12" s="55">
        <v>7.6</v>
      </c>
      <c r="I12" s="55">
        <v>12.6</v>
      </c>
      <c r="J12" s="55">
        <v>18.5</v>
      </c>
      <c r="K12" s="55">
        <v>18.2</v>
      </c>
      <c r="L12" s="60">
        <v>8.5</v>
      </c>
    </row>
    <row r="13" spans="2:12">
      <c r="B13" s="48" t="s">
        <v>101</v>
      </c>
      <c r="C13" s="61">
        <v>11.4</v>
      </c>
      <c r="D13" s="61">
        <v>20.399999999999999</v>
      </c>
      <c r="E13" s="61">
        <v>16.2</v>
      </c>
      <c r="F13" s="61">
        <v>74.5</v>
      </c>
      <c r="G13" s="61">
        <v>107.5</v>
      </c>
      <c r="H13" s="61">
        <v>105.8</v>
      </c>
      <c r="I13" s="61">
        <v>55.9</v>
      </c>
      <c r="J13" s="61">
        <v>75.599999999999994</v>
      </c>
      <c r="K13" s="61">
        <v>53.8</v>
      </c>
      <c r="L13" s="62">
        <v>40.200000000000003</v>
      </c>
    </row>
    <row r="14" spans="2:12">
      <c r="B14" s="30"/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5" spans="2:12">
      <c r="B15" s="30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2:12">
      <c r="B16" s="30"/>
      <c r="C16" s="45"/>
      <c r="D16" s="45"/>
      <c r="E16" s="45"/>
      <c r="F16" s="45"/>
      <c r="G16" s="45"/>
      <c r="H16" s="45"/>
      <c r="I16" s="45"/>
      <c r="J16" s="45"/>
      <c r="K16" s="45"/>
      <c r="L16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9FFD-4D1A-4822-AE31-EAB3701A6EBD}">
  <dimension ref="B3:L14"/>
  <sheetViews>
    <sheetView showGridLines="0" workbookViewId="0">
      <selection activeCell="E24" sqref="E24"/>
    </sheetView>
  </sheetViews>
  <sheetFormatPr defaultRowHeight="15"/>
  <cols>
    <col min="1" max="1" width="11.7109375" customWidth="1"/>
    <col min="2" max="2" width="25.7109375" customWidth="1"/>
    <col min="3" max="11" width="12.7109375" customWidth="1"/>
    <col min="12" max="12" width="15.28515625" customWidth="1"/>
  </cols>
  <sheetData>
    <row r="3" spans="2:12" ht="15.75">
      <c r="B3" s="46" t="s">
        <v>82</v>
      </c>
      <c r="C3" s="49" t="s">
        <v>83</v>
      </c>
      <c r="D3" s="49" t="s">
        <v>84</v>
      </c>
      <c r="E3" s="49" t="s">
        <v>85</v>
      </c>
      <c r="F3" s="49" t="s">
        <v>86</v>
      </c>
      <c r="G3" s="49" t="s">
        <v>87</v>
      </c>
      <c r="H3" s="49" t="s">
        <v>88</v>
      </c>
      <c r="I3" s="49" t="s">
        <v>89</v>
      </c>
      <c r="J3" s="49" t="s">
        <v>90</v>
      </c>
      <c r="K3" s="49" t="s">
        <v>91</v>
      </c>
      <c r="L3" s="50" t="s">
        <v>102</v>
      </c>
    </row>
    <row r="4" spans="2:12">
      <c r="B4" s="47" t="s">
        <v>103</v>
      </c>
      <c r="C4" s="55">
        <v>4.7</v>
      </c>
      <c r="D4" s="55">
        <v>5.6</v>
      </c>
      <c r="E4" s="55">
        <v>7.3</v>
      </c>
      <c r="F4" s="55">
        <v>73.900000000000006</v>
      </c>
      <c r="G4" s="55">
        <v>66.3</v>
      </c>
      <c r="H4" s="55">
        <v>22</v>
      </c>
      <c r="I4" s="55">
        <v>380</v>
      </c>
      <c r="J4" s="55">
        <v>229.9</v>
      </c>
      <c r="K4" s="55">
        <v>212</v>
      </c>
      <c r="L4" s="60">
        <v>27.6</v>
      </c>
    </row>
    <row r="5" spans="2:12">
      <c r="B5" s="47" t="s">
        <v>104</v>
      </c>
      <c r="C5" s="55">
        <v>11.1</v>
      </c>
      <c r="D5" s="55">
        <v>12.6</v>
      </c>
      <c r="E5" s="55">
        <v>9.6999999999999993</v>
      </c>
      <c r="F5" s="55">
        <v>13.2</v>
      </c>
      <c r="G5" s="55">
        <v>18.3</v>
      </c>
      <c r="H5" s="55">
        <v>31.7</v>
      </c>
      <c r="I5" s="55">
        <v>36.299999999999997</v>
      </c>
      <c r="J5" s="55">
        <v>35</v>
      </c>
      <c r="K5" s="55">
        <v>38.299999999999997</v>
      </c>
      <c r="L5" s="60">
        <v>120.5</v>
      </c>
    </row>
    <row r="6" spans="2:12">
      <c r="B6" s="47" t="s">
        <v>105</v>
      </c>
      <c r="C6" s="55">
        <v>74.2</v>
      </c>
      <c r="D6" s="55">
        <v>119.3</v>
      </c>
      <c r="E6" s="55">
        <v>122.7</v>
      </c>
      <c r="F6" s="55">
        <v>233.4</v>
      </c>
      <c r="G6" s="55">
        <v>309.2</v>
      </c>
      <c r="H6" s="55">
        <v>380.1</v>
      </c>
      <c r="I6" s="55">
        <v>713.3</v>
      </c>
      <c r="J6" s="55">
        <v>609.20000000000005</v>
      </c>
      <c r="K6" s="55">
        <v>638.70000000000005</v>
      </c>
      <c r="L6" s="60">
        <v>591.6</v>
      </c>
    </row>
    <row r="7" spans="2:12">
      <c r="B7" s="47" t="s">
        <v>106</v>
      </c>
      <c r="C7" s="55">
        <v>9.9</v>
      </c>
      <c r="D7" s="55">
        <v>18.8</v>
      </c>
      <c r="E7" s="55">
        <v>27.4</v>
      </c>
      <c r="F7" s="55">
        <v>46.7</v>
      </c>
      <c r="G7" s="55">
        <v>63.1</v>
      </c>
      <c r="H7" s="55">
        <v>233.7</v>
      </c>
      <c r="I7" s="55">
        <v>278.5</v>
      </c>
      <c r="J7" s="55">
        <v>263.2</v>
      </c>
      <c r="K7" s="55">
        <v>331.3</v>
      </c>
      <c r="L7" s="60">
        <v>338.2</v>
      </c>
    </row>
    <row r="8" spans="2:12">
      <c r="B8" s="47" t="s">
        <v>107</v>
      </c>
      <c r="C8" s="55">
        <v>217</v>
      </c>
      <c r="D8" s="55">
        <v>272.2</v>
      </c>
      <c r="E8" s="55">
        <v>286.39999999999998</v>
      </c>
      <c r="F8" s="55">
        <v>425.2</v>
      </c>
      <c r="G8" s="55">
        <v>542.79999999999995</v>
      </c>
      <c r="H8" s="55">
        <v>779.7</v>
      </c>
      <c r="I8" s="55">
        <v>1175.8</v>
      </c>
      <c r="J8" s="55">
        <v>1071.3</v>
      </c>
      <c r="K8" s="55">
        <v>1176.5</v>
      </c>
      <c r="L8" s="60">
        <v>1170.0999999999999</v>
      </c>
    </row>
    <row r="9" spans="2:12">
      <c r="B9" s="47" t="s">
        <v>108</v>
      </c>
      <c r="C9" s="55">
        <v>23</v>
      </c>
      <c r="D9" s="55">
        <v>38.5</v>
      </c>
      <c r="E9" s="55">
        <v>48.3</v>
      </c>
      <c r="F9" s="55">
        <v>103.6</v>
      </c>
      <c r="G9" s="55">
        <v>102.2</v>
      </c>
      <c r="H9" s="55">
        <v>149.30000000000001</v>
      </c>
      <c r="I9" s="55">
        <v>208.4</v>
      </c>
      <c r="J9" s="55">
        <v>225</v>
      </c>
      <c r="K9" s="55">
        <v>260.7</v>
      </c>
      <c r="L9" s="60">
        <v>291.7</v>
      </c>
    </row>
    <row r="10" spans="2:12">
      <c r="B10" s="47" t="s">
        <v>109</v>
      </c>
      <c r="C10" s="55">
        <v>126.7</v>
      </c>
      <c r="D10" s="55">
        <v>162.19999999999999</v>
      </c>
      <c r="E10" s="55">
        <v>176.5</v>
      </c>
      <c r="F10" s="55">
        <v>236.3</v>
      </c>
      <c r="G10" s="55">
        <v>244.2</v>
      </c>
      <c r="H10" s="55">
        <v>424.2</v>
      </c>
      <c r="I10" s="55">
        <v>716.4</v>
      </c>
      <c r="J10" s="55">
        <v>729.4</v>
      </c>
      <c r="K10" s="55">
        <v>823.1</v>
      </c>
      <c r="L10" s="60">
        <v>908.2</v>
      </c>
    </row>
    <row r="11" spans="2:12">
      <c r="B11" s="47" t="s">
        <v>110</v>
      </c>
      <c r="C11" s="55">
        <v>47</v>
      </c>
      <c r="D11" s="55">
        <v>66.2</v>
      </c>
      <c r="E11" s="55">
        <v>109.9</v>
      </c>
      <c r="F11" s="55">
        <v>188.9</v>
      </c>
      <c r="G11" s="55">
        <v>298.7</v>
      </c>
      <c r="H11" s="55">
        <v>355.5</v>
      </c>
      <c r="I11" s="55">
        <v>459</v>
      </c>
      <c r="J11" s="55">
        <v>342</v>
      </c>
      <c r="K11" s="55">
        <v>347.4</v>
      </c>
      <c r="L11" s="60">
        <v>259.3</v>
      </c>
    </row>
    <row r="12" spans="2:12">
      <c r="B12" s="47" t="s">
        <v>111</v>
      </c>
      <c r="C12" s="55">
        <v>217</v>
      </c>
      <c r="D12" s="55">
        <v>272.2</v>
      </c>
      <c r="E12" s="55">
        <v>286.39999999999998</v>
      </c>
      <c r="F12" s="55">
        <v>425.2</v>
      </c>
      <c r="G12" s="55">
        <v>542.79999999999995</v>
      </c>
      <c r="H12" s="55">
        <v>779.7</v>
      </c>
      <c r="I12" s="55">
        <v>1175.8</v>
      </c>
      <c r="J12" s="55">
        <v>1071</v>
      </c>
      <c r="K12" s="55">
        <v>1176.5</v>
      </c>
      <c r="L12" s="60">
        <v>1170.0999999999999</v>
      </c>
    </row>
    <row r="13" spans="2:12">
      <c r="B13" s="47"/>
      <c r="C13" s="55"/>
      <c r="D13" s="55"/>
      <c r="E13" s="55"/>
      <c r="F13" s="55"/>
      <c r="G13" s="55"/>
      <c r="H13" s="55"/>
      <c r="I13" s="55"/>
      <c r="J13" s="55"/>
      <c r="K13" s="55"/>
      <c r="L13" s="60"/>
    </row>
    <row r="14" spans="2:12">
      <c r="B14" s="48" t="s">
        <v>101</v>
      </c>
      <c r="C14" s="61">
        <v>11.4</v>
      </c>
      <c r="D14" s="61">
        <v>20.399999999999999</v>
      </c>
      <c r="E14" s="61">
        <v>16.2</v>
      </c>
      <c r="F14" s="61">
        <v>74.5</v>
      </c>
      <c r="G14" s="61">
        <v>107.5</v>
      </c>
      <c r="H14" s="61">
        <v>105.8</v>
      </c>
      <c r="I14" s="61">
        <v>55.9</v>
      </c>
      <c r="J14" s="61">
        <v>75.599999999999994</v>
      </c>
      <c r="K14" s="61">
        <v>53.8</v>
      </c>
      <c r="L14" s="62">
        <v>40.200000000000003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A64D-E23A-447B-AF0B-04F99C3013F6}">
  <dimension ref="B4:L11"/>
  <sheetViews>
    <sheetView showGridLines="0" workbookViewId="0">
      <selection activeCell="C5" sqref="C5"/>
    </sheetView>
  </sheetViews>
  <sheetFormatPr defaultRowHeight="15"/>
  <cols>
    <col min="1" max="1" width="13.42578125" customWidth="1"/>
    <col min="2" max="2" width="25.28515625" customWidth="1"/>
    <col min="3" max="11" width="12.7109375" customWidth="1"/>
    <col min="16382" max="16382" width="9.140625" bestFit="1" customWidth="1"/>
  </cols>
  <sheetData>
    <row r="4" spans="2:12" ht="15.75">
      <c r="B4" s="46" t="s">
        <v>82</v>
      </c>
      <c r="C4" s="49" t="s">
        <v>83</v>
      </c>
      <c r="D4" s="49" t="s">
        <v>84</v>
      </c>
      <c r="E4" s="49" t="s">
        <v>85</v>
      </c>
      <c r="F4" s="49" t="s">
        <v>86</v>
      </c>
      <c r="G4" s="49" t="s">
        <v>87</v>
      </c>
      <c r="H4" s="49" t="s">
        <v>88</v>
      </c>
      <c r="I4" s="49" t="s">
        <v>89</v>
      </c>
      <c r="J4" s="49" t="s">
        <v>90</v>
      </c>
      <c r="K4" s="49" t="s">
        <v>91</v>
      </c>
      <c r="L4" s="50" t="s">
        <v>92</v>
      </c>
    </row>
    <row r="5" spans="2:12">
      <c r="B5" s="47" t="s">
        <v>101</v>
      </c>
      <c r="C5" s="56">
        <v>-551</v>
      </c>
      <c r="D5" s="56">
        <v>-1798</v>
      </c>
      <c r="E5" s="56">
        <v>-3631</v>
      </c>
      <c r="F5" s="56">
        <v>-2203</v>
      </c>
      <c r="G5" s="56">
        <v>5986</v>
      </c>
      <c r="H5" s="56">
        <v>1797</v>
      </c>
      <c r="I5" s="56">
        <v>7967</v>
      </c>
      <c r="J5" s="56">
        <v>-5520</v>
      </c>
      <c r="K5" s="56">
        <v>934</v>
      </c>
      <c r="L5" s="57">
        <v>8718</v>
      </c>
    </row>
    <row r="6" spans="2:12">
      <c r="B6" s="47" t="s">
        <v>112</v>
      </c>
      <c r="C6" s="56">
        <v>2.7</v>
      </c>
      <c r="D6" s="56">
        <v>4.5999999999999996</v>
      </c>
      <c r="E6" s="56">
        <v>6.4</v>
      </c>
      <c r="F6" s="56">
        <v>11</v>
      </c>
      <c r="G6" s="56">
        <v>17</v>
      </c>
      <c r="H6" s="56">
        <v>40.799999999999997</v>
      </c>
      <c r="I6" s="56">
        <v>60.8</v>
      </c>
      <c r="J6" s="56">
        <v>75.400000000000006</v>
      </c>
      <c r="K6" s="56">
        <v>79.400000000000006</v>
      </c>
      <c r="L6" s="57">
        <v>84.6</v>
      </c>
    </row>
    <row r="7" spans="2:12">
      <c r="B7" s="47" t="s">
        <v>113</v>
      </c>
      <c r="C7" s="56">
        <v>3.9</v>
      </c>
      <c r="D7" s="56">
        <v>-5</v>
      </c>
      <c r="E7" s="56">
        <v>29.6</v>
      </c>
      <c r="F7" s="56">
        <v>97.8</v>
      </c>
      <c r="G7" s="56">
        <v>54.9</v>
      </c>
      <c r="H7" s="56">
        <v>36.799999999999997</v>
      </c>
      <c r="I7" s="56">
        <v>229.5</v>
      </c>
      <c r="J7" s="56">
        <v>121.2</v>
      </c>
      <c r="K7" s="56">
        <v>86.1</v>
      </c>
      <c r="L7" s="57">
        <v>67.400000000000006</v>
      </c>
    </row>
    <row r="8" spans="2:12">
      <c r="B8" s="47" t="s">
        <v>114</v>
      </c>
      <c r="C8" s="56">
        <v>-5.7</v>
      </c>
      <c r="D8" s="56">
        <v>-16.8</v>
      </c>
      <c r="E8" s="56">
        <v>-20.3</v>
      </c>
      <c r="F8" s="56">
        <v>-26.7</v>
      </c>
      <c r="G8" s="56">
        <v>-62</v>
      </c>
      <c r="H8" s="56">
        <v>-36.700000000000003</v>
      </c>
      <c r="I8" s="56">
        <v>-21.4</v>
      </c>
      <c r="J8" s="56">
        <v>-29.7</v>
      </c>
      <c r="K8" s="56">
        <v>-33.5</v>
      </c>
      <c r="L8" s="57">
        <v>-50.7</v>
      </c>
    </row>
    <row r="9" spans="2:12">
      <c r="B9" s="47" t="s">
        <v>115</v>
      </c>
      <c r="C9" s="56">
        <v>3.5</v>
      </c>
      <c r="D9" s="56">
        <v>22.3</v>
      </c>
      <c r="E9" s="56">
        <v>196.9</v>
      </c>
      <c r="F9" s="56">
        <v>0</v>
      </c>
      <c r="G9" s="56">
        <v>0</v>
      </c>
      <c r="H9" s="56">
        <v>0</v>
      </c>
      <c r="I9" s="56">
        <v>196.8</v>
      </c>
      <c r="J9" s="56">
        <v>0.4</v>
      </c>
      <c r="K9" s="56">
        <v>7.3</v>
      </c>
      <c r="L9" s="57">
        <v>44.2</v>
      </c>
    </row>
    <row r="10" spans="2:12">
      <c r="B10" s="47" t="s">
        <v>116</v>
      </c>
      <c r="C10" s="56">
        <v>-1</v>
      </c>
      <c r="D10" s="56">
        <v>-1</v>
      </c>
      <c r="E10" s="56">
        <v>-180.8</v>
      </c>
      <c r="F10" s="56">
        <v>-6.8</v>
      </c>
      <c r="G10" s="56">
        <v>0</v>
      </c>
      <c r="H10" s="56">
        <v>-17.7</v>
      </c>
      <c r="I10" s="56">
        <v>-30.9</v>
      </c>
      <c r="J10" s="56">
        <v>-41.2</v>
      </c>
      <c r="K10" s="56">
        <v>-53.6</v>
      </c>
      <c r="L10" s="57">
        <v>-54.2</v>
      </c>
    </row>
    <row r="11" spans="2:12">
      <c r="B11" s="48" t="s">
        <v>117</v>
      </c>
      <c r="C11" s="58">
        <v>3.9</v>
      </c>
      <c r="D11" s="58">
        <v>22.8</v>
      </c>
      <c r="E11" s="58">
        <v>-7.4</v>
      </c>
      <c r="F11" s="58">
        <v>-6.1</v>
      </c>
      <c r="G11" s="58">
        <v>2.2999999999999998</v>
      </c>
      <c r="H11" s="58">
        <v>-42</v>
      </c>
      <c r="I11" s="58">
        <v>156.69999999999999</v>
      </c>
      <c r="J11" s="58">
        <v>-238.3</v>
      </c>
      <c r="K11" s="58">
        <v>-59.7</v>
      </c>
      <c r="L11" s="59">
        <v>-65.900000000000006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2024-01-13T09:54:54Z</dcterms:created>
  <dcterms:modified xsi:type="dcterms:W3CDTF">2024-01-14T04:27:35Z</dcterms:modified>
  <cp:category/>
  <cp:contentStatus/>
</cp:coreProperties>
</file>