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E:\dev\DayCent_Documentation\NewManual\Spreadsheets\"/>
    </mc:Choice>
  </mc:AlternateContent>
  <xr:revisionPtr revIDLastSave="0" documentId="10_ncr:100000_{D12DC281-286F-48F0-984E-BAEDC92B7070}" xr6:coauthVersionLast="31" xr6:coauthVersionMax="31" xr10:uidLastSave="{00000000-0000-0000-0000-000000000000}"/>
  <bookViews>
    <workbookView xWindow="0" yWindow="0" windowWidth="17850" windowHeight="8850" activeTab="1" xr2:uid="{00000000-000D-0000-FFFF-FFFF00000000}"/>
  </bookViews>
  <sheets>
    <sheet name="crops" sheetId="1" r:id="rId1"/>
    <sheet name="trees" sheetId="3" r:id="rId2"/>
    <sheet name="param_defn" sheetId="2" r:id="rId3"/>
  </sheets>
  <definedNames>
    <definedName name="agnpp">crops!$C$2</definedName>
    <definedName name="bglivc">crops!$C$3</definedName>
    <definedName name="carbohydrate">crops!#REF!</definedName>
    <definedName name="cmrspnpp_1">crops!$C$4</definedName>
    <definedName name="cmrspnpp_2">crops!$C$5</definedName>
    <definedName name="cmrspnpp_3">crops!$C$6</definedName>
    <definedName name="cmrspnpp_4">crops!$C$7</definedName>
    <definedName name="cmrspnpp_5">crops!$C$8</definedName>
    <definedName name="cmrspnpp_6">crops!$C$9</definedName>
    <definedName name="fmrsplai_1">trees!$C$3</definedName>
    <definedName name="fmrsplai_2">trees!$C$4</definedName>
    <definedName name="fmrsplai_3">trees!$C$5</definedName>
    <definedName name="fmrsplai_4">trees!$C$6</definedName>
    <definedName name="fmrsplai_5">trees!$C$7</definedName>
    <definedName name="fmrsplai_6">trees!$C$8</definedName>
    <definedName name="rleavc_opt">trees!$C$2</definedName>
    <definedName name="X1_">trees!$B$17</definedName>
    <definedName name="X2_">trees!$B$18</definedName>
    <definedName name="X3_">trees!$B$19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2" i="1" l="1"/>
  <c r="O39" i="1" s="1"/>
  <c r="P39" i="1" s="1"/>
  <c r="O42" i="1"/>
  <c r="P42" i="1" s="1"/>
  <c r="O41" i="1"/>
  <c r="P41" i="1" s="1"/>
  <c r="O40" i="1"/>
  <c r="P40" i="1" s="1"/>
  <c r="O36" i="1"/>
  <c r="P36" i="1" s="1"/>
  <c r="O35" i="1"/>
  <c r="P35" i="1" s="1"/>
  <c r="O34" i="1"/>
  <c r="P34" i="1" s="1"/>
  <c r="O33" i="1"/>
  <c r="P33" i="1" s="1"/>
  <c r="O32" i="1"/>
  <c r="P32" i="1" s="1"/>
  <c r="O31" i="1"/>
  <c r="P31" i="1" s="1"/>
  <c r="O30" i="1"/>
  <c r="P30" i="1" s="1"/>
  <c r="O29" i="1"/>
  <c r="P29" i="1" s="1"/>
  <c r="O28" i="1"/>
  <c r="P28" i="1" s="1"/>
  <c r="O27" i="1"/>
  <c r="P27" i="1" s="1"/>
  <c r="O26" i="1"/>
  <c r="P26" i="1" s="1"/>
  <c r="O25" i="1"/>
  <c r="P25" i="1" s="1"/>
  <c r="O24" i="1"/>
  <c r="P24" i="1" s="1"/>
  <c r="O23" i="1"/>
  <c r="P23" i="1" s="1"/>
  <c r="O22" i="1"/>
  <c r="P22" i="1" s="1"/>
  <c r="O21" i="1"/>
  <c r="P21" i="1" s="1"/>
  <c r="O20" i="1"/>
  <c r="P20" i="1" s="1"/>
  <c r="O19" i="1"/>
  <c r="P19" i="1" s="1"/>
  <c r="O18" i="1"/>
  <c r="P18" i="1" s="1"/>
  <c r="O17" i="1"/>
  <c r="P17" i="1" s="1"/>
  <c r="O16" i="1"/>
  <c r="P16" i="1" s="1"/>
  <c r="O15" i="1"/>
  <c r="P15" i="1" s="1"/>
  <c r="O14" i="1"/>
  <c r="P14" i="1" s="1"/>
  <c r="O13" i="1"/>
  <c r="P13" i="1" s="1"/>
  <c r="O12" i="1"/>
  <c r="P12" i="1" s="1"/>
  <c r="O11" i="1"/>
  <c r="P11" i="1" s="1"/>
  <c r="O10" i="1"/>
  <c r="P10" i="1" s="1"/>
  <c r="O9" i="1"/>
  <c r="P9" i="1" s="1"/>
  <c r="O8" i="1"/>
  <c r="P8" i="1" s="1"/>
  <c r="O7" i="1"/>
  <c r="P7" i="1" s="1"/>
  <c r="O6" i="1"/>
  <c r="P6" i="1" s="1"/>
  <c r="O5" i="1"/>
  <c r="P5" i="1" s="1"/>
  <c r="O4" i="1"/>
  <c r="P4" i="1" s="1"/>
  <c r="O3" i="1"/>
  <c r="P3" i="1" s="1"/>
  <c r="O2" i="1"/>
  <c r="P2" i="1" s="1"/>
  <c r="N3" i="1"/>
  <c r="N4" i="1" s="1"/>
  <c r="N5" i="1" s="1"/>
  <c r="N6" i="1" s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N32" i="1" s="1"/>
  <c r="N33" i="1" s="1"/>
  <c r="C20" i="1"/>
  <c r="C19" i="1"/>
  <c r="C18" i="1"/>
  <c r="B18" i="1"/>
  <c r="B19" i="1"/>
  <c r="B18" i="3"/>
  <c r="C19" i="3"/>
  <c r="C18" i="3"/>
  <c r="C17" i="3"/>
  <c r="B17" i="3"/>
  <c r="B19" i="3"/>
  <c r="O37" i="1" l="1"/>
  <c r="P37" i="1" s="1"/>
  <c r="O38" i="1"/>
  <c r="P38" i="1" s="1"/>
  <c r="N34" i="1"/>
  <c r="J2" i="3"/>
  <c r="F2" i="3"/>
  <c r="I2" i="3" s="1"/>
  <c r="K2" i="3"/>
  <c r="G2" i="3"/>
  <c r="K3" i="3"/>
  <c r="E3" i="3"/>
  <c r="J3" i="3" s="1"/>
  <c r="N35" i="1" l="1"/>
  <c r="G3" i="3"/>
  <c r="E4" i="3"/>
  <c r="F3" i="3"/>
  <c r="I3" i="3" s="1"/>
  <c r="L2" i="3"/>
  <c r="E5" i="3"/>
  <c r="G2" i="1"/>
  <c r="E3" i="1"/>
  <c r="G3" i="1" s="1"/>
  <c r="B20" i="1"/>
  <c r="K2" i="1" s="1"/>
  <c r="F2" i="1"/>
  <c r="N36" i="1" l="1"/>
  <c r="J5" i="3"/>
  <c r="K5" i="3"/>
  <c r="G5" i="3"/>
  <c r="F5" i="3"/>
  <c r="I5" i="3" s="1"/>
  <c r="G4" i="3"/>
  <c r="K4" i="3"/>
  <c r="F4" i="3"/>
  <c r="I4" i="3" s="1"/>
  <c r="J4" i="3"/>
  <c r="L3" i="3"/>
  <c r="E6" i="3"/>
  <c r="I2" i="1"/>
  <c r="J2" i="1"/>
  <c r="J3" i="1"/>
  <c r="K3" i="1"/>
  <c r="E4" i="1"/>
  <c r="F3" i="1"/>
  <c r="I3" i="1" s="1"/>
  <c r="L4" i="3" l="1"/>
  <c r="N37" i="1"/>
  <c r="F6" i="3"/>
  <c r="I6" i="3" s="1"/>
  <c r="G6" i="3"/>
  <c r="K6" i="3"/>
  <c r="J6" i="3"/>
  <c r="L5" i="3"/>
  <c r="E7" i="3"/>
  <c r="L2" i="1"/>
  <c r="L3" i="1"/>
  <c r="F4" i="1"/>
  <c r="I4" i="1" s="1"/>
  <c r="E5" i="1"/>
  <c r="K4" i="1"/>
  <c r="J4" i="1"/>
  <c r="G4" i="1"/>
  <c r="N38" i="1" l="1"/>
  <c r="G7" i="3"/>
  <c r="J7" i="3"/>
  <c r="K7" i="3"/>
  <c r="F7" i="3"/>
  <c r="I7" i="3" s="1"/>
  <c r="L6" i="3"/>
  <c r="E8" i="3"/>
  <c r="L4" i="1"/>
  <c r="E6" i="1"/>
  <c r="K5" i="1"/>
  <c r="J5" i="1"/>
  <c r="G5" i="1"/>
  <c r="F5" i="1"/>
  <c r="I5" i="1" s="1"/>
  <c r="N39" i="1" l="1"/>
  <c r="F8" i="3"/>
  <c r="I8" i="3" s="1"/>
  <c r="J8" i="3"/>
  <c r="G8" i="3"/>
  <c r="K8" i="3"/>
  <c r="L7" i="3"/>
  <c r="E9" i="3"/>
  <c r="L5" i="1"/>
  <c r="K6" i="1"/>
  <c r="J6" i="1"/>
  <c r="G6" i="1"/>
  <c r="E7" i="1"/>
  <c r="F6" i="1"/>
  <c r="I6" i="1" s="1"/>
  <c r="N40" i="1" l="1"/>
  <c r="K9" i="3"/>
  <c r="F9" i="3"/>
  <c r="I9" i="3" s="1"/>
  <c r="G9" i="3"/>
  <c r="J9" i="3"/>
  <c r="L8" i="3"/>
  <c r="E10" i="3"/>
  <c r="L6" i="1"/>
  <c r="E8" i="1"/>
  <c r="K7" i="1"/>
  <c r="J7" i="1"/>
  <c r="G7" i="1"/>
  <c r="F7" i="1"/>
  <c r="I7" i="1" s="1"/>
  <c r="N41" i="1" l="1"/>
  <c r="F10" i="3"/>
  <c r="I10" i="3" s="1"/>
  <c r="G10" i="3"/>
  <c r="K10" i="3"/>
  <c r="J10" i="3"/>
  <c r="L9" i="3"/>
  <c r="E11" i="3"/>
  <c r="L7" i="1"/>
  <c r="K8" i="1"/>
  <c r="J8" i="1"/>
  <c r="G8" i="1"/>
  <c r="F8" i="1"/>
  <c r="I8" i="1" s="1"/>
  <c r="E9" i="1"/>
  <c r="N42" i="1" l="1"/>
  <c r="F11" i="3"/>
  <c r="I11" i="3" s="1"/>
  <c r="K11" i="3"/>
  <c r="J11" i="3"/>
  <c r="G11" i="3"/>
  <c r="L10" i="3"/>
  <c r="E12" i="3"/>
  <c r="L8" i="1"/>
  <c r="G9" i="1"/>
  <c r="J9" i="1" s="1"/>
  <c r="K9" i="1"/>
  <c r="E10" i="1"/>
  <c r="F9" i="1"/>
  <c r="I9" i="1" s="1"/>
  <c r="J12" i="3" l="1"/>
  <c r="F12" i="3"/>
  <c r="I12" i="3" s="1"/>
  <c r="G12" i="3"/>
  <c r="K12" i="3"/>
  <c r="L11" i="3"/>
  <c r="E13" i="3"/>
  <c r="L9" i="1"/>
  <c r="G10" i="1"/>
  <c r="J10" i="1" s="1"/>
  <c r="K10" i="1"/>
  <c r="F10" i="1"/>
  <c r="I10" i="1" s="1"/>
  <c r="E11" i="1"/>
  <c r="J13" i="3" l="1"/>
  <c r="K13" i="3"/>
  <c r="G13" i="3"/>
  <c r="F13" i="3"/>
  <c r="I13" i="3" s="1"/>
  <c r="L12" i="3"/>
  <c r="E14" i="3"/>
  <c r="L10" i="1"/>
  <c r="G11" i="1"/>
  <c r="J11" i="1" s="1"/>
  <c r="K11" i="1"/>
  <c r="F11" i="1"/>
  <c r="I11" i="1" s="1"/>
  <c r="E12" i="1"/>
  <c r="F14" i="3" l="1"/>
  <c r="I14" i="3" s="1"/>
  <c r="G14" i="3"/>
  <c r="K14" i="3"/>
  <c r="J14" i="3"/>
  <c r="L13" i="3"/>
  <c r="E15" i="3"/>
  <c r="L11" i="1"/>
  <c r="K12" i="1"/>
  <c r="G12" i="1"/>
  <c r="J12" i="1" s="1"/>
  <c r="F12" i="1"/>
  <c r="I12" i="1" s="1"/>
  <c r="E13" i="1"/>
  <c r="I15" i="3" l="1"/>
  <c r="K15" i="3"/>
  <c r="G15" i="3"/>
  <c r="J15" i="3" s="1"/>
  <c r="F15" i="3"/>
  <c r="L14" i="3"/>
  <c r="E16" i="3"/>
  <c r="L12" i="1"/>
  <c r="K13" i="1"/>
  <c r="G13" i="1"/>
  <c r="J13" i="1" s="1"/>
  <c r="E14" i="1"/>
  <c r="F13" i="1"/>
  <c r="I13" i="1" s="1"/>
  <c r="I16" i="3" l="1"/>
  <c r="F16" i="3"/>
  <c r="G16" i="3"/>
  <c r="J16" i="3" s="1"/>
  <c r="K16" i="3"/>
  <c r="E17" i="3"/>
  <c r="L15" i="3"/>
  <c r="L13" i="1"/>
  <c r="K14" i="1"/>
  <c r="G14" i="1"/>
  <c r="J14" i="1" s="1"/>
  <c r="E15" i="1"/>
  <c r="F14" i="1"/>
  <c r="I14" i="1" s="1"/>
  <c r="I17" i="3" l="1"/>
  <c r="F17" i="3"/>
  <c r="K17" i="3"/>
  <c r="G17" i="3"/>
  <c r="J17" i="3" s="1"/>
  <c r="L16" i="3"/>
  <c r="E18" i="3"/>
  <c r="L14" i="1"/>
  <c r="K15" i="1"/>
  <c r="G15" i="1"/>
  <c r="J15" i="1" s="1"/>
  <c r="E16" i="1"/>
  <c r="F15" i="1"/>
  <c r="I15" i="1" s="1"/>
  <c r="I18" i="3" l="1"/>
  <c r="F18" i="3"/>
  <c r="G18" i="3"/>
  <c r="J18" i="3" s="1"/>
  <c r="K18" i="3"/>
  <c r="E19" i="3"/>
  <c r="L17" i="3"/>
  <c r="K16" i="1"/>
  <c r="I16" i="1"/>
  <c r="G16" i="1"/>
  <c r="J16" i="1" s="1"/>
  <c r="E17" i="1"/>
  <c r="F16" i="1"/>
  <c r="L15" i="1"/>
  <c r="F19" i="3" l="1"/>
  <c r="I19" i="3"/>
  <c r="K19" i="3"/>
  <c r="G19" i="3"/>
  <c r="J19" i="3" s="1"/>
  <c r="E20" i="3"/>
  <c r="L18" i="3"/>
  <c r="G17" i="1"/>
  <c r="J17" i="1" s="1"/>
  <c r="K17" i="1"/>
  <c r="E18" i="1"/>
  <c r="F17" i="1"/>
  <c r="I17" i="1" s="1"/>
  <c r="L16" i="1"/>
  <c r="I20" i="3" l="1"/>
  <c r="F20" i="3"/>
  <c r="K20" i="3"/>
  <c r="G20" i="3"/>
  <c r="J20" i="3" s="1"/>
  <c r="E21" i="3"/>
  <c r="L19" i="3"/>
  <c r="L17" i="1"/>
  <c r="G18" i="1"/>
  <c r="J18" i="1" s="1"/>
  <c r="K18" i="1"/>
  <c r="E19" i="1"/>
  <c r="F18" i="1"/>
  <c r="I18" i="1" s="1"/>
  <c r="I21" i="3" l="1"/>
  <c r="F21" i="3"/>
  <c r="K21" i="3"/>
  <c r="G21" i="3"/>
  <c r="J21" i="3" s="1"/>
  <c r="E22" i="3"/>
  <c r="L20" i="3"/>
  <c r="L18" i="1"/>
  <c r="G19" i="1"/>
  <c r="J19" i="1" s="1"/>
  <c r="K19" i="1"/>
  <c r="I19" i="1"/>
  <c r="E20" i="1"/>
  <c r="F19" i="1"/>
  <c r="F22" i="3" l="1"/>
  <c r="I22" i="3"/>
  <c r="G22" i="3"/>
  <c r="J22" i="3" s="1"/>
  <c r="K22" i="3"/>
  <c r="L21" i="3"/>
  <c r="E23" i="3"/>
  <c r="K20" i="1"/>
  <c r="G20" i="1"/>
  <c r="J20" i="1" s="1"/>
  <c r="E21" i="1"/>
  <c r="F20" i="1"/>
  <c r="I20" i="1" s="1"/>
  <c r="L19" i="1"/>
  <c r="I23" i="3" l="1"/>
  <c r="F23" i="3"/>
  <c r="G23" i="3"/>
  <c r="J23" i="3" s="1"/>
  <c r="K23" i="3"/>
  <c r="L22" i="3"/>
  <c r="E24" i="3"/>
  <c r="K21" i="1"/>
  <c r="I21" i="1"/>
  <c r="G21" i="1"/>
  <c r="J21" i="1" s="1"/>
  <c r="E22" i="1"/>
  <c r="F21" i="1"/>
  <c r="L20" i="1"/>
  <c r="I24" i="3" l="1"/>
  <c r="F24" i="3"/>
  <c r="G24" i="3"/>
  <c r="K24" i="3"/>
  <c r="J24" i="3"/>
  <c r="L23" i="3"/>
  <c r="E25" i="3"/>
  <c r="K22" i="1"/>
  <c r="G22" i="1"/>
  <c r="J22" i="1" s="1"/>
  <c r="F22" i="1"/>
  <c r="I22" i="1" s="1"/>
  <c r="E23" i="1"/>
  <c r="L21" i="1"/>
  <c r="I25" i="3" l="1"/>
  <c r="G25" i="3"/>
  <c r="J25" i="3" s="1"/>
  <c r="F25" i="3"/>
  <c r="K25" i="3"/>
  <c r="L24" i="3"/>
  <c r="E26" i="3"/>
  <c r="K23" i="1"/>
  <c r="G23" i="1"/>
  <c r="J23" i="1" s="1"/>
  <c r="E24" i="1"/>
  <c r="F23" i="1"/>
  <c r="I23" i="1" s="1"/>
  <c r="L22" i="1"/>
  <c r="I26" i="3" l="1"/>
  <c r="F26" i="3"/>
  <c r="G26" i="3"/>
  <c r="J26" i="3"/>
  <c r="K26" i="3"/>
  <c r="E27" i="3"/>
  <c r="L25" i="3"/>
  <c r="K24" i="1"/>
  <c r="G24" i="1"/>
  <c r="J24" i="1" s="1"/>
  <c r="E25" i="1"/>
  <c r="F24" i="1"/>
  <c r="I24" i="1" s="1"/>
  <c r="L23" i="1"/>
  <c r="F27" i="3" l="1"/>
  <c r="I27" i="3"/>
  <c r="K27" i="3"/>
  <c r="G27" i="3"/>
  <c r="J27" i="3" s="1"/>
  <c r="L26" i="3"/>
  <c r="E28" i="3"/>
  <c r="L24" i="1"/>
  <c r="G25" i="1"/>
  <c r="J25" i="1" s="1"/>
  <c r="K25" i="1"/>
  <c r="E26" i="1"/>
  <c r="F25" i="1"/>
  <c r="I25" i="1" s="1"/>
  <c r="I28" i="3" l="1"/>
  <c r="F28" i="3"/>
  <c r="K28" i="3"/>
  <c r="G28" i="3"/>
  <c r="J28" i="3" s="1"/>
  <c r="E29" i="3"/>
  <c r="L27" i="3"/>
  <c r="G26" i="1"/>
  <c r="J26" i="1" s="1"/>
  <c r="K26" i="1"/>
  <c r="F26" i="1"/>
  <c r="I26" i="1" s="1"/>
  <c r="E27" i="1"/>
  <c r="L25" i="1"/>
  <c r="I29" i="3" l="1"/>
  <c r="F29" i="3"/>
  <c r="G29" i="3"/>
  <c r="J29" i="3" s="1"/>
  <c r="K29" i="3"/>
  <c r="E30" i="3"/>
  <c r="L28" i="3"/>
  <c r="L26" i="1"/>
  <c r="G27" i="1"/>
  <c r="J27" i="1" s="1"/>
  <c r="K27" i="1"/>
  <c r="I27" i="1"/>
  <c r="E28" i="1"/>
  <c r="F27" i="1"/>
  <c r="I30" i="3" l="1"/>
  <c r="F30" i="3"/>
  <c r="G30" i="3"/>
  <c r="J30" i="3" s="1"/>
  <c r="K30" i="3"/>
  <c r="L29" i="3"/>
  <c r="E31" i="3"/>
  <c r="K28" i="1"/>
  <c r="I28" i="1"/>
  <c r="G28" i="1"/>
  <c r="J28" i="1" s="1"/>
  <c r="F28" i="1"/>
  <c r="E29" i="1"/>
  <c r="L27" i="1"/>
  <c r="I31" i="3" l="1"/>
  <c r="K31" i="3"/>
  <c r="F31" i="3"/>
  <c r="G31" i="3"/>
  <c r="J31" i="3" s="1"/>
  <c r="L30" i="3"/>
  <c r="E32" i="3"/>
  <c r="K29" i="1"/>
  <c r="I29" i="1"/>
  <c r="G29" i="1"/>
  <c r="J29" i="1" s="1"/>
  <c r="E30" i="1"/>
  <c r="F29" i="1"/>
  <c r="L28" i="1"/>
  <c r="I32" i="3" l="1"/>
  <c r="F32" i="3"/>
  <c r="G32" i="3"/>
  <c r="J32" i="3" s="1"/>
  <c r="K32" i="3"/>
  <c r="L31" i="3"/>
  <c r="E33" i="3"/>
  <c r="K30" i="1"/>
  <c r="I30" i="1"/>
  <c r="G30" i="1"/>
  <c r="J30" i="1" s="1"/>
  <c r="E31" i="1"/>
  <c r="F30" i="1"/>
  <c r="L29" i="1"/>
  <c r="I33" i="3" l="1"/>
  <c r="K33" i="3"/>
  <c r="G33" i="3"/>
  <c r="J33" i="3" s="1"/>
  <c r="F33" i="3"/>
  <c r="E34" i="3"/>
  <c r="L32" i="3"/>
  <c r="K31" i="1"/>
  <c r="I31" i="1"/>
  <c r="G31" i="1"/>
  <c r="J31" i="1" s="1"/>
  <c r="E32" i="1"/>
  <c r="F31" i="1"/>
  <c r="L30" i="1"/>
  <c r="I34" i="3" l="1"/>
  <c r="K34" i="3"/>
  <c r="F34" i="3"/>
  <c r="G34" i="3"/>
  <c r="J34" i="3" s="1"/>
  <c r="E35" i="3"/>
  <c r="L33" i="3"/>
  <c r="L31" i="1"/>
  <c r="K32" i="1"/>
  <c r="I32" i="1"/>
  <c r="G32" i="1"/>
  <c r="J32" i="1" s="1"/>
  <c r="F32" i="1"/>
  <c r="E33" i="1"/>
  <c r="F35" i="3" l="1"/>
  <c r="I35" i="3"/>
  <c r="K35" i="3"/>
  <c r="G35" i="3"/>
  <c r="J35" i="3" s="1"/>
  <c r="L34" i="3"/>
  <c r="E36" i="3"/>
  <c r="I33" i="1"/>
  <c r="K33" i="1"/>
  <c r="G33" i="1"/>
  <c r="J33" i="1" s="1"/>
  <c r="F33" i="1"/>
  <c r="E34" i="1"/>
  <c r="L32" i="1"/>
  <c r="I36" i="3" l="1"/>
  <c r="G36" i="3"/>
  <c r="J36" i="3" s="1"/>
  <c r="F36" i="3"/>
  <c r="K36" i="3"/>
  <c r="E37" i="3"/>
  <c r="L35" i="3"/>
  <c r="I34" i="1"/>
  <c r="G34" i="1"/>
  <c r="J34" i="1" s="1"/>
  <c r="K34" i="1"/>
  <c r="F34" i="1"/>
  <c r="E35" i="1"/>
  <c r="L33" i="1"/>
  <c r="I37" i="3" l="1"/>
  <c r="F37" i="3"/>
  <c r="G37" i="3"/>
  <c r="J37" i="3" s="1"/>
  <c r="K37" i="3"/>
  <c r="E38" i="3"/>
  <c r="L36" i="3"/>
  <c r="G35" i="1"/>
  <c r="J35" i="1" s="1"/>
  <c r="K35" i="1"/>
  <c r="I35" i="1"/>
  <c r="F35" i="1"/>
  <c r="E36" i="1"/>
  <c r="L34" i="1"/>
  <c r="F38" i="3" l="1"/>
  <c r="I38" i="3"/>
  <c r="K38" i="3"/>
  <c r="G38" i="3"/>
  <c r="J38" i="3" s="1"/>
  <c r="L37" i="3"/>
  <c r="E39" i="3"/>
  <c r="L35" i="1"/>
  <c r="K36" i="1"/>
  <c r="I36" i="1"/>
  <c r="G36" i="1"/>
  <c r="J36" i="1" s="1"/>
  <c r="E37" i="1"/>
  <c r="F36" i="1"/>
  <c r="I39" i="3" l="1"/>
  <c r="F39" i="3"/>
  <c r="G39" i="3"/>
  <c r="J39" i="3" s="1"/>
  <c r="K39" i="3"/>
  <c r="L38" i="3"/>
  <c r="E40" i="3"/>
  <c r="K37" i="1"/>
  <c r="I37" i="1"/>
  <c r="G37" i="1"/>
  <c r="J37" i="1" s="1"/>
  <c r="F37" i="1"/>
  <c r="E38" i="1"/>
  <c r="L36" i="1"/>
  <c r="I40" i="3" l="1"/>
  <c r="F40" i="3"/>
  <c r="G40" i="3"/>
  <c r="J40" i="3" s="1"/>
  <c r="K40" i="3"/>
  <c r="L39" i="3"/>
  <c r="E41" i="3"/>
  <c r="L37" i="1"/>
  <c r="K38" i="1"/>
  <c r="I38" i="1"/>
  <c r="G38" i="1"/>
  <c r="J38" i="1" s="1"/>
  <c r="F38" i="1"/>
  <c r="E39" i="1"/>
  <c r="I41" i="3" l="1"/>
  <c r="K41" i="3"/>
  <c r="G41" i="3"/>
  <c r="J41" i="3" s="1"/>
  <c r="F41" i="3"/>
  <c r="L40" i="3"/>
  <c r="E42" i="3"/>
  <c r="K39" i="1"/>
  <c r="I39" i="1"/>
  <c r="G39" i="1"/>
  <c r="J39" i="1" s="1"/>
  <c r="F39" i="1"/>
  <c r="E40" i="1"/>
  <c r="L38" i="1"/>
  <c r="I42" i="3" l="1"/>
  <c r="K42" i="3"/>
  <c r="J42" i="3"/>
  <c r="F42" i="3"/>
  <c r="G42" i="3"/>
  <c r="E43" i="3"/>
  <c r="L41" i="3"/>
  <c r="K40" i="1"/>
  <c r="I40" i="1"/>
  <c r="G40" i="1"/>
  <c r="J40" i="1" s="1"/>
  <c r="E41" i="1"/>
  <c r="F40" i="1"/>
  <c r="L39" i="1"/>
  <c r="F43" i="3" l="1"/>
  <c r="I43" i="3"/>
  <c r="G43" i="3"/>
  <c r="K43" i="3"/>
  <c r="J43" i="3"/>
  <c r="E44" i="3"/>
  <c r="L42" i="3"/>
  <c r="I41" i="1"/>
  <c r="G41" i="1"/>
  <c r="J41" i="1" s="1"/>
  <c r="K41" i="1"/>
  <c r="F41" i="1"/>
  <c r="E42" i="1"/>
  <c r="L40" i="1"/>
  <c r="I44" i="3" l="1"/>
  <c r="F44" i="3"/>
  <c r="J44" i="3"/>
  <c r="K44" i="3"/>
  <c r="G44" i="3"/>
  <c r="L43" i="3"/>
  <c r="E45" i="3"/>
  <c r="I42" i="1"/>
  <c r="G42" i="1"/>
  <c r="J42" i="1" s="1"/>
  <c r="K42" i="1"/>
  <c r="F42" i="1"/>
  <c r="E43" i="1"/>
  <c r="L41" i="1"/>
  <c r="I45" i="3" l="1"/>
  <c r="G45" i="3"/>
  <c r="K45" i="3"/>
  <c r="F45" i="3"/>
  <c r="J45" i="3"/>
  <c r="L44" i="3"/>
  <c r="E46" i="3"/>
  <c r="G43" i="1"/>
  <c r="K43" i="1"/>
  <c r="J43" i="1"/>
  <c r="I43" i="1"/>
  <c r="F43" i="1"/>
  <c r="E44" i="1"/>
  <c r="L42" i="1"/>
  <c r="F46" i="3" l="1"/>
  <c r="I46" i="3"/>
  <c r="J46" i="3"/>
  <c r="G46" i="3"/>
  <c r="K46" i="3"/>
  <c r="L45" i="3"/>
  <c r="E47" i="3"/>
  <c r="F44" i="1"/>
  <c r="K44" i="1"/>
  <c r="J44" i="1"/>
  <c r="I44" i="1"/>
  <c r="G44" i="1"/>
  <c r="E45" i="1"/>
  <c r="L43" i="1"/>
  <c r="I47" i="3" l="1"/>
  <c r="F47" i="3"/>
  <c r="K47" i="3"/>
  <c r="G47" i="3"/>
  <c r="J47" i="3"/>
  <c r="L46" i="3"/>
  <c r="E48" i="3"/>
  <c r="L44" i="1"/>
  <c r="F45" i="1"/>
  <c r="K45" i="1"/>
  <c r="I45" i="1"/>
  <c r="G45" i="1"/>
  <c r="J45" i="1" s="1"/>
  <c r="E46" i="1"/>
  <c r="I48" i="3" l="1"/>
  <c r="F48" i="3"/>
  <c r="G48" i="3"/>
  <c r="J48" i="3"/>
  <c r="K48" i="3"/>
  <c r="E49" i="3"/>
  <c r="L47" i="3"/>
  <c r="K46" i="1"/>
  <c r="J46" i="1"/>
  <c r="I46" i="1"/>
  <c r="G46" i="1"/>
  <c r="E47" i="1"/>
  <c r="F46" i="1"/>
  <c r="L45" i="1"/>
  <c r="I49" i="3" l="1"/>
  <c r="K49" i="3"/>
  <c r="F49" i="3"/>
  <c r="G49" i="3"/>
  <c r="J49" i="3"/>
  <c r="L48" i="3"/>
  <c r="E50" i="3"/>
  <c r="K47" i="1"/>
  <c r="J47" i="1"/>
  <c r="I47" i="1"/>
  <c r="G47" i="1"/>
  <c r="E48" i="1"/>
  <c r="F47" i="1"/>
  <c r="L46" i="1"/>
  <c r="I50" i="3" l="1"/>
  <c r="J50" i="3"/>
  <c r="G50" i="3"/>
  <c r="K50" i="3"/>
  <c r="F50" i="3"/>
  <c r="E51" i="3"/>
  <c r="L49" i="3"/>
  <c r="K48" i="1"/>
  <c r="I48" i="1"/>
  <c r="J48" i="1"/>
  <c r="G48" i="1"/>
  <c r="F48" i="1"/>
  <c r="E49" i="1"/>
  <c r="L47" i="1"/>
  <c r="F51" i="3" l="1"/>
  <c r="I51" i="3"/>
  <c r="G51" i="3"/>
  <c r="J51" i="3"/>
  <c r="K51" i="3"/>
  <c r="E52" i="3"/>
  <c r="L50" i="3"/>
  <c r="L48" i="1"/>
  <c r="G49" i="1"/>
  <c r="J49" i="1" s="1"/>
  <c r="I49" i="1"/>
  <c r="K49" i="1"/>
  <c r="F49" i="1"/>
  <c r="E50" i="1"/>
  <c r="I52" i="3" l="1"/>
  <c r="K52" i="3"/>
  <c r="G52" i="3"/>
  <c r="F52" i="3"/>
  <c r="J52" i="3"/>
  <c r="L51" i="3"/>
  <c r="F50" i="1"/>
  <c r="I50" i="1"/>
  <c r="G50" i="1"/>
  <c r="J50" i="1" s="1"/>
  <c r="E51" i="1"/>
  <c r="K50" i="1"/>
  <c r="L49" i="1"/>
  <c r="L52" i="3" l="1"/>
  <c r="E52" i="1"/>
  <c r="K51" i="1"/>
  <c r="I51" i="1"/>
  <c r="F51" i="1"/>
  <c r="G51" i="1"/>
  <c r="J51" i="1" s="1"/>
  <c r="L50" i="1"/>
  <c r="I52" i="1" l="1"/>
  <c r="K52" i="1"/>
  <c r="J52" i="1"/>
  <c r="F52" i="1"/>
  <c r="G52" i="1"/>
  <c r="L51" i="1"/>
  <c r="L52" i="1" l="1"/>
</calcChain>
</file>

<file path=xl/sharedStrings.xml><?xml version="1.0" encoding="utf-8"?>
<sst xmlns="http://schemas.openxmlformats.org/spreadsheetml/2006/main" count="108" uniqueCount="66">
  <si>
    <t>cmrspnpp(2)</t>
  </si>
  <si>
    <t>cmrspnpp(1)</t>
  </si>
  <si>
    <t>cmrspnpp(3)</t>
  </si>
  <si>
    <t>cmrspnpp(4)</t>
  </si>
  <si>
    <t>cmrspnpp(5)</t>
  </si>
  <si>
    <t>cmrspnpp(6)</t>
  </si>
  <si>
    <t>agnpp</t>
  </si>
  <si>
    <t>carbohydrate_storage</t>
  </si>
  <si>
    <t>X1=cmrspnpp(1)*agnpp</t>
  </si>
  <si>
    <t>X2=cmrspnpp(3)*agnpp</t>
  </si>
  <si>
    <t>(y2-y1)/(x2-x1)*(x-x2)+y2</t>
  </si>
  <si>
    <t>Y1=cmrspnpp(2)</t>
  </si>
  <si>
    <t>Y2=cmrspnpp(4)</t>
  </si>
  <si>
    <t>mrspReduce2</t>
  </si>
  <si>
    <t>mrspReduce1</t>
  </si>
  <si>
    <t>mrspReduce3</t>
  </si>
  <si>
    <t>mrespReduce</t>
  </si>
  <si>
    <t>mrespReduce maximum</t>
  </si>
  <si>
    <t>mrespReduce at 1st inflection</t>
  </si>
  <si>
    <t>X1 value for line function that decreases maintenance respiration based on predicted aboveground production when the amount of carbon in the carbohydrate storage pool is less than (CMRSPNPP(3) * predicted aboveground production) for a grass/crop system</t>
  </si>
  <si>
    <t>Y1 value for line function that decreases maintenance respiration based on predicted aboveground production when the amount of carbon in the carbohydrate storage pool is less than (CMRSPNPP(3) * predicted aboveground production) for a grass/crop system</t>
  </si>
  <si>
    <t>X2 value for line function that decreases maintenance respiration based on predicted aboveground production when the amount of carbon in the carbohydrate storage pool is less than (CMRSPNPP(3) * predicted aboveground production) for a grass/crop system -OR- X1 value for line function that decreases maintenance respiration based on predicted aboveground production when the amount of carbon in the carbohydrate storage pool is between (CMRSPNPP(3) * predicted aboveground production) and (CMRSPNPP(5) * predicted aboveground production) for a grass/crop system</t>
  </si>
  <si>
    <t>Y2 value for line function that decreases maintenance respiration based on predicted aboveground production when the amount of carbon in the carbohydrate storage pool is less than (CMRSPNPP(3) * predicted aboveground production) for a grass/crop system -OR- Y1 value for line function that decreases maintenance respiration based on predicted aboveground production when the amount of carbon in the carbohydrate storage pool is between (CMRSPNPP(3) * predicted aboveground production) and (CMRSPNPP(5) * predicted aboveground production) for a grass/crop system</t>
  </si>
  <si>
    <t>X2 value for line function that decreases maintenance respiration based on predicted aboveground production when the amount of carbon in the carbohydrate storage pool is between (CMRSPNPP(3) * predicted aboveground production)and (CMRSPNPP(5) * predicted aboveground production) for a grass/crop system</t>
  </si>
  <si>
    <t>Y2 value for line function that decreases maintenance respiration based on predicted aboveground production when the amount of carbon in the carbohydrate storage pool is between (CMRSPNPP(3) * predicted aboveground production) and (CMRSPNPP(5) * predicted aboveground production) for a grass/crop system -OR- Y value for line function that decreases maintenance respiration based on predicted aboveground production when the amount of carbon in the carbohydrate storage pool is greater than (CMRSPNPP(5)*predicted aboveground production) for a grass/crop system</t>
  </si>
  <si>
    <t>mrespReduce (y1) when agcnpp=0</t>
  </si>
  <si>
    <t>x1</t>
  </si>
  <si>
    <t>rleavc_opt</t>
  </si>
  <si>
    <t>mrespReduce (y1) when rleavc_opt=0</t>
  </si>
  <si>
    <t>fmrsplai(1)</t>
  </si>
  <si>
    <t>fmrsplai(2)</t>
  </si>
  <si>
    <t>fmrsplai(3)</t>
  </si>
  <si>
    <t>fmrsplai(4)</t>
  </si>
  <si>
    <t>fmrsplai(5)</t>
  </si>
  <si>
    <t>fmrsplai(6)</t>
  </si>
  <si>
    <t>X1=fmrsplai(1)*rleavc_opt</t>
  </si>
  <si>
    <t>Y1=fmrsplai(2)</t>
  </si>
  <si>
    <t>X2=fmrsplai(3)*rleavc_opt</t>
  </si>
  <si>
    <t>Y2=fmrsplai(4)</t>
  </si>
  <si>
    <r>
      <t>X2 value for line function that decreases maintenance respiration based on optimal leaf carbon when the amount of carbon in the carbohydrate storage pool is between (</t>
    </r>
    <r>
      <rPr>
        <b/>
        <i/>
        <sz val="11"/>
        <color theme="1"/>
        <rFont val="Calibri"/>
        <family val="2"/>
      </rPr>
      <t>fmrsplai</t>
    </r>
    <r>
      <rPr>
        <sz val="11"/>
        <color theme="1"/>
        <rFont val="Calibri"/>
        <family val="2"/>
      </rPr>
      <t xml:space="preserve"> (3) * optimal leaf carbon) and (</t>
    </r>
    <r>
      <rPr>
        <b/>
        <i/>
        <sz val="11"/>
        <color theme="1"/>
        <rFont val="Calibri"/>
        <family val="2"/>
      </rPr>
      <t>fmrsplai</t>
    </r>
    <r>
      <rPr>
        <sz val="11"/>
        <color theme="1"/>
        <rFont val="Calibri"/>
        <family val="2"/>
      </rPr>
      <t xml:space="preserve"> (5) * optimal leaf carbon) for a forest system</t>
    </r>
  </si>
  <si>
    <t>X1 value for line function that decreases maintenance respiration based on optimal leaf carbon when the amount of carbon in the carbohydrate storage pool is less than (fmrsplai (3) * optimal leaf carbon) for a forest system</t>
  </si>
  <si>
    <t>Y1 value for line function that decreases maintenance respiration based on optimal leaf carbon when the amount of carbon in the carbohydrate storage pool is less than  (fmrsplai (3) * optimal leaf carbon) for a forest system</t>
  </si>
  <si>
    <r>
      <t>X2 value for line function that decreases maintenance respiration based on optimal leaf carbon when the amount of carbon in the carbohydrate storage pool is less than  (</t>
    </r>
    <r>
      <rPr>
        <b/>
        <i/>
        <sz val="11"/>
        <color theme="1"/>
        <rFont val="Calibri"/>
        <family val="2"/>
      </rPr>
      <t>fmrsplai</t>
    </r>
    <r>
      <rPr>
        <sz val="11"/>
        <color theme="1"/>
        <rFont val="Calibri"/>
        <family val="2"/>
      </rPr>
      <t>(3) * optimal leaf carbon) for a forest system -OR- X1 value for line function that decreases maintenance respiration based on optimal leaf carbon when the amount of carbon in the carbohydrate storage pool is between (fmrsplai (3) * optimal leaf carbon) and  (fmrsplai (5) * optimal leaf carbon) for a forest system</t>
    </r>
  </si>
  <si>
    <r>
      <t>Y2 value for line function that decreases maintenance respiration based on optimal leaf carbon when the amount of carbon in the carbohydrate storage pool is less than (</t>
    </r>
    <r>
      <rPr>
        <b/>
        <i/>
        <sz val="11"/>
        <color theme="1"/>
        <rFont val="Calibri"/>
        <family val="2"/>
      </rPr>
      <t>fmrsplai</t>
    </r>
    <r>
      <rPr>
        <sz val="11"/>
        <color theme="1"/>
        <rFont val="Calibri"/>
        <family val="2"/>
      </rPr>
      <t xml:space="preserve"> (3) * optimal leaf carbon) for a forest system -OR- Y1 value for line function that decreases maintenance respiration based on optimal leaf carbon when the amount of carbon in the carbohydrate storage pool is between  (fmrsplai (3) * optimal leaf carbon) and (fmrsplai (5) * optimal leaf carbon) for a forest system</t>
    </r>
  </si>
  <si>
    <r>
      <t>Y2 value for line function that decreases maintenance respiration based on optimal leaf carbon when the amount of carbon in the carbohydrate storage pool is between (</t>
    </r>
    <r>
      <rPr>
        <b/>
        <i/>
        <sz val="11"/>
        <color theme="1"/>
        <rFont val="Calibri"/>
        <family val="2"/>
      </rPr>
      <t>fmrsplai</t>
    </r>
    <r>
      <rPr>
        <sz val="11"/>
        <color theme="1"/>
        <rFont val="Calibri"/>
        <family val="2"/>
      </rPr>
      <t xml:space="preserve"> (3) * optimal leaf carbon) and  (</t>
    </r>
    <r>
      <rPr>
        <b/>
        <i/>
        <sz val="11"/>
        <color theme="1"/>
        <rFont val="Calibri"/>
        <family val="2"/>
      </rPr>
      <t>fmrsplai</t>
    </r>
    <r>
      <rPr>
        <sz val="11"/>
        <color theme="1"/>
        <rFont val="Calibri"/>
        <family val="2"/>
      </rPr>
      <t xml:space="preserve"> (5) * optimal leaf carbon) for a forest system -OR- Y value for line function that decreases maintenance respiration based on optimal leaf carbon when the amount of carbon in the carbohydrate storage pool is greater than  (fmrsplai (5) * optimal leaf carbon) for a forest system</t>
    </r>
  </si>
  <si>
    <t>X</t>
  </si>
  <si>
    <t>Y=mrspReduce</t>
  </si>
  <si>
    <t>mrespReduce (y2) at 1st inflection</t>
  </si>
  <si>
    <t>rleavc_opt=amount of leaf carbon (gC/m2) if LAI is at its optimal for the amount of supporting woody biomass</t>
  </si>
  <si>
    <t>X3=fmrsplai(5)*rleavc_opt</t>
  </si>
  <si>
    <t>Y3=fmrsplai(6)</t>
  </si>
  <si>
    <t>mrespReduce (y3) maximum</t>
  </si>
  <si>
    <t>Change values in this box</t>
  </si>
  <si>
    <t>mrspReduce2 endpoints</t>
  </si>
  <si>
    <t>mrspReduce1 endpoints</t>
  </si>
  <si>
    <t>mrspReduce2 enpoints</t>
  </si>
  <si>
    <t>X3=cmrspnpp(5)*agnpp</t>
  </si>
  <si>
    <t>Y3=cmrspnpp(6)</t>
  </si>
  <si>
    <t>rootadj</t>
  </si>
  <si>
    <t>bglivc</t>
  </si>
  <si>
    <t>fine root biomass</t>
  </si>
  <si>
    <t>rootadj1</t>
  </si>
  <si>
    <t>agnpp = (-40.0 + 3.0 * prcann) * 0.5*rootadj</t>
  </si>
  <si>
    <t>when bglivc &lt; 150 gC/m2, rootadj &lt; 1</t>
  </si>
  <si>
    <t>prcann (cm)</t>
  </si>
  <si>
    <t>estimated annual above-ground NPP (gC/m2/yr) based on annual precipitation (prcann, cm/yr)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</si>
</sst>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</font>
    <font>
      <b/>
      <i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2" fillId="0" borderId="0" xfId="0" applyFont="1" applyAlignment="1">
      <alignment vertical="center"/>
    </xf>
    <xf numFmtId="2" fontId="0" fillId="0" borderId="0" xfId="0" applyNumberFormat="1"/>
    <xf numFmtId="0" fontId="1" fillId="0" borderId="0" xfId="0" applyFont="1"/>
    <xf numFmtId="2" fontId="0" fillId="2" borderId="0" xfId="0" applyNumberFormat="1" applyFill="1"/>
    <xf numFmtId="0" fontId="0" fillId="2" borderId="0" xfId="0" applyFill="1"/>
    <xf numFmtId="2" fontId="0" fillId="3" borderId="0" xfId="0" applyNumberFormat="1" applyFill="1"/>
    <xf numFmtId="0" fontId="0" fillId="3" borderId="0" xfId="0" applyFill="1"/>
    <xf numFmtId="2" fontId="1" fillId="0" borderId="0" xfId="0" applyNumberFormat="1" applyFont="1"/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0" fillId="0" borderId="0" xfId="0" applyAlignment="1">
      <alignment wrapText="1"/>
    </xf>
    <xf numFmtId="0" fontId="0" fillId="4" borderId="0" xfId="0" applyFill="1"/>
    <xf numFmtId="0" fontId="0" fillId="5" borderId="0" xfId="0" applyFill="1"/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1" fillId="0" borderId="0" xfId="0" applyFont="1" applyAlignment="1">
      <alignment horizontal="center"/>
    </xf>
    <xf numFmtId="2" fontId="0" fillId="4" borderId="0" xfId="0" applyNumberFormat="1" applyFill="1"/>
    <xf numFmtId="0" fontId="1" fillId="0" borderId="5" xfId="0" applyFont="1" applyBorder="1" applyAlignment="1">
      <alignment horizontal="center" wrapText="1"/>
    </xf>
    <xf numFmtId="0" fontId="0" fillId="0" borderId="6" xfId="0" applyBorder="1" applyAlignment="1">
      <alignment horizontal="center"/>
    </xf>
    <xf numFmtId="2" fontId="0" fillId="4" borderId="6" xfId="0" applyNumberFormat="1" applyFill="1" applyBorder="1" applyAlignment="1">
      <alignment horizontal="center"/>
    </xf>
    <xf numFmtId="2" fontId="1" fillId="0" borderId="6" xfId="0" applyNumberFormat="1" applyFont="1" applyBorder="1" applyAlignment="1">
      <alignment horizontal="center"/>
    </xf>
    <xf numFmtId="2" fontId="0" fillId="2" borderId="6" xfId="0" applyNumberFormat="1" applyFill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3" borderId="6" xfId="0" applyNumberFormat="1" applyFill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Border="1"/>
    <xf numFmtId="0" fontId="0" fillId="0" borderId="12" xfId="0" applyBorder="1" applyAlignment="1">
      <alignment wrapText="1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mrespReduce (subroutine</a:t>
            </a:r>
            <a:r>
              <a:rPr lang="en-US" baseline="0"/>
              <a:t> </a:t>
            </a:r>
            <a:r>
              <a:rPr lang="en-US"/>
              <a:t>growth</a:t>
            </a:r>
            <a:r>
              <a:rPr lang="en-US" baseline="0"/>
              <a:t> calculation)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crops!$L$1</c:f>
              <c:strCache>
                <c:ptCount val="1"/>
                <c:pt idx="0">
                  <c:v>mrespReduce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crops!$E$2:$E$53</c:f>
              <c:numCache>
                <c:formatCode>General</c:formatCode>
                <c:ptCount val="52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</c:numCache>
            </c:numRef>
          </c:xVal>
          <c:yVal>
            <c:numRef>
              <c:f>crops!$L$2:$L$53</c:f>
              <c:numCache>
                <c:formatCode>General</c:formatCode>
                <c:ptCount val="52"/>
                <c:pt idx="0">
                  <c:v>0</c:v>
                </c:pt>
                <c:pt idx="1">
                  <c:v>7.999999999999996E-2</c:v>
                </c:pt>
                <c:pt idx="2">
                  <c:v>0.16000000000000003</c:v>
                </c:pt>
                <c:pt idx="3">
                  <c:v>0.24</c:v>
                </c:pt>
                <c:pt idx="4">
                  <c:v>0.31999999999999995</c:v>
                </c:pt>
                <c:pt idx="5">
                  <c:v>0.4</c:v>
                </c:pt>
                <c:pt idx="6">
                  <c:v>0.48</c:v>
                </c:pt>
                <c:pt idx="7">
                  <c:v>0.56000000000000005</c:v>
                </c:pt>
                <c:pt idx="8">
                  <c:v>0.64</c:v>
                </c:pt>
                <c:pt idx="9">
                  <c:v>0.72</c:v>
                </c:pt>
                <c:pt idx="10">
                  <c:v>0.8</c:v>
                </c:pt>
                <c:pt idx="11">
                  <c:v>0.88</c:v>
                </c:pt>
                <c:pt idx="12">
                  <c:v>0.96</c:v>
                </c:pt>
                <c:pt idx="13">
                  <c:v>1.009090909090909</c:v>
                </c:pt>
                <c:pt idx="14">
                  <c:v>1.0272727272727273</c:v>
                </c:pt>
                <c:pt idx="15">
                  <c:v>1.0454545454545454</c:v>
                </c:pt>
                <c:pt idx="16">
                  <c:v>1.0636363636363637</c:v>
                </c:pt>
                <c:pt idx="17">
                  <c:v>1.0818181818181818</c:v>
                </c:pt>
                <c:pt idx="18">
                  <c:v>1.1000000000000001</c:v>
                </c:pt>
                <c:pt idx="19">
                  <c:v>1.1181818181818182</c:v>
                </c:pt>
                <c:pt idx="20">
                  <c:v>1.1363636363636362</c:v>
                </c:pt>
                <c:pt idx="21">
                  <c:v>1.1545454545454545</c:v>
                </c:pt>
                <c:pt idx="22">
                  <c:v>1.1727272727272728</c:v>
                </c:pt>
                <c:pt idx="23">
                  <c:v>1.1909090909090909</c:v>
                </c:pt>
                <c:pt idx="24">
                  <c:v>1.209090909090909</c:v>
                </c:pt>
                <c:pt idx="25">
                  <c:v>1.2272727272727273</c:v>
                </c:pt>
                <c:pt idx="26">
                  <c:v>1.2454545454545456</c:v>
                </c:pt>
                <c:pt idx="27">
                  <c:v>1.2636363636363637</c:v>
                </c:pt>
                <c:pt idx="28">
                  <c:v>1.2818181818181817</c:v>
                </c:pt>
                <c:pt idx="29">
                  <c:v>1.3</c:v>
                </c:pt>
                <c:pt idx="30">
                  <c:v>1.3181818181818181</c:v>
                </c:pt>
                <c:pt idx="31">
                  <c:v>1.3363636363636364</c:v>
                </c:pt>
                <c:pt idx="32">
                  <c:v>1.3545454545454545</c:v>
                </c:pt>
                <c:pt idx="33">
                  <c:v>1.3727272727272728</c:v>
                </c:pt>
                <c:pt idx="34">
                  <c:v>1.3909090909090909</c:v>
                </c:pt>
                <c:pt idx="35">
                  <c:v>1.4090909090909092</c:v>
                </c:pt>
                <c:pt idx="36">
                  <c:v>1.4272727272727272</c:v>
                </c:pt>
                <c:pt idx="37">
                  <c:v>1.4454545454545455</c:v>
                </c:pt>
                <c:pt idx="38">
                  <c:v>1.4636363636363636</c:v>
                </c:pt>
                <c:pt idx="39">
                  <c:v>1.4818181818181819</c:v>
                </c:pt>
                <c:pt idx="40">
                  <c:v>1.5</c:v>
                </c:pt>
                <c:pt idx="41">
                  <c:v>1.5</c:v>
                </c:pt>
                <c:pt idx="42">
                  <c:v>1.5</c:v>
                </c:pt>
                <c:pt idx="43">
                  <c:v>1.5</c:v>
                </c:pt>
                <c:pt idx="44">
                  <c:v>1.5</c:v>
                </c:pt>
                <c:pt idx="45">
                  <c:v>1.5</c:v>
                </c:pt>
                <c:pt idx="46">
                  <c:v>1.5</c:v>
                </c:pt>
                <c:pt idx="47">
                  <c:v>1.5</c:v>
                </c:pt>
                <c:pt idx="48">
                  <c:v>1.5</c:v>
                </c:pt>
                <c:pt idx="49">
                  <c:v>1.5</c:v>
                </c:pt>
                <c:pt idx="50">
                  <c:v>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C3-456A-A2F0-025AA452D5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0025920"/>
        <c:axId val="230026312"/>
      </c:scatterChart>
      <c:valAx>
        <c:axId val="230025920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carbohydrate storage (g C m</a:t>
                </a:r>
                <a:r>
                  <a:rPr lang="en-US" baseline="30000"/>
                  <a:t>-2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026312"/>
        <c:crosses val="autoZero"/>
        <c:crossBetween val="midCat"/>
      </c:valAx>
      <c:valAx>
        <c:axId val="230026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025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agnpp = (-40.0 + 3.0 * prcann) * 0.5 *rootadj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crops!$P$1</c:f>
              <c:strCache>
                <c:ptCount val="1"/>
                <c:pt idx="0">
                  <c:v>agnpp = (-40.0 + 3.0 * prcann) * 0.5*rootadj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crops!$N$2:$N$52</c:f>
              <c:numCache>
                <c:formatCode>General</c:formatCode>
                <c:ptCount val="5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</c:numCache>
            </c:numRef>
          </c:xVal>
          <c:yVal>
            <c:numRef>
              <c:f>crops!$P$2:$P$52</c:f>
              <c:numCache>
                <c:formatCode>General</c:formatCode>
                <c:ptCount val="51"/>
                <c:pt idx="0">
                  <c:v>-16.833333333333332</c:v>
                </c:pt>
                <c:pt idx="1">
                  <c:v>-10.520833333333334</c:v>
                </c:pt>
                <c:pt idx="2">
                  <c:v>-4.208333333333333</c:v>
                </c:pt>
                <c:pt idx="3">
                  <c:v>2.1041666666666665</c:v>
                </c:pt>
                <c:pt idx="4">
                  <c:v>8.4166666666666661</c:v>
                </c:pt>
                <c:pt idx="5">
                  <c:v>14.729166666666666</c:v>
                </c:pt>
                <c:pt idx="6">
                  <c:v>21.041666666666668</c:v>
                </c:pt>
                <c:pt idx="7">
                  <c:v>27.354166666666668</c:v>
                </c:pt>
                <c:pt idx="8">
                  <c:v>33.666666666666664</c:v>
                </c:pt>
                <c:pt idx="9">
                  <c:v>39.979166666666664</c:v>
                </c:pt>
                <c:pt idx="10">
                  <c:v>46.291666666666664</c:v>
                </c:pt>
                <c:pt idx="11">
                  <c:v>52.604166666666664</c:v>
                </c:pt>
                <c:pt idx="12">
                  <c:v>58.916666666666664</c:v>
                </c:pt>
                <c:pt idx="13">
                  <c:v>65.229166666666671</c:v>
                </c:pt>
                <c:pt idx="14">
                  <c:v>71.541666666666671</c:v>
                </c:pt>
                <c:pt idx="15">
                  <c:v>77.854166666666671</c:v>
                </c:pt>
                <c:pt idx="16">
                  <c:v>84.166666666666671</c:v>
                </c:pt>
                <c:pt idx="17">
                  <c:v>90.479166666666671</c:v>
                </c:pt>
                <c:pt idx="18">
                  <c:v>96.791666666666671</c:v>
                </c:pt>
                <c:pt idx="19">
                  <c:v>103.10416666666667</c:v>
                </c:pt>
                <c:pt idx="20">
                  <c:v>109.41666666666667</c:v>
                </c:pt>
                <c:pt idx="21">
                  <c:v>115.72916666666667</c:v>
                </c:pt>
                <c:pt idx="22">
                  <c:v>122.04166666666667</c:v>
                </c:pt>
                <c:pt idx="23">
                  <c:v>128.35416666666666</c:v>
                </c:pt>
                <c:pt idx="24">
                  <c:v>134.66666666666666</c:v>
                </c:pt>
                <c:pt idx="25">
                  <c:v>140.97916666666666</c:v>
                </c:pt>
                <c:pt idx="26">
                  <c:v>147.29166666666666</c:v>
                </c:pt>
                <c:pt idx="27">
                  <c:v>153.60416666666666</c:v>
                </c:pt>
                <c:pt idx="28">
                  <c:v>159.91666666666666</c:v>
                </c:pt>
                <c:pt idx="29">
                  <c:v>166.22916666666666</c:v>
                </c:pt>
                <c:pt idx="30">
                  <c:v>172.54166666666666</c:v>
                </c:pt>
                <c:pt idx="31">
                  <c:v>178.85416666666666</c:v>
                </c:pt>
                <c:pt idx="32">
                  <c:v>185.16666666666666</c:v>
                </c:pt>
                <c:pt idx="33">
                  <c:v>191.47916666666666</c:v>
                </c:pt>
                <c:pt idx="34">
                  <c:v>197.79166666666666</c:v>
                </c:pt>
                <c:pt idx="35">
                  <c:v>204.10416666666666</c:v>
                </c:pt>
                <c:pt idx="36">
                  <c:v>210.41666666666666</c:v>
                </c:pt>
                <c:pt idx="37">
                  <c:v>216.72916666666666</c:v>
                </c:pt>
                <c:pt idx="38">
                  <c:v>223.04166666666666</c:v>
                </c:pt>
                <c:pt idx="39">
                  <c:v>229.35416666666666</c:v>
                </c:pt>
                <c:pt idx="40">
                  <c:v>235.66666666666666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34-4F3F-A9B3-7DFE6C2756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5214296"/>
        <c:axId val="475088016"/>
      </c:scatterChart>
      <c:valAx>
        <c:axId val="475214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088016"/>
        <c:crosses val="autoZero"/>
        <c:crossBetween val="midCat"/>
      </c:valAx>
      <c:valAx>
        <c:axId val="47508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214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mrespReduce (subroutine treegrow calculation)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trees!$L$1</c:f>
              <c:strCache>
                <c:ptCount val="1"/>
                <c:pt idx="0">
                  <c:v>mrespReduce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trees!$E$2:$E$52</c:f>
              <c:numCache>
                <c:formatCode>General</c:formatCode>
                <c:ptCount val="5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</c:numCache>
            </c:numRef>
          </c:xVal>
          <c:yVal>
            <c:numRef>
              <c:f>trees!$L$2:$L$52</c:f>
              <c:numCache>
                <c:formatCode>General</c:formatCode>
                <c:ptCount val="51"/>
                <c:pt idx="0">
                  <c:v>0</c:v>
                </c:pt>
                <c:pt idx="1">
                  <c:v>7.999999999999996E-2</c:v>
                </c:pt>
                <c:pt idx="2">
                  <c:v>0.16000000000000003</c:v>
                </c:pt>
                <c:pt idx="3">
                  <c:v>0.24</c:v>
                </c:pt>
                <c:pt idx="4">
                  <c:v>0.31999999999999995</c:v>
                </c:pt>
                <c:pt idx="5">
                  <c:v>0.4</c:v>
                </c:pt>
                <c:pt idx="6">
                  <c:v>0.48</c:v>
                </c:pt>
                <c:pt idx="7">
                  <c:v>0.56000000000000005</c:v>
                </c:pt>
                <c:pt idx="8">
                  <c:v>0.64</c:v>
                </c:pt>
                <c:pt idx="9">
                  <c:v>0.72</c:v>
                </c:pt>
                <c:pt idx="10">
                  <c:v>0.8</c:v>
                </c:pt>
                <c:pt idx="11">
                  <c:v>0.88</c:v>
                </c:pt>
                <c:pt idx="12">
                  <c:v>0.96</c:v>
                </c:pt>
                <c:pt idx="13">
                  <c:v>1.009090909090909</c:v>
                </c:pt>
                <c:pt idx="14">
                  <c:v>1.0272727272727273</c:v>
                </c:pt>
                <c:pt idx="15">
                  <c:v>1.0454545454545454</c:v>
                </c:pt>
                <c:pt idx="16">
                  <c:v>1.0636363636363637</c:v>
                </c:pt>
                <c:pt idx="17">
                  <c:v>1.0818181818181818</c:v>
                </c:pt>
                <c:pt idx="18">
                  <c:v>1.1000000000000001</c:v>
                </c:pt>
                <c:pt idx="19">
                  <c:v>1.1181818181818182</c:v>
                </c:pt>
                <c:pt idx="20">
                  <c:v>1.1363636363636362</c:v>
                </c:pt>
                <c:pt idx="21">
                  <c:v>1.1545454545454545</c:v>
                </c:pt>
                <c:pt idx="22">
                  <c:v>1.1727272727272728</c:v>
                </c:pt>
                <c:pt idx="23">
                  <c:v>1.1909090909090909</c:v>
                </c:pt>
                <c:pt idx="24">
                  <c:v>1.209090909090909</c:v>
                </c:pt>
                <c:pt idx="25">
                  <c:v>1.2272727272727273</c:v>
                </c:pt>
                <c:pt idx="26">
                  <c:v>1.2454545454545456</c:v>
                </c:pt>
                <c:pt idx="27">
                  <c:v>1.2636363636363637</c:v>
                </c:pt>
                <c:pt idx="28">
                  <c:v>1.2818181818181817</c:v>
                </c:pt>
                <c:pt idx="29">
                  <c:v>1.3</c:v>
                </c:pt>
                <c:pt idx="30">
                  <c:v>1.3181818181818181</c:v>
                </c:pt>
                <c:pt idx="31">
                  <c:v>1.3363636363636364</c:v>
                </c:pt>
                <c:pt idx="32">
                  <c:v>1.3545454545454545</c:v>
                </c:pt>
                <c:pt idx="33">
                  <c:v>1.3727272727272728</c:v>
                </c:pt>
                <c:pt idx="34">
                  <c:v>1.3909090909090909</c:v>
                </c:pt>
                <c:pt idx="35">
                  <c:v>1.4090909090909092</c:v>
                </c:pt>
                <c:pt idx="36">
                  <c:v>1.4272727272727272</c:v>
                </c:pt>
                <c:pt idx="37">
                  <c:v>1.4454545454545455</c:v>
                </c:pt>
                <c:pt idx="38">
                  <c:v>1.4636363636363636</c:v>
                </c:pt>
                <c:pt idx="39">
                  <c:v>1.4818181818181819</c:v>
                </c:pt>
                <c:pt idx="40">
                  <c:v>1.5</c:v>
                </c:pt>
                <c:pt idx="41">
                  <c:v>1.5</c:v>
                </c:pt>
                <c:pt idx="42">
                  <c:v>1.5</c:v>
                </c:pt>
                <c:pt idx="43">
                  <c:v>1.5</c:v>
                </c:pt>
                <c:pt idx="44">
                  <c:v>1.5</c:v>
                </c:pt>
                <c:pt idx="45">
                  <c:v>1.5</c:v>
                </c:pt>
                <c:pt idx="46">
                  <c:v>1.5</c:v>
                </c:pt>
                <c:pt idx="47">
                  <c:v>1.5</c:v>
                </c:pt>
                <c:pt idx="48">
                  <c:v>1.5</c:v>
                </c:pt>
                <c:pt idx="49">
                  <c:v>1.5</c:v>
                </c:pt>
                <c:pt idx="50">
                  <c:v>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E5-423F-B8D3-D1DD0FE0CF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5108352"/>
        <c:axId val="475101464"/>
      </c:scatterChart>
      <c:valAx>
        <c:axId val="475108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101464"/>
        <c:crosses val="autoZero"/>
        <c:crossBetween val="midCat"/>
      </c:valAx>
      <c:valAx>
        <c:axId val="475101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108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1000125</xdr:colOff>
      <xdr:row>6</xdr:row>
      <xdr:rowOff>47625</xdr:rowOff>
    </xdr:from>
    <xdr:to>
      <xdr:col>10</xdr:col>
      <xdr:colOff>109537</xdr:colOff>
      <xdr:row>29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833436</xdr:colOff>
      <xdr:row>8</xdr:row>
      <xdr:rowOff>119061</xdr:rowOff>
    </xdr:from>
    <xdr:to>
      <xdr:col>19</xdr:col>
      <xdr:colOff>895349</xdr:colOff>
      <xdr:row>32</xdr:row>
      <xdr:rowOff>66674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5036272-3C33-4BEF-9B9B-897C02C65B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2595560</xdr:colOff>
      <xdr:row>5</xdr:row>
      <xdr:rowOff>71437</xdr:rowOff>
    </xdr:from>
    <xdr:to>
      <xdr:col>9</xdr:col>
      <xdr:colOff>666749</xdr:colOff>
      <xdr:row>26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D80934C-ACBE-41AB-B30A-DAAB87DF93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52"/>
  <sheetViews>
    <sheetView workbookViewId="0">
      <selection activeCell="D3" sqref="D3"/>
    </sheetView>
  </sheetViews>
  <sheetFormatPr defaultRowHeight="12.75" x14ac:dyDescent="0.2"/>
  <cols>
    <col min="1" max="1" width="23.42578125" customWidth="1"/>
    <col min="2" max="2" width="19.140625" customWidth="1"/>
    <col min="3" max="3" width="18.28515625" customWidth="1"/>
    <col min="4" max="4" width="33.42578125" customWidth="1"/>
    <col min="5" max="5" width="18.7109375" customWidth="1"/>
    <col min="6" max="6" width="13.85546875" customWidth="1"/>
    <col min="7" max="7" width="15.85546875" customWidth="1"/>
    <col min="8" max="8" width="17.7109375" customWidth="1"/>
    <col min="9" max="9" width="15.85546875" customWidth="1"/>
    <col min="10" max="10" width="17" customWidth="1"/>
    <col min="11" max="11" width="18" customWidth="1"/>
    <col min="12" max="12" width="18" style="3" customWidth="1"/>
    <col min="14" max="14" width="16" customWidth="1"/>
    <col min="15" max="15" width="17.140625" customWidth="1"/>
    <col min="16" max="16" width="30.140625" customWidth="1"/>
    <col min="20" max="20" width="18.7109375" customWidth="1"/>
  </cols>
  <sheetData>
    <row r="1" spans="1:22" ht="13.5" thickTop="1" x14ac:dyDescent="0.2">
      <c r="E1" t="s">
        <v>7</v>
      </c>
      <c r="F1" t="s">
        <v>14</v>
      </c>
      <c r="G1" t="s">
        <v>13</v>
      </c>
      <c r="I1" t="s">
        <v>14</v>
      </c>
      <c r="J1" t="s">
        <v>13</v>
      </c>
      <c r="K1" t="s">
        <v>15</v>
      </c>
      <c r="L1" s="3" t="s">
        <v>16</v>
      </c>
      <c r="N1" s="30" t="s">
        <v>64</v>
      </c>
      <c r="O1" s="31" t="s">
        <v>58</v>
      </c>
      <c r="P1" s="31" t="s">
        <v>62</v>
      </c>
      <c r="Q1" s="31"/>
      <c r="R1" s="31"/>
      <c r="S1" s="31" t="s">
        <v>61</v>
      </c>
      <c r="T1" s="32"/>
    </row>
    <row r="2" spans="1:22" ht="38.25" x14ac:dyDescent="0.2">
      <c r="A2" t="s">
        <v>54</v>
      </c>
      <c r="B2" t="s">
        <v>6</v>
      </c>
      <c r="C2">
        <v>200</v>
      </c>
      <c r="D2" s="13" t="s">
        <v>65</v>
      </c>
      <c r="E2">
        <v>0</v>
      </c>
      <c r="F2">
        <f t="shared" ref="F2:F33" si="0">(cmrspnpp_4-cmrspnpp_2)/(cmrspnpp_3*agnpp-cmrspnpp_1*agnpp)*(E2-cmrspnpp_3*agnpp)+cmrspnpp_4</f>
        <v>0</v>
      </c>
      <c r="G2">
        <f t="shared" ref="G2:G33" si="1">(cmrspnpp_6-cmrspnpp_4)/(cmrspnpp_5*agnpp-cmrspnpp_3*agnpp)*(E2-cmrspnpp_5*agnpp)+cmrspnpp_6</f>
        <v>0.77272727272727271</v>
      </c>
      <c r="I2">
        <f>IF(E2&lt;$B$19,F2,0)</f>
        <v>0</v>
      </c>
      <c r="J2">
        <f>IF(AND(E2&gt;=$B$19,E2&lt;$B$20),G2,0)</f>
        <v>0</v>
      </c>
      <c r="K2">
        <f t="shared" ref="K2:K33" si="2">IF(E2&gt;=$B$20,cmrspnpp_6,0)</f>
        <v>0</v>
      </c>
      <c r="L2" s="3">
        <f>SUM(I2:K2)</f>
        <v>0</v>
      </c>
      <c r="N2" s="33">
        <v>0</v>
      </c>
      <c r="O2" s="34">
        <f>IF(bglivc&lt;150,$S$2,1)</f>
        <v>0.84166666666666667</v>
      </c>
      <c r="P2" s="34">
        <f>(-40+3*N2)*0.5*O2</f>
        <v>-16.833333333333332</v>
      </c>
      <c r="Q2" s="34"/>
      <c r="R2" s="34"/>
      <c r="S2" s="34">
        <f>(1-0.05)/(150-0)*(bglivc-150)+1</f>
        <v>0.84166666666666667</v>
      </c>
      <c r="T2" s="35" t="s">
        <v>63</v>
      </c>
      <c r="V2" t="s">
        <v>10</v>
      </c>
    </row>
    <row r="3" spans="1:22" x14ac:dyDescent="0.2">
      <c r="B3" t="s">
        <v>59</v>
      </c>
      <c r="C3">
        <v>125</v>
      </c>
      <c r="D3" s="13" t="s">
        <v>60</v>
      </c>
      <c r="E3">
        <f>E2+20</f>
        <v>20</v>
      </c>
      <c r="F3">
        <f t="shared" si="0"/>
        <v>7.999999999999996E-2</v>
      </c>
      <c r="G3">
        <f t="shared" si="1"/>
        <v>0.79090909090909089</v>
      </c>
      <c r="I3">
        <f t="shared" ref="I3:I50" si="3">IF(E3&lt;$B$19,F3,0)</f>
        <v>7.999999999999996E-2</v>
      </c>
      <c r="J3">
        <f t="shared" ref="J3:J50" si="4">IF(AND(E3&gt;=$B$19,E3&lt;$B$20),G3,0)</f>
        <v>0</v>
      </c>
      <c r="K3">
        <f t="shared" si="2"/>
        <v>0</v>
      </c>
      <c r="L3" s="3">
        <f t="shared" ref="L3:L50" si="5">SUM(I3:K3)</f>
        <v>7.999999999999996E-2</v>
      </c>
      <c r="N3" s="33">
        <f>N2+5</f>
        <v>5</v>
      </c>
      <c r="O3" s="34">
        <f>IF(bglivc&lt;150,$S$2,1)</f>
        <v>0.84166666666666667</v>
      </c>
      <c r="P3" s="34">
        <f t="shared" ref="P3:P42" si="6">(-40+3*N3)*0.5*O3</f>
        <v>-10.520833333333334</v>
      </c>
      <c r="Q3" s="34"/>
      <c r="R3" s="34"/>
      <c r="S3" s="34"/>
      <c r="T3" s="36"/>
    </row>
    <row r="4" spans="1:22" ht="15" x14ac:dyDescent="0.2">
      <c r="A4" t="s">
        <v>8</v>
      </c>
      <c r="B4" s="1" t="s">
        <v>1</v>
      </c>
      <c r="C4" s="21">
        <v>0</v>
      </c>
      <c r="D4" t="s">
        <v>26</v>
      </c>
      <c r="E4">
        <f t="shared" ref="E4:E44" si="7">E3+20</f>
        <v>40</v>
      </c>
      <c r="F4">
        <f t="shared" si="0"/>
        <v>0.16000000000000003</v>
      </c>
      <c r="G4">
        <f t="shared" si="1"/>
        <v>0.80909090909090908</v>
      </c>
      <c r="I4">
        <f t="shared" si="3"/>
        <v>0.16000000000000003</v>
      </c>
      <c r="J4">
        <f t="shared" si="4"/>
        <v>0</v>
      </c>
      <c r="K4">
        <f t="shared" si="2"/>
        <v>0</v>
      </c>
      <c r="L4" s="3">
        <f t="shared" si="5"/>
        <v>0.16000000000000003</v>
      </c>
      <c r="N4" s="33">
        <f t="shared" ref="N4:N42" si="8">N3+5</f>
        <v>10</v>
      </c>
      <c r="O4" s="34">
        <f>IF(bglivc&lt;150,$S$2,1)</f>
        <v>0.84166666666666667</v>
      </c>
      <c r="P4" s="34">
        <f t="shared" si="6"/>
        <v>-4.208333333333333</v>
      </c>
      <c r="Q4" s="34"/>
      <c r="R4" s="34"/>
      <c r="S4" s="34"/>
      <c r="T4" s="36"/>
    </row>
    <row r="5" spans="1:22" ht="15" x14ac:dyDescent="0.2">
      <c r="A5" t="s">
        <v>11</v>
      </c>
      <c r="B5" s="1" t="s">
        <v>0</v>
      </c>
      <c r="C5" s="8">
        <v>0</v>
      </c>
      <c r="D5" s="3" t="s">
        <v>25</v>
      </c>
      <c r="E5">
        <f t="shared" si="7"/>
        <v>60</v>
      </c>
      <c r="F5">
        <f t="shared" si="0"/>
        <v>0.24</v>
      </c>
      <c r="G5">
        <f t="shared" si="1"/>
        <v>0.82727272727272727</v>
      </c>
      <c r="I5">
        <f t="shared" si="3"/>
        <v>0.24</v>
      </c>
      <c r="J5">
        <f t="shared" si="4"/>
        <v>0</v>
      </c>
      <c r="K5">
        <f t="shared" si="2"/>
        <v>0</v>
      </c>
      <c r="L5" s="3">
        <f t="shared" si="5"/>
        <v>0.24</v>
      </c>
      <c r="N5" s="33">
        <f t="shared" si="8"/>
        <v>15</v>
      </c>
      <c r="O5" s="34">
        <f>IF(bglivc&lt;150,$S$2,1)</f>
        <v>0.84166666666666667</v>
      </c>
      <c r="P5" s="34">
        <f t="shared" si="6"/>
        <v>2.1041666666666665</v>
      </c>
      <c r="Q5" s="34"/>
      <c r="R5" s="34"/>
      <c r="S5" s="34"/>
      <c r="T5" s="36"/>
    </row>
    <row r="6" spans="1:22" ht="15" x14ac:dyDescent="0.2">
      <c r="A6" t="s">
        <v>9</v>
      </c>
      <c r="B6" s="1" t="s">
        <v>2</v>
      </c>
      <c r="C6" s="4">
        <v>1.25</v>
      </c>
      <c r="E6">
        <f t="shared" si="7"/>
        <v>80</v>
      </c>
      <c r="F6">
        <f t="shared" si="0"/>
        <v>0.31999999999999995</v>
      </c>
      <c r="G6">
        <f t="shared" si="1"/>
        <v>0.84545454545454546</v>
      </c>
      <c r="I6">
        <f t="shared" si="3"/>
        <v>0.31999999999999995</v>
      </c>
      <c r="J6">
        <f t="shared" si="4"/>
        <v>0</v>
      </c>
      <c r="K6">
        <f t="shared" si="2"/>
        <v>0</v>
      </c>
      <c r="L6" s="3">
        <f t="shared" si="5"/>
        <v>0.31999999999999995</v>
      </c>
      <c r="N6" s="33">
        <f t="shared" si="8"/>
        <v>20</v>
      </c>
      <c r="O6" s="34">
        <f>IF(bglivc&lt;150,$S$2,1)</f>
        <v>0.84166666666666667</v>
      </c>
      <c r="P6" s="34">
        <f t="shared" si="6"/>
        <v>8.4166666666666661</v>
      </c>
      <c r="Q6" s="34"/>
      <c r="R6" s="34"/>
      <c r="S6" s="34"/>
      <c r="T6" s="36"/>
    </row>
    <row r="7" spans="1:22" ht="15" x14ac:dyDescent="0.2">
      <c r="A7" t="s">
        <v>12</v>
      </c>
      <c r="B7" s="1" t="s">
        <v>3</v>
      </c>
      <c r="C7" s="2">
        <v>1</v>
      </c>
      <c r="D7" s="3" t="s">
        <v>18</v>
      </c>
      <c r="E7">
        <f t="shared" si="7"/>
        <v>100</v>
      </c>
      <c r="F7">
        <f t="shared" si="0"/>
        <v>0.4</v>
      </c>
      <c r="G7">
        <f t="shared" si="1"/>
        <v>0.86363636363636365</v>
      </c>
      <c r="I7">
        <f t="shared" si="3"/>
        <v>0.4</v>
      </c>
      <c r="J7">
        <f t="shared" si="4"/>
        <v>0</v>
      </c>
      <c r="K7">
        <f t="shared" si="2"/>
        <v>0</v>
      </c>
      <c r="L7" s="3">
        <f t="shared" si="5"/>
        <v>0.4</v>
      </c>
      <c r="N7" s="33">
        <f t="shared" si="8"/>
        <v>25</v>
      </c>
      <c r="O7" s="34">
        <f>IF(bglivc&lt;150,$S$2,1)</f>
        <v>0.84166666666666667</v>
      </c>
      <c r="P7" s="34">
        <f t="shared" si="6"/>
        <v>14.729166666666666</v>
      </c>
      <c r="Q7" s="34"/>
      <c r="R7" s="34"/>
      <c r="S7" s="34"/>
      <c r="T7" s="36"/>
    </row>
    <row r="8" spans="1:22" ht="15" x14ac:dyDescent="0.2">
      <c r="B8" s="1" t="s">
        <v>4</v>
      </c>
      <c r="C8" s="6">
        <v>4</v>
      </c>
      <c r="E8">
        <f t="shared" si="7"/>
        <v>120</v>
      </c>
      <c r="F8">
        <f t="shared" si="0"/>
        <v>0.48</v>
      </c>
      <c r="G8">
        <f t="shared" si="1"/>
        <v>0.88181818181818183</v>
      </c>
      <c r="I8">
        <f t="shared" si="3"/>
        <v>0.48</v>
      </c>
      <c r="J8">
        <f t="shared" si="4"/>
        <v>0</v>
      </c>
      <c r="K8">
        <f t="shared" si="2"/>
        <v>0</v>
      </c>
      <c r="L8" s="3">
        <f t="shared" si="5"/>
        <v>0.48</v>
      </c>
      <c r="N8" s="33">
        <f t="shared" si="8"/>
        <v>30</v>
      </c>
      <c r="O8" s="34">
        <f>IF(bglivc&lt;150,$S$2,1)</f>
        <v>0.84166666666666667</v>
      </c>
      <c r="P8" s="34">
        <f t="shared" si="6"/>
        <v>21.041666666666668</v>
      </c>
      <c r="Q8" s="34"/>
      <c r="R8" s="34"/>
      <c r="S8" s="34"/>
      <c r="T8" s="36"/>
    </row>
    <row r="9" spans="1:22" ht="15" x14ac:dyDescent="0.2">
      <c r="B9" s="1" t="s">
        <v>5</v>
      </c>
      <c r="C9" s="2">
        <v>1.5</v>
      </c>
      <c r="D9" s="3" t="s">
        <v>17</v>
      </c>
      <c r="E9">
        <f t="shared" si="7"/>
        <v>140</v>
      </c>
      <c r="F9">
        <f t="shared" si="0"/>
        <v>0.56000000000000005</v>
      </c>
      <c r="G9">
        <f t="shared" si="1"/>
        <v>0.9</v>
      </c>
      <c r="I9">
        <f t="shared" si="3"/>
        <v>0.56000000000000005</v>
      </c>
      <c r="J9">
        <f t="shared" si="4"/>
        <v>0</v>
      </c>
      <c r="K9">
        <f t="shared" si="2"/>
        <v>0</v>
      </c>
      <c r="L9" s="3">
        <f t="shared" si="5"/>
        <v>0.56000000000000005</v>
      </c>
      <c r="N9" s="33">
        <f t="shared" si="8"/>
        <v>35</v>
      </c>
      <c r="O9" s="34">
        <f>IF(bglivc&lt;150,$S$2,1)</f>
        <v>0.84166666666666667</v>
      </c>
      <c r="P9" s="34">
        <f t="shared" si="6"/>
        <v>27.354166666666668</v>
      </c>
      <c r="Q9" s="34"/>
      <c r="R9" s="34"/>
      <c r="S9" s="34"/>
      <c r="T9" s="36"/>
    </row>
    <row r="10" spans="1:22" x14ac:dyDescent="0.2">
      <c r="E10">
        <f t="shared" si="7"/>
        <v>160</v>
      </c>
      <c r="F10">
        <f t="shared" si="0"/>
        <v>0.64</v>
      </c>
      <c r="G10">
        <f t="shared" si="1"/>
        <v>0.91818181818181821</v>
      </c>
      <c r="I10">
        <f t="shared" si="3"/>
        <v>0.64</v>
      </c>
      <c r="J10">
        <f t="shared" si="4"/>
        <v>0</v>
      </c>
      <c r="K10">
        <f t="shared" si="2"/>
        <v>0</v>
      </c>
      <c r="L10" s="3">
        <f t="shared" si="5"/>
        <v>0.64</v>
      </c>
      <c r="N10" s="33">
        <f t="shared" si="8"/>
        <v>40</v>
      </c>
      <c r="O10" s="34">
        <f>IF(bglivc&lt;150,$S$2,1)</f>
        <v>0.84166666666666667</v>
      </c>
      <c r="P10" s="34">
        <f t="shared" si="6"/>
        <v>33.666666666666664</v>
      </c>
      <c r="Q10" s="34"/>
      <c r="R10" s="34"/>
      <c r="S10" s="34"/>
      <c r="T10" s="36"/>
    </row>
    <row r="11" spans="1:22" x14ac:dyDescent="0.2">
      <c r="A11" t="s">
        <v>55</v>
      </c>
      <c r="E11">
        <f t="shared" si="7"/>
        <v>180</v>
      </c>
      <c r="F11">
        <f t="shared" si="0"/>
        <v>0.72</v>
      </c>
      <c r="G11">
        <f t="shared" si="1"/>
        <v>0.9363636363636364</v>
      </c>
      <c r="I11">
        <f t="shared" si="3"/>
        <v>0.72</v>
      </c>
      <c r="J11">
        <f t="shared" si="4"/>
        <v>0</v>
      </c>
      <c r="K11">
        <f t="shared" si="2"/>
        <v>0</v>
      </c>
      <c r="L11" s="3">
        <f t="shared" si="5"/>
        <v>0.72</v>
      </c>
      <c r="N11" s="33">
        <f t="shared" si="8"/>
        <v>45</v>
      </c>
      <c r="O11" s="34">
        <f>IF(bglivc&lt;150,$S$2,1)</f>
        <v>0.84166666666666667</v>
      </c>
      <c r="P11" s="34">
        <f t="shared" si="6"/>
        <v>39.979166666666664</v>
      </c>
      <c r="Q11" s="34"/>
      <c r="R11" s="34"/>
      <c r="S11" s="34"/>
      <c r="T11" s="36"/>
    </row>
    <row r="12" spans="1:22" x14ac:dyDescent="0.2">
      <c r="A12" t="s">
        <v>9</v>
      </c>
      <c r="E12">
        <f t="shared" si="7"/>
        <v>200</v>
      </c>
      <c r="F12">
        <f t="shared" si="0"/>
        <v>0.8</v>
      </c>
      <c r="G12">
        <f t="shared" si="1"/>
        <v>0.95454545454545459</v>
      </c>
      <c r="I12">
        <f t="shared" si="3"/>
        <v>0.8</v>
      </c>
      <c r="J12">
        <f t="shared" si="4"/>
        <v>0</v>
      </c>
      <c r="K12">
        <f t="shared" si="2"/>
        <v>0</v>
      </c>
      <c r="L12" s="3">
        <f t="shared" si="5"/>
        <v>0.8</v>
      </c>
      <c r="N12" s="33">
        <f t="shared" si="8"/>
        <v>50</v>
      </c>
      <c r="O12" s="34">
        <f>IF(bglivc&lt;150,$S$2,1)</f>
        <v>0.84166666666666667</v>
      </c>
      <c r="P12" s="34">
        <f t="shared" si="6"/>
        <v>46.291666666666664</v>
      </c>
      <c r="Q12" s="34"/>
      <c r="R12" s="34"/>
      <c r="S12" s="34"/>
      <c r="T12" s="36"/>
    </row>
    <row r="13" spans="1:22" x14ac:dyDescent="0.2">
      <c r="A13" t="s">
        <v>12</v>
      </c>
      <c r="E13">
        <f t="shared" si="7"/>
        <v>220</v>
      </c>
      <c r="F13">
        <f t="shared" si="0"/>
        <v>0.88</v>
      </c>
      <c r="G13">
        <f t="shared" si="1"/>
        <v>0.97272727272727277</v>
      </c>
      <c r="I13">
        <f t="shared" si="3"/>
        <v>0.88</v>
      </c>
      <c r="J13">
        <f t="shared" si="4"/>
        <v>0</v>
      </c>
      <c r="K13">
        <f t="shared" si="2"/>
        <v>0</v>
      </c>
      <c r="L13" s="3">
        <f t="shared" si="5"/>
        <v>0.88</v>
      </c>
      <c r="N13" s="33">
        <f t="shared" si="8"/>
        <v>55</v>
      </c>
      <c r="O13" s="34">
        <f>IF(bglivc&lt;150,$S$2,1)</f>
        <v>0.84166666666666667</v>
      </c>
      <c r="P13" s="34">
        <f t="shared" si="6"/>
        <v>52.604166666666664</v>
      </c>
      <c r="Q13" s="34"/>
      <c r="R13" s="34"/>
      <c r="S13" s="34"/>
      <c r="T13" s="36"/>
    </row>
    <row r="14" spans="1:22" x14ac:dyDescent="0.2">
      <c r="A14" t="s">
        <v>56</v>
      </c>
      <c r="E14">
        <f t="shared" si="7"/>
        <v>240</v>
      </c>
      <c r="F14">
        <f t="shared" si="0"/>
        <v>0.96</v>
      </c>
      <c r="G14">
        <f t="shared" si="1"/>
        <v>0.99090909090909096</v>
      </c>
      <c r="I14">
        <f t="shared" si="3"/>
        <v>0.96</v>
      </c>
      <c r="J14">
        <f t="shared" si="4"/>
        <v>0</v>
      </c>
      <c r="K14">
        <f t="shared" si="2"/>
        <v>0</v>
      </c>
      <c r="L14" s="3">
        <f t="shared" si="5"/>
        <v>0.96</v>
      </c>
      <c r="N14" s="33">
        <f t="shared" si="8"/>
        <v>60</v>
      </c>
      <c r="O14" s="34">
        <f>IF(bglivc&lt;150,$S$2,1)</f>
        <v>0.84166666666666667</v>
      </c>
      <c r="P14" s="34">
        <f t="shared" si="6"/>
        <v>58.916666666666664</v>
      </c>
      <c r="Q14" s="34"/>
      <c r="R14" s="34"/>
      <c r="S14" s="34"/>
      <c r="T14" s="36"/>
    </row>
    <row r="15" spans="1:22" x14ac:dyDescent="0.2">
      <c r="A15" t="s">
        <v>57</v>
      </c>
      <c r="E15">
        <f t="shared" si="7"/>
        <v>260</v>
      </c>
      <c r="F15">
        <f t="shared" si="0"/>
        <v>1.04</v>
      </c>
      <c r="G15">
        <f t="shared" si="1"/>
        <v>1.009090909090909</v>
      </c>
      <c r="I15">
        <f t="shared" si="3"/>
        <v>0</v>
      </c>
      <c r="J15">
        <f t="shared" si="4"/>
        <v>1.009090909090909</v>
      </c>
      <c r="K15">
        <f t="shared" si="2"/>
        <v>0</v>
      </c>
      <c r="L15" s="3">
        <f t="shared" si="5"/>
        <v>1.009090909090909</v>
      </c>
      <c r="N15" s="33">
        <f t="shared" si="8"/>
        <v>65</v>
      </c>
      <c r="O15" s="34">
        <f>IF(bglivc&lt;150,$S$2,1)</f>
        <v>0.84166666666666667</v>
      </c>
      <c r="P15" s="34">
        <f t="shared" si="6"/>
        <v>65.229166666666671</v>
      </c>
      <c r="Q15" s="34"/>
      <c r="R15" s="34"/>
      <c r="S15" s="34"/>
      <c r="T15" s="36"/>
    </row>
    <row r="16" spans="1:22" x14ac:dyDescent="0.2">
      <c r="E16">
        <f t="shared" si="7"/>
        <v>280</v>
      </c>
      <c r="F16">
        <f t="shared" si="0"/>
        <v>1.1200000000000001</v>
      </c>
      <c r="G16">
        <f t="shared" si="1"/>
        <v>1.0272727272727273</v>
      </c>
      <c r="I16">
        <f t="shared" si="3"/>
        <v>0</v>
      </c>
      <c r="J16">
        <f t="shared" si="4"/>
        <v>1.0272727272727273</v>
      </c>
      <c r="K16">
        <f t="shared" si="2"/>
        <v>0</v>
      </c>
      <c r="L16" s="3">
        <f t="shared" si="5"/>
        <v>1.0272727272727273</v>
      </c>
      <c r="N16" s="33">
        <f t="shared" si="8"/>
        <v>70</v>
      </c>
      <c r="O16" s="34">
        <f>IF(bglivc&lt;150,$S$2,1)</f>
        <v>0.84166666666666667</v>
      </c>
      <c r="P16" s="34">
        <f t="shared" si="6"/>
        <v>71.541666666666671</v>
      </c>
      <c r="Q16" s="34"/>
      <c r="R16" s="34"/>
      <c r="S16" s="34"/>
      <c r="T16" s="36"/>
    </row>
    <row r="17" spans="1:20" x14ac:dyDescent="0.2">
      <c r="B17" s="20" t="s">
        <v>45</v>
      </c>
      <c r="C17" s="20" t="s">
        <v>46</v>
      </c>
      <c r="E17">
        <f t="shared" si="7"/>
        <v>300</v>
      </c>
      <c r="F17">
        <f t="shared" si="0"/>
        <v>1.2</v>
      </c>
      <c r="G17">
        <f t="shared" si="1"/>
        <v>1.0454545454545454</v>
      </c>
      <c r="I17">
        <f t="shared" si="3"/>
        <v>0</v>
      </c>
      <c r="J17">
        <f t="shared" si="4"/>
        <v>1.0454545454545454</v>
      </c>
      <c r="K17">
        <f t="shared" si="2"/>
        <v>0</v>
      </c>
      <c r="L17" s="3">
        <f t="shared" si="5"/>
        <v>1.0454545454545454</v>
      </c>
      <c r="N17" s="33">
        <f t="shared" si="8"/>
        <v>75</v>
      </c>
      <c r="O17" s="34">
        <f>IF(bglivc&lt;150,$S$2,1)</f>
        <v>0.84166666666666667</v>
      </c>
      <c r="P17" s="34">
        <f t="shared" si="6"/>
        <v>77.854166666666671</v>
      </c>
      <c r="Q17" s="34"/>
      <c r="R17" s="34"/>
      <c r="S17" s="34"/>
      <c r="T17" s="36"/>
    </row>
    <row r="18" spans="1:20" x14ac:dyDescent="0.2">
      <c r="A18" s="14" t="s">
        <v>8</v>
      </c>
      <c r="B18">
        <f>cmrspnpp_1*agnpp</f>
        <v>0</v>
      </c>
      <c r="C18" s="14">
        <f>cmrspnpp_1</f>
        <v>0</v>
      </c>
      <c r="D18" t="s">
        <v>11</v>
      </c>
      <c r="E18">
        <f t="shared" si="7"/>
        <v>320</v>
      </c>
      <c r="F18">
        <f t="shared" si="0"/>
        <v>1.28</v>
      </c>
      <c r="G18">
        <f t="shared" si="1"/>
        <v>1.0636363636363637</v>
      </c>
      <c r="I18">
        <f t="shared" si="3"/>
        <v>0</v>
      </c>
      <c r="J18">
        <f t="shared" si="4"/>
        <v>1.0636363636363637</v>
      </c>
      <c r="K18">
        <f t="shared" si="2"/>
        <v>0</v>
      </c>
      <c r="L18" s="3">
        <f t="shared" si="5"/>
        <v>1.0636363636363637</v>
      </c>
      <c r="N18" s="33">
        <f t="shared" si="8"/>
        <v>80</v>
      </c>
      <c r="O18" s="34">
        <f>IF(bglivc&lt;150,$S$2,1)</f>
        <v>0.84166666666666667</v>
      </c>
      <c r="P18" s="34">
        <f t="shared" si="6"/>
        <v>84.166666666666671</v>
      </c>
      <c r="Q18" s="34"/>
      <c r="R18" s="34"/>
      <c r="S18" s="34"/>
      <c r="T18" s="36"/>
    </row>
    <row r="19" spans="1:20" x14ac:dyDescent="0.2">
      <c r="A19" s="5" t="s">
        <v>9</v>
      </c>
      <c r="B19">
        <f>cmrspnpp_3*agnpp</f>
        <v>250</v>
      </c>
      <c r="C19" s="5">
        <f>cmrspnpp_3</f>
        <v>1.25</v>
      </c>
      <c r="D19" t="s">
        <v>12</v>
      </c>
      <c r="E19">
        <f t="shared" si="7"/>
        <v>340</v>
      </c>
      <c r="F19">
        <f t="shared" si="0"/>
        <v>1.3599999999999999</v>
      </c>
      <c r="G19">
        <f t="shared" si="1"/>
        <v>1.0818181818181818</v>
      </c>
      <c r="I19">
        <f t="shared" si="3"/>
        <v>0</v>
      </c>
      <c r="J19">
        <f t="shared" si="4"/>
        <v>1.0818181818181818</v>
      </c>
      <c r="K19">
        <f t="shared" si="2"/>
        <v>0</v>
      </c>
      <c r="L19" s="3">
        <f t="shared" si="5"/>
        <v>1.0818181818181818</v>
      </c>
      <c r="N19" s="33">
        <f t="shared" si="8"/>
        <v>85</v>
      </c>
      <c r="O19" s="34">
        <f>IF(bglivc&lt;150,$S$2,1)</f>
        <v>0.84166666666666667</v>
      </c>
      <c r="P19" s="34">
        <f t="shared" si="6"/>
        <v>90.479166666666671</v>
      </c>
      <c r="Q19" s="34"/>
      <c r="R19" s="34"/>
      <c r="S19" s="34"/>
      <c r="T19" s="36"/>
    </row>
    <row r="20" spans="1:20" x14ac:dyDescent="0.2">
      <c r="A20" s="15" t="s">
        <v>56</v>
      </c>
      <c r="B20">
        <f>cmrspnpp_5*agnpp</f>
        <v>800</v>
      </c>
      <c r="C20" s="7">
        <f>cmrspnpp_6</f>
        <v>1.5</v>
      </c>
      <c r="D20" t="s">
        <v>57</v>
      </c>
      <c r="E20">
        <f t="shared" si="7"/>
        <v>360</v>
      </c>
      <c r="F20">
        <f t="shared" si="0"/>
        <v>1.44</v>
      </c>
      <c r="G20">
        <f t="shared" si="1"/>
        <v>1.1000000000000001</v>
      </c>
      <c r="I20">
        <f t="shared" si="3"/>
        <v>0</v>
      </c>
      <c r="J20">
        <f t="shared" si="4"/>
        <v>1.1000000000000001</v>
      </c>
      <c r="K20">
        <f t="shared" si="2"/>
        <v>0</v>
      </c>
      <c r="L20" s="3">
        <f t="shared" si="5"/>
        <v>1.1000000000000001</v>
      </c>
      <c r="N20" s="33">
        <f t="shared" si="8"/>
        <v>90</v>
      </c>
      <c r="O20" s="34">
        <f>IF(bglivc&lt;150,$S$2,1)</f>
        <v>0.84166666666666667</v>
      </c>
      <c r="P20" s="34">
        <f t="shared" si="6"/>
        <v>96.791666666666671</v>
      </c>
      <c r="Q20" s="34"/>
      <c r="R20" s="34"/>
      <c r="S20" s="34"/>
      <c r="T20" s="36"/>
    </row>
    <row r="21" spans="1:20" x14ac:dyDescent="0.2">
      <c r="E21">
        <f t="shared" si="7"/>
        <v>380</v>
      </c>
      <c r="F21">
        <f t="shared" si="0"/>
        <v>1.52</v>
      </c>
      <c r="G21">
        <f t="shared" si="1"/>
        <v>1.1181818181818182</v>
      </c>
      <c r="I21">
        <f t="shared" si="3"/>
        <v>0</v>
      </c>
      <c r="J21">
        <f t="shared" si="4"/>
        <v>1.1181818181818182</v>
      </c>
      <c r="K21">
        <f t="shared" si="2"/>
        <v>0</v>
      </c>
      <c r="L21" s="3">
        <f t="shared" si="5"/>
        <v>1.1181818181818182</v>
      </c>
      <c r="N21" s="33">
        <f t="shared" si="8"/>
        <v>95</v>
      </c>
      <c r="O21" s="34">
        <f>IF(bglivc&lt;150,$S$2,1)</f>
        <v>0.84166666666666667</v>
      </c>
      <c r="P21" s="34">
        <f t="shared" si="6"/>
        <v>103.10416666666667</v>
      </c>
      <c r="Q21" s="34"/>
      <c r="R21" s="34"/>
      <c r="S21" s="34"/>
      <c r="T21" s="36"/>
    </row>
    <row r="22" spans="1:20" x14ac:dyDescent="0.2">
      <c r="E22">
        <f t="shared" si="7"/>
        <v>400</v>
      </c>
      <c r="F22">
        <f t="shared" si="0"/>
        <v>1.6</v>
      </c>
      <c r="G22">
        <f t="shared" si="1"/>
        <v>1.1363636363636362</v>
      </c>
      <c r="I22">
        <f t="shared" si="3"/>
        <v>0</v>
      </c>
      <c r="J22">
        <f t="shared" si="4"/>
        <v>1.1363636363636362</v>
      </c>
      <c r="K22">
        <f t="shared" si="2"/>
        <v>0</v>
      </c>
      <c r="L22" s="3">
        <f t="shared" si="5"/>
        <v>1.1363636363636362</v>
      </c>
      <c r="N22" s="33">
        <f t="shared" si="8"/>
        <v>100</v>
      </c>
      <c r="O22" s="34">
        <f>IF(bglivc&lt;150,$S$2,1)</f>
        <v>0.84166666666666667</v>
      </c>
      <c r="P22" s="34">
        <f t="shared" si="6"/>
        <v>109.41666666666667</v>
      </c>
      <c r="Q22" s="34"/>
      <c r="R22" s="34"/>
      <c r="S22" s="34"/>
      <c r="T22" s="36"/>
    </row>
    <row r="23" spans="1:20" x14ac:dyDescent="0.2">
      <c r="A23" t="s">
        <v>10</v>
      </c>
      <c r="E23">
        <f t="shared" si="7"/>
        <v>420</v>
      </c>
      <c r="F23">
        <f t="shared" si="0"/>
        <v>1.6800000000000002</v>
      </c>
      <c r="G23">
        <f t="shared" si="1"/>
        <v>1.1545454545454545</v>
      </c>
      <c r="I23">
        <f t="shared" si="3"/>
        <v>0</v>
      </c>
      <c r="J23">
        <f t="shared" si="4"/>
        <v>1.1545454545454545</v>
      </c>
      <c r="K23">
        <f t="shared" si="2"/>
        <v>0</v>
      </c>
      <c r="L23" s="3">
        <f t="shared" si="5"/>
        <v>1.1545454545454545</v>
      </c>
      <c r="N23" s="33">
        <f t="shared" si="8"/>
        <v>105</v>
      </c>
      <c r="O23" s="34">
        <f>IF(bglivc&lt;150,$S$2,1)</f>
        <v>0.84166666666666667</v>
      </c>
      <c r="P23" s="34">
        <f t="shared" si="6"/>
        <v>115.72916666666667</v>
      </c>
      <c r="Q23" s="34"/>
      <c r="R23" s="34"/>
      <c r="S23" s="34"/>
      <c r="T23" s="36"/>
    </row>
    <row r="24" spans="1:20" x14ac:dyDescent="0.2">
      <c r="E24">
        <f t="shared" si="7"/>
        <v>440</v>
      </c>
      <c r="F24">
        <f t="shared" si="0"/>
        <v>1.76</v>
      </c>
      <c r="G24">
        <f t="shared" si="1"/>
        <v>1.1727272727272728</v>
      </c>
      <c r="I24">
        <f t="shared" si="3"/>
        <v>0</v>
      </c>
      <c r="J24">
        <f t="shared" si="4"/>
        <v>1.1727272727272728</v>
      </c>
      <c r="K24">
        <f t="shared" si="2"/>
        <v>0</v>
      </c>
      <c r="L24" s="3">
        <f t="shared" si="5"/>
        <v>1.1727272727272728</v>
      </c>
      <c r="N24" s="33">
        <f t="shared" si="8"/>
        <v>110</v>
      </c>
      <c r="O24" s="34">
        <f>IF(bglivc&lt;150,$S$2,1)</f>
        <v>0.84166666666666667</v>
      </c>
      <c r="P24" s="34">
        <f t="shared" si="6"/>
        <v>122.04166666666667</v>
      </c>
      <c r="Q24" s="34"/>
      <c r="R24" s="34"/>
      <c r="S24" s="34"/>
      <c r="T24" s="36"/>
    </row>
    <row r="25" spans="1:20" x14ac:dyDescent="0.2">
      <c r="E25">
        <f t="shared" si="7"/>
        <v>460</v>
      </c>
      <c r="F25">
        <f t="shared" si="0"/>
        <v>1.8399999999999999</v>
      </c>
      <c r="G25">
        <f t="shared" si="1"/>
        <v>1.1909090909090909</v>
      </c>
      <c r="I25">
        <f t="shared" si="3"/>
        <v>0</v>
      </c>
      <c r="J25">
        <f t="shared" si="4"/>
        <v>1.1909090909090909</v>
      </c>
      <c r="K25">
        <f t="shared" si="2"/>
        <v>0</v>
      </c>
      <c r="L25" s="3">
        <f t="shared" si="5"/>
        <v>1.1909090909090909</v>
      </c>
      <c r="N25" s="33">
        <f t="shared" si="8"/>
        <v>115</v>
      </c>
      <c r="O25" s="34">
        <f>IF(bglivc&lt;150,$S$2,1)</f>
        <v>0.84166666666666667</v>
      </c>
      <c r="P25" s="34">
        <f t="shared" si="6"/>
        <v>128.35416666666666</v>
      </c>
      <c r="Q25" s="34"/>
      <c r="R25" s="34"/>
      <c r="S25" s="34"/>
      <c r="T25" s="36"/>
    </row>
    <row r="26" spans="1:20" x14ac:dyDescent="0.2">
      <c r="E26">
        <f t="shared" si="7"/>
        <v>480</v>
      </c>
      <c r="F26">
        <f t="shared" si="0"/>
        <v>1.92</v>
      </c>
      <c r="G26">
        <f t="shared" si="1"/>
        <v>1.209090909090909</v>
      </c>
      <c r="I26">
        <f t="shared" si="3"/>
        <v>0</v>
      </c>
      <c r="J26">
        <f t="shared" si="4"/>
        <v>1.209090909090909</v>
      </c>
      <c r="K26">
        <f t="shared" si="2"/>
        <v>0</v>
      </c>
      <c r="L26" s="3">
        <f t="shared" si="5"/>
        <v>1.209090909090909</v>
      </c>
      <c r="N26" s="33">
        <f t="shared" si="8"/>
        <v>120</v>
      </c>
      <c r="O26" s="34">
        <f>IF(bglivc&lt;150,$S$2,1)</f>
        <v>0.84166666666666667</v>
      </c>
      <c r="P26" s="34">
        <f t="shared" si="6"/>
        <v>134.66666666666666</v>
      </c>
      <c r="Q26" s="34"/>
      <c r="R26" s="34"/>
      <c r="S26" s="34"/>
      <c r="T26" s="36"/>
    </row>
    <row r="27" spans="1:20" x14ac:dyDescent="0.2">
      <c r="E27">
        <f t="shared" si="7"/>
        <v>500</v>
      </c>
      <c r="F27">
        <f t="shared" si="0"/>
        <v>2</v>
      </c>
      <c r="G27">
        <f t="shared" si="1"/>
        <v>1.2272727272727273</v>
      </c>
      <c r="I27">
        <f t="shared" si="3"/>
        <v>0</v>
      </c>
      <c r="J27">
        <f t="shared" si="4"/>
        <v>1.2272727272727273</v>
      </c>
      <c r="K27">
        <f t="shared" si="2"/>
        <v>0</v>
      </c>
      <c r="L27" s="3">
        <f t="shared" si="5"/>
        <v>1.2272727272727273</v>
      </c>
      <c r="N27" s="33">
        <f t="shared" si="8"/>
        <v>125</v>
      </c>
      <c r="O27" s="34">
        <f>IF(bglivc&lt;150,$S$2,1)</f>
        <v>0.84166666666666667</v>
      </c>
      <c r="P27" s="34">
        <f t="shared" si="6"/>
        <v>140.97916666666666</v>
      </c>
      <c r="Q27" s="34"/>
      <c r="R27" s="34"/>
      <c r="S27" s="34"/>
      <c r="T27" s="36"/>
    </row>
    <row r="28" spans="1:20" x14ac:dyDescent="0.2">
      <c r="E28">
        <f t="shared" si="7"/>
        <v>520</v>
      </c>
      <c r="F28">
        <f t="shared" si="0"/>
        <v>2.08</v>
      </c>
      <c r="G28">
        <f t="shared" si="1"/>
        <v>1.2454545454545456</v>
      </c>
      <c r="I28">
        <f t="shared" si="3"/>
        <v>0</v>
      </c>
      <c r="J28">
        <f t="shared" si="4"/>
        <v>1.2454545454545456</v>
      </c>
      <c r="K28">
        <f t="shared" si="2"/>
        <v>0</v>
      </c>
      <c r="L28" s="3">
        <f t="shared" si="5"/>
        <v>1.2454545454545456</v>
      </c>
      <c r="N28" s="33">
        <f t="shared" si="8"/>
        <v>130</v>
      </c>
      <c r="O28" s="34">
        <f>IF(bglivc&lt;150,$S$2,1)</f>
        <v>0.84166666666666667</v>
      </c>
      <c r="P28" s="34">
        <f t="shared" si="6"/>
        <v>147.29166666666666</v>
      </c>
      <c r="Q28" s="34"/>
      <c r="R28" s="34"/>
      <c r="S28" s="34"/>
      <c r="T28" s="36"/>
    </row>
    <row r="29" spans="1:20" x14ac:dyDescent="0.2">
      <c r="E29">
        <f t="shared" si="7"/>
        <v>540</v>
      </c>
      <c r="F29">
        <f t="shared" si="0"/>
        <v>2.16</v>
      </c>
      <c r="G29">
        <f t="shared" si="1"/>
        <v>1.2636363636363637</v>
      </c>
      <c r="I29">
        <f t="shared" si="3"/>
        <v>0</v>
      </c>
      <c r="J29">
        <f t="shared" si="4"/>
        <v>1.2636363636363637</v>
      </c>
      <c r="K29">
        <f t="shared" si="2"/>
        <v>0</v>
      </c>
      <c r="L29" s="3">
        <f t="shared" si="5"/>
        <v>1.2636363636363637</v>
      </c>
      <c r="N29" s="33">
        <f t="shared" si="8"/>
        <v>135</v>
      </c>
      <c r="O29" s="34">
        <f>IF(bglivc&lt;150,$S$2,1)</f>
        <v>0.84166666666666667</v>
      </c>
      <c r="P29" s="34">
        <f t="shared" si="6"/>
        <v>153.60416666666666</v>
      </c>
      <c r="Q29" s="34"/>
      <c r="R29" s="34"/>
      <c r="S29" s="34"/>
      <c r="T29" s="36"/>
    </row>
    <row r="30" spans="1:20" x14ac:dyDescent="0.2">
      <c r="E30">
        <f t="shared" si="7"/>
        <v>560</v>
      </c>
      <c r="F30">
        <f t="shared" si="0"/>
        <v>2.2400000000000002</v>
      </c>
      <c r="G30">
        <f t="shared" si="1"/>
        <v>1.2818181818181817</v>
      </c>
      <c r="I30">
        <f t="shared" si="3"/>
        <v>0</v>
      </c>
      <c r="J30">
        <f t="shared" si="4"/>
        <v>1.2818181818181817</v>
      </c>
      <c r="K30">
        <f t="shared" si="2"/>
        <v>0</v>
      </c>
      <c r="L30" s="3">
        <f t="shared" si="5"/>
        <v>1.2818181818181817</v>
      </c>
      <c r="N30" s="33">
        <f t="shared" si="8"/>
        <v>140</v>
      </c>
      <c r="O30" s="34">
        <f>IF(bglivc&lt;150,$S$2,1)</f>
        <v>0.84166666666666667</v>
      </c>
      <c r="P30" s="34">
        <f t="shared" si="6"/>
        <v>159.91666666666666</v>
      </c>
      <c r="Q30" s="34"/>
      <c r="R30" s="34"/>
      <c r="S30" s="34"/>
      <c r="T30" s="36"/>
    </row>
    <row r="31" spans="1:20" x14ac:dyDescent="0.2">
      <c r="E31">
        <f t="shared" si="7"/>
        <v>580</v>
      </c>
      <c r="F31">
        <f t="shared" si="0"/>
        <v>2.3200000000000003</v>
      </c>
      <c r="G31">
        <f t="shared" si="1"/>
        <v>1.3</v>
      </c>
      <c r="I31">
        <f t="shared" si="3"/>
        <v>0</v>
      </c>
      <c r="J31">
        <f t="shared" si="4"/>
        <v>1.3</v>
      </c>
      <c r="K31">
        <f t="shared" si="2"/>
        <v>0</v>
      </c>
      <c r="L31" s="3">
        <f t="shared" si="5"/>
        <v>1.3</v>
      </c>
      <c r="N31" s="33">
        <f t="shared" si="8"/>
        <v>145</v>
      </c>
      <c r="O31" s="34">
        <f>IF(bglivc&lt;150,$S$2,1)</f>
        <v>0.84166666666666667</v>
      </c>
      <c r="P31" s="34">
        <f t="shared" si="6"/>
        <v>166.22916666666666</v>
      </c>
      <c r="Q31" s="34"/>
      <c r="R31" s="34"/>
      <c r="S31" s="34"/>
      <c r="T31" s="36"/>
    </row>
    <row r="32" spans="1:20" x14ac:dyDescent="0.2">
      <c r="E32">
        <f t="shared" si="7"/>
        <v>600</v>
      </c>
      <c r="F32">
        <f t="shared" si="0"/>
        <v>2.4000000000000004</v>
      </c>
      <c r="G32">
        <f t="shared" si="1"/>
        <v>1.3181818181818181</v>
      </c>
      <c r="I32">
        <f t="shared" si="3"/>
        <v>0</v>
      </c>
      <c r="J32">
        <f t="shared" si="4"/>
        <v>1.3181818181818181</v>
      </c>
      <c r="K32">
        <f t="shared" si="2"/>
        <v>0</v>
      </c>
      <c r="L32" s="3">
        <f t="shared" si="5"/>
        <v>1.3181818181818181</v>
      </c>
      <c r="N32" s="33">
        <f t="shared" si="8"/>
        <v>150</v>
      </c>
      <c r="O32" s="34">
        <f>IF(bglivc&lt;150,$S$2,1)</f>
        <v>0.84166666666666667</v>
      </c>
      <c r="P32" s="34">
        <f t="shared" si="6"/>
        <v>172.54166666666666</v>
      </c>
      <c r="Q32" s="34"/>
      <c r="R32" s="34"/>
      <c r="S32" s="34"/>
      <c r="T32" s="36"/>
    </row>
    <row r="33" spans="5:20" x14ac:dyDescent="0.2">
      <c r="E33">
        <f t="shared" si="7"/>
        <v>620</v>
      </c>
      <c r="F33">
        <f t="shared" si="0"/>
        <v>2.48</v>
      </c>
      <c r="G33">
        <f t="shared" si="1"/>
        <v>1.3363636363636364</v>
      </c>
      <c r="I33">
        <f t="shared" si="3"/>
        <v>0</v>
      </c>
      <c r="J33">
        <f t="shared" si="4"/>
        <v>1.3363636363636364</v>
      </c>
      <c r="K33">
        <f t="shared" si="2"/>
        <v>0</v>
      </c>
      <c r="L33" s="3">
        <f t="shared" si="5"/>
        <v>1.3363636363636364</v>
      </c>
      <c r="N33" s="33">
        <f t="shared" si="8"/>
        <v>155</v>
      </c>
      <c r="O33" s="34">
        <f>IF(bglivc&lt;150,$S$2,1)</f>
        <v>0.84166666666666667</v>
      </c>
      <c r="P33" s="34">
        <f t="shared" si="6"/>
        <v>178.85416666666666</v>
      </c>
      <c r="Q33" s="34"/>
      <c r="R33" s="34"/>
      <c r="S33" s="34"/>
      <c r="T33" s="36"/>
    </row>
    <row r="34" spans="5:20" x14ac:dyDescent="0.2">
      <c r="E34">
        <f t="shared" si="7"/>
        <v>640</v>
      </c>
      <c r="F34">
        <f t="shared" ref="F34:F52" si="9">(cmrspnpp_4-cmrspnpp_2)/(cmrspnpp_3*agnpp-cmrspnpp_1*agnpp)*(E34-cmrspnpp_3*agnpp)+cmrspnpp_4</f>
        <v>2.56</v>
      </c>
      <c r="G34">
        <f t="shared" ref="G34:G52" si="10">(cmrspnpp_6-cmrspnpp_4)/(cmrspnpp_5*agnpp-cmrspnpp_3*agnpp)*(E34-cmrspnpp_5*agnpp)+cmrspnpp_6</f>
        <v>1.3545454545454545</v>
      </c>
      <c r="I34">
        <f t="shared" si="3"/>
        <v>0</v>
      </c>
      <c r="J34">
        <f t="shared" si="4"/>
        <v>1.3545454545454545</v>
      </c>
      <c r="K34">
        <f t="shared" ref="K34:K52" si="11">IF(E34&gt;=$B$20,cmrspnpp_6,0)</f>
        <v>0</v>
      </c>
      <c r="L34" s="3">
        <f t="shared" si="5"/>
        <v>1.3545454545454545</v>
      </c>
      <c r="N34" s="33">
        <f t="shared" si="8"/>
        <v>160</v>
      </c>
      <c r="O34" s="34">
        <f>IF(bglivc&lt;150,$S$2,1)</f>
        <v>0.84166666666666667</v>
      </c>
      <c r="P34" s="34">
        <f t="shared" si="6"/>
        <v>185.16666666666666</v>
      </c>
      <c r="Q34" s="34"/>
      <c r="R34" s="34"/>
      <c r="S34" s="34"/>
      <c r="T34" s="36"/>
    </row>
    <row r="35" spans="5:20" x14ac:dyDescent="0.2">
      <c r="E35">
        <f t="shared" si="7"/>
        <v>660</v>
      </c>
      <c r="F35">
        <f t="shared" si="9"/>
        <v>2.64</v>
      </c>
      <c r="G35">
        <f t="shared" si="10"/>
        <v>1.3727272727272728</v>
      </c>
      <c r="I35">
        <f t="shared" si="3"/>
        <v>0</v>
      </c>
      <c r="J35">
        <f t="shared" si="4"/>
        <v>1.3727272727272728</v>
      </c>
      <c r="K35">
        <f t="shared" si="11"/>
        <v>0</v>
      </c>
      <c r="L35" s="3">
        <f t="shared" si="5"/>
        <v>1.3727272727272728</v>
      </c>
      <c r="N35" s="33">
        <f t="shared" si="8"/>
        <v>165</v>
      </c>
      <c r="O35" s="34">
        <f>IF(bglivc&lt;150,$S$2,1)</f>
        <v>0.84166666666666667</v>
      </c>
      <c r="P35" s="34">
        <f t="shared" si="6"/>
        <v>191.47916666666666</v>
      </c>
      <c r="Q35" s="34"/>
      <c r="R35" s="34"/>
      <c r="S35" s="34"/>
      <c r="T35" s="36"/>
    </row>
    <row r="36" spans="5:20" x14ac:dyDescent="0.2">
      <c r="E36">
        <f t="shared" si="7"/>
        <v>680</v>
      </c>
      <c r="F36">
        <f t="shared" si="9"/>
        <v>2.7199999999999998</v>
      </c>
      <c r="G36">
        <f t="shared" si="10"/>
        <v>1.3909090909090909</v>
      </c>
      <c r="I36">
        <f t="shared" si="3"/>
        <v>0</v>
      </c>
      <c r="J36">
        <f t="shared" si="4"/>
        <v>1.3909090909090909</v>
      </c>
      <c r="K36">
        <f t="shared" si="11"/>
        <v>0</v>
      </c>
      <c r="L36" s="3">
        <f t="shared" si="5"/>
        <v>1.3909090909090909</v>
      </c>
      <c r="N36" s="33">
        <f t="shared" si="8"/>
        <v>170</v>
      </c>
      <c r="O36" s="34">
        <f>IF(bglivc&lt;150,$S$2,1)</f>
        <v>0.84166666666666667</v>
      </c>
      <c r="P36" s="34">
        <f t="shared" si="6"/>
        <v>197.79166666666666</v>
      </c>
      <c r="Q36" s="34"/>
      <c r="R36" s="34"/>
      <c r="S36" s="34"/>
      <c r="T36" s="36"/>
    </row>
    <row r="37" spans="5:20" x14ac:dyDescent="0.2">
      <c r="E37">
        <f t="shared" si="7"/>
        <v>700</v>
      </c>
      <c r="F37">
        <f t="shared" si="9"/>
        <v>2.8</v>
      </c>
      <c r="G37">
        <f t="shared" si="10"/>
        <v>1.4090909090909092</v>
      </c>
      <c r="I37">
        <f t="shared" si="3"/>
        <v>0</v>
      </c>
      <c r="J37">
        <f t="shared" si="4"/>
        <v>1.4090909090909092</v>
      </c>
      <c r="K37">
        <f t="shared" si="11"/>
        <v>0</v>
      </c>
      <c r="L37" s="3">
        <f t="shared" si="5"/>
        <v>1.4090909090909092</v>
      </c>
      <c r="N37" s="33">
        <f t="shared" si="8"/>
        <v>175</v>
      </c>
      <c r="O37" s="34">
        <f>IF(bglivc&lt;150,$S$2,1)</f>
        <v>0.84166666666666667</v>
      </c>
      <c r="P37" s="34">
        <f t="shared" si="6"/>
        <v>204.10416666666666</v>
      </c>
      <c r="Q37" s="34"/>
      <c r="R37" s="34"/>
      <c r="S37" s="34"/>
      <c r="T37" s="36"/>
    </row>
    <row r="38" spans="5:20" x14ac:dyDescent="0.2">
      <c r="E38">
        <f t="shared" si="7"/>
        <v>720</v>
      </c>
      <c r="F38">
        <f t="shared" si="9"/>
        <v>2.88</v>
      </c>
      <c r="G38">
        <f t="shared" si="10"/>
        <v>1.4272727272727272</v>
      </c>
      <c r="I38">
        <f t="shared" si="3"/>
        <v>0</v>
      </c>
      <c r="J38">
        <f t="shared" si="4"/>
        <v>1.4272727272727272</v>
      </c>
      <c r="K38">
        <f t="shared" si="11"/>
        <v>0</v>
      </c>
      <c r="L38" s="3">
        <f t="shared" si="5"/>
        <v>1.4272727272727272</v>
      </c>
      <c r="N38" s="33">
        <f t="shared" si="8"/>
        <v>180</v>
      </c>
      <c r="O38" s="34">
        <f>IF(bglivc&lt;150,$S$2,1)</f>
        <v>0.84166666666666667</v>
      </c>
      <c r="P38" s="34">
        <f t="shared" si="6"/>
        <v>210.41666666666666</v>
      </c>
      <c r="Q38" s="34"/>
      <c r="R38" s="34"/>
      <c r="S38" s="34"/>
      <c r="T38" s="36"/>
    </row>
    <row r="39" spans="5:20" x14ac:dyDescent="0.2">
      <c r="E39">
        <f t="shared" si="7"/>
        <v>740</v>
      </c>
      <c r="F39">
        <f t="shared" si="9"/>
        <v>2.96</v>
      </c>
      <c r="G39">
        <f t="shared" si="10"/>
        <v>1.4454545454545455</v>
      </c>
      <c r="I39">
        <f t="shared" si="3"/>
        <v>0</v>
      </c>
      <c r="J39">
        <f t="shared" si="4"/>
        <v>1.4454545454545455</v>
      </c>
      <c r="K39">
        <f t="shared" si="11"/>
        <v>0</v>
      </c>
      <c r="L39" s="3">
        <f t="shared" si="5"/>
        <v>1.4454545454545455</v>
      </c>
      <c r="N39" s="33">
        <f t="shared" si="8"/>
        <v>185</v>
      </c>
      <c r="O39" s="34">
        <f>IF(bglivc&lt;150,$S$2,1)</f>
        <v>0.84166666666666667</v>
      </c>
      <c r="P39" s="34">
        <f t="shared" si="6"/>
        <v>216.72916666666666</v>
      </c>
      <c r="Q39" s="34"/>
      <c r="R39" s="34"/>
      <c r="S39" s="34"/>
      <c r="T39" s="36"/>
    </row>
    <row r="40" spans="5:20" x14ac:dyDescent="0.2">
      <c r="E40">
        <f t="shared" si="7"/>
        <v>760</v>
      </c>
      <c r="F40">
        <f t="shared" si="9"/>
        <v>3.04</v>
      </c>
      <c r="G40">
        <f t="shared" si="10"/>
        <v>1.4636363636363636</v>
      </c>
      <c r="I40">
        <f t="shared" si="3"/>
        <v>0</v>
      </c>
      <c r="J40">
        <f t="shared" si="4"/>
        <v>1.4636363636363636</v>
      </c>
      <c r="K40">
        <f t="shared" si="11"/>
        <v>0</v>
      </c>
      <c r="L40" s="3">
        <f t="shared" si="5"/>
        <v>1.4636363636363636</v>
      </c>
      <c r="N40" s="33">
        <f t="shared" si="8"/>
        <v>190</v>
      </c>
      <c r="O40" s="34">
        <f>IF(bglivc&lt;150,$S$2,1)</f>
        <v>0.84166666666666667</v>
      </c>
      <c r="P40" s="34">
        <f t="shared" si="6"/>
        <v>223.04166666666666</v>
      </c>
      <c r="Q40" s="34"/>
      <c r="R40" s="34"/>
      <c r="S40" s="34"/>
      <c r="T40" s="36"/>
    </row>
    <row r="41" spans="5:20" x14ac:dyDescent="0.2">
      <c r="E41">
        <f t="shared" si="7"/>
        <v>780</v>
      </c>
      <c r="F41">
        <f t="shared" si="9"/>
        <v>3.12</v>
      </c>
      <c r="G41">
        <f t="shared" si="10"/>
        <v>1.4818181818181819</v>
      </c>
      <c r="I41">
        <f t="shared" si="3"/>
        <v>0</v>
      </c>
      <c r="J41">
        <f t="shared" si="4"/>
        <v>1.4818181818181819</v>
      </c>
      <c r="K41">
        <f t="shared" si="11"/>
        <v>0</v>
      </c>
      <c r="L41" s="3">
        <f t="shared" si="5"/>
        <v>1.4818181818181819</v>
      </c>
      <c r="N41" s="33">
        <f t="shared" si="8"/>
        <v>195</v>
      </c>
      <c r="O41" s="34">
        <f>IF(bglivc&lt;150,$S$2,1)</f>
        <v>0.84166666666666667</v>
      </c>
      <c r="P41" s="34">
        <f t="shared" si="6"/>
        <v>229.35416666666666</v>
      </c>
      <c r="Q41" s="34"/>
      <c r="R41" s="34"/>
      <c r="S41" s="34"/>
      <c r="T41" s="36"/>
    </row>
    <row r="42" spans="5:20" ht="13.5" thickBot="1" x14ac:dyDescent="0.25">
      <c r="E42">
        <f t="shared" si="7"/>
        <v>800</v>
      </c>
      <c r="F42">
        <f t="shared" si="9"/>
        <v>3.2</v>
      </c>
      <c r="G42">
        <f t="shared" si="10"/>
        <v>1.5</v>
      </c>
      <c r="I42">
        <f t="shared" si="3"/>
        <v>0</v>
      </c>
      <c r="J42">
        <f t="shared" si="4"/>
        <v>0</v>
      </c>
      <c r="K42">
        <f t="shared" si="11"/>
        <v>1.5</v>
      </c>
      <c r="L42" s="3">
        <f t="shared" si="5"/>
        <v>1.5</v>
      </c>
      <c r="N42" s="37">
        <f t="shared" si="8"/>
        <v>200</v>
      </c>
      <c r="O42" s="38">
        <f>IF(bglivc&lt;150,$S$2,1)</f>
        <v>0.84166666666666667</v>
      </c>
      <c r="P42" s="38">
        <f t="shared" si="6"/>
        <v>235.66666666666666</v>
      </c>
      <c r="Q42" s="38"/>
      <c r="R42" s="38"/>
      <c r="S42" s="38"/>
      <c r="T42" s="39"/>
    </row>
    <row r="43" spans="5:20" ht="13.5" thickTop="1" x14ac:dyDescent="0.2">
      <c r="E43">
        <f t="shared" si="7"/>
        <v>820</v>
      </c>
      <c r="F43">
        <f t="shared" si="9"/>
        <v>3.2800000000000002</v>
      </c>
      <c r="G43">
        <f t="shared" si="10"/>
        <v>1.5181818181818181</v>
      </c>
      <c r="I43">
        <f t="shared" si="3"/>
        <v>0</v>
      </c>
      <c r="J43">
        <f t="shared" si="4"/>
        <v>0</v>
      </c>
      <c r="K43">
        <f t="shared" si="11"/>
        <v>1.5</v>
      </c>
      <c r="L43" s="3">
        <f t="shared" si="5"/>
        <v>1.5</v>
      </c>
    </row>
    <row r="44" spans="5:20" x14ac:dyDescent="0.2">
      <c r="E44">
        <f t="shared" si="7"/>
        <v>840</v>
      </c>
      <c r="F44">
        <f t="shared" si="9"/>
        <v>3.36</v>
      </c>
      <c r="G44">
        <f t="shared" si="10"/>
        <v>1.5363636363636364</v>
      </c>
      <c r="I44">
        <f t="shared" si="3"/>
        <v>0</v>
      </c>
      <c r="J44">
        <f t="shared" si="4"/>
        <v>0</v>
      </c>
      <c r="K44">
        <f t="shared" si="11"/>
        <v>1.5</v>
      </c>
      <c r="L44" s="3">
        <f t="shared" si="5"/>
        <v>1.5</v>
      </c>
    </row>
    <row r="45" spans="5:20" x14ac:dyDescent="0.2">
      <c r="E45">
        <f t="shared" ref="E45:E50" si="12">E44+20</f>
        <v>860</v>
      </c>
      <c r="F45">
        <f t="shared" si="9"/>
        <v>3.44</v>
      </c>
      <c r="G45">
        <f t="shared" si="10"/>
        <v>1.5545454545454545</v>
      </c>
      <c r="I45">
        <f t="shared" si="3"/>
        <v>0</v>
      </c>
      <c r="J45">
        <f t="shared" si="4"/>
        <v>0</v>
      </c>
      <c r="K45">
        <f t="shared" si="11"/>
        <v>1.5</v>
      </c>
      <c r="L45" s="3">
        <f t="shared" si="5"/>
        <v>1.5</v>
      </c>
    </row>
    <row r="46" spans="5:20" x14ac:dyDescent="0.2">
      <c r="E46">
        <f t="shared" si="12"/>
        <v>880</v>
      </c>
      <c r="F46">
        <f t="shared" si="9"/>
        <v>3.52</v>
      </c>
      <c r="G46">
        <f t="shared" si="10"/>
        <v>1.5727272727272728</v>
      </c>
      <c r="I46">
        <f t="shared" si="3"/>
        <v>0</v>
      </c>
      <c r="J46">
        <f t="shared" si="4"/>
        <v>0</v>
      </c>
      <c r="K46">
        <f t="shared" si="11"/>
        <v>1.5</v>
      </c>
      <c r="L46" s="3">
        <f t="shared" si="5"/>
        <v>1.5</v>
      </c>
    </row>
    <row r="47" spans="5:20" x14ac:dyDescent="0.2">
      <c r="E47">
        <f t="shared" si="12"/>
        <v>900</v>
      </c>
      <c r="F47">
        <f t="shared" si="9"/>
        <v>3.6</v>
      </c>
      <c r="G47">
        <f t="shared" si="10"/>
        <v>1.5909090909090908</v>
      </c>
      <c r="I47">
        <f t="shared" si="3"/>
        <v>0</v>
      </c>
      <c r="J47">
        <f t="shared" si="4"/>
        <v>0</v>
      </c>
      <c r="K47">
        <f t="shared" si="11"/>
        <v>1.5</v>
      </c>
      <c r="L47" s="3">
        <f t="shared" si="5"/>
        <v>1.5</v>
      </c>
    </row>
    <row r="48" spans="5:20" x14ac:dyDescent="0.2">
      <c r="E48">
        <f t="shared" si="12"/>
        <v>920</v>
      </c>
      <c r="F48">
        <f t="shared" si="9"/>
        <v>3.68</v>
      </c>
      <c r="G48">
        <f t="shared" si="10"/>
        <v>1.6090909090909091</v>
      </c>
      <c r="I48">
        <f t="shared" si="3"/>
        <v>0</v>
      </c>
      <c r="J48">
        <f t="shared" si="4"/>
        <v>0</v>
      </c>
      <c r="K48">
        <f t="shared" si="11"/>
        <v>1.5</v>
      </c>
      <c r="L48" s="3">
        <f t="shared" si="5"/>
        <v>1.5</v>
      </c>
    </row>
    <row r="49" spans="5:12" x14ac:dyDescent="0.2">
      <c r="E49">
        <f t="shared" si="12"/>
        <v>940</v>
      </c>
      <c r="F49">
        <f t="shared" si="9"/>
        <v>3.7600000000000002</v>
      </c>
      <c r="G49">
        <f t="shared" si="10"/>
        <v>1.6272727272727272</v>
      </c>
      <c r="I49">
        <f t="shared" si="3"/>
        <v>0</v>
      </c>
      <c r="J49">
        <f t="shared" si="4"/>
        <v>0</v>
      </c>
      <c r="K49">
        <f t="shared" si="11"/>
        <v>1.5</v>
      </c>
      <c r="L49" s="3">
        <f t="shared" si="5"/>
        <v>1.5</v>
      </c>
    </row>
    <row r="50" spans="5:12" x14ac:dyDescent="0.2">
      <c r="E50">
        <f t="shared" si="12"/>
        <v>960</v>
      </c>
      <c r="F50">
        <f t="shared" si="9"/>
        <v>3.84</v>
      </c>
      <c r="G50">
        <f t="shared" si="10"/>
        <v>1.6454545454545455</v>
      </c>
      <c r="I50">
        <f t="shared" si="3"/>
        <v>0</v>
      </c>
      <c r="J50">
        <f t="shared" si="4"/>
        <v>0</v>
      </c>
      <c r="K50">
        <f t="shared" si="11"/>
        <v>1.5</v>
      </c>
      <c r="L50" s="3">
        <f t="shared" si="5"/>
        <v>1.5</v>
      </c>
    </row>
    <row r="51" spans="5:12" x14ac:dyDescent="0.2">
      <c r="E51">
        <f t="shared" ref="E51:E52" si="13">E50+20</f>
        <v>980</v>
      </c>
      <c r="F51">
        <f t="shared" si="9"/>
        <v>3.92</v>
      </c>
      <c r="G51">
        <f t="shared" si="10"/>
        <v>1.6636363636363636</v>
      </c>
      <c r="I51">
        <f t="shared" ref="I51:I52" si="14">IF(E51&lt;$B$19,F51,0)</f>
        <v>0</v>
      </c>
      <c r="J51">
        <f t="shared" ref="J51:J52" si="15">IF(AND(E51&gt;=$B$19,E51&lt;$B$20),G51,0)</f>
        <v>0</v>
      </c>
      <c r="K51">
        <f t="shared" si="11"/>
        <v>1.5</v>
      </c>
      <c r="L51" s="3">
        <f t="shared" ref="L51:L52" si="16">SUM(I51:K51)</f>
        <v>1.5</v>
      </c>
    </row>
    <row r="52" spans="5:12" x14ac:dyDescent="0.2">
      <c r="E52">
        <f t="shared" si="13"/>
        <v>1000</v>
      </c>
      <c r="F52">
        <f t="shared" si="9"/>
        <v>4</v>
      </c>
      <c r="G52">
        <f t="shared" si="10"/>
        <v>1.6818181818181819</v>
      </c>
      <c r="I52">
        <f t="shared" si="14"/>
        <v>0</v>
      </c>
      <c r="J52">
        <f t="shared" si="15"/>
        <v>0</v>
      </c>
      <c r="K52">
        <f t="shared" si="11"/>
        <v>1.5</v>
      </c>
      <c r="L52" s="3">
        <f t="shared" si="16"/>
        <v>1.5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06F8F-7571-4D9C-81BA-FB1E8CB49259}">
  <dimension ref="A1:L52"/>
  <sheetViews>
    <sheetView tabSelected="1" workbookViewId="0">
      <selection activeCell="D28" sqref="D28"/>
    </sheetView>
  </sheetViews>
  <sheetFormatPr defaultRowHeight="12.75" x14ac:dyDescent="0.2"/>
  <cols>
    <col min="1" max="1" width="23.42578125" customWidth="1"/>
    <col min="2" max="2" width="14.7109375" customWidth="1"/>
    <col min="3" max="3" width="23" style="16" customWidth="1"/>
    <col min="4" max="4" width="48.28515625" customWidth="1"/>
    <col min="5" max="5" width="18.7109375" customWidth="1"/>
    <col min="6" max="6" width="13.85546875" customWidth="1"/>
    <col min="7" max="9" width="15.85546875" customWidth="1"/>
    <col min="10" max="10" width="17" customWidth="1"/>
    <col min="11" max="11" width="18" customWidth="1"/>
    <col min="12" max="12" width="18" style="3" customWidth="1"/>
  </cols>
  <sheetData>
    <row r="1" spans="1:12" ht="31.5" customHeight="1" thickTop="1" x14ac:dyDescent="0.2">
      <c r="C1" s="22" t="s">
        <v>52</v>
      </c>
      <c r="E1" t="s">
        <v>7</v>
      </c>
      <c r="F1" t="s">
        <v>14</v>
      </c>
      <c r="G1" t="s">
        <v>13</v>
      </c>
      <c r="I1" t="s">
        <v>14</v>
      </c>
      <c r="J1" t="s">
        <v>13</v>
      </c>
      <c r="K1" t="s">
        <v>15</v>
      </c>
      <c r="L1" s="3" t="s">
        <v>16</v>
      </c>
    </row>
    <row r="2" spans="1:12" ht="27.75" customHeight="1" x14ac:dyDescent="0.2">
      <c r="A2" t="s">
        <v>54</v>
      </c>
      <c r="B2" t="s">
        <v>27</v>
      </c>
      <c r="C2" s="23">
        <v>200</v>
      </c>
      <c r="D2" s="13" t="s">
        <v>48</v>
      </c>
      <c r="E2">
        <v>0</v>
      </c>
      <c r="F2">
        <f>(fmrsplai_4-fmrsplai_2)/(X2_-X1_)*(E2-X2_)+fmrsplai_4</f>
        <v>0</v>
      </c>
      <c r="G2">
        <f>(fmrsplai_6-fmrsplai_4)/(X3_-X2_)*(E2-X3_)+fmrsplai_6</f>
        <v>0.77272727272727271</v>
      </c>
      <c r="I2">
        <f>IF(E2&lt;X2_,F2,0)</f>
        <v>0</v>
      </c>
      <c r="J2">
        <f>IF(AND(E2&gt;=X2_,E2&lt;X3_),G2,0)</f>
        <v>0</v>
      </c>
      <c r="K2">
        <f>IF(E2&gt;=X3_,fmrsplai_6,0)</f>
        <v>0</v>
      </c>
      <c r="L2" s="3">
        <f>SUM(I2:K2)</f>
        <v>0</v>
      </c>
    </row>
    <row r="3" spans="1:12" ht="15" x14ac:dyDescent="0.2">
      <c r="A3" t="s">
        <v>35</v>
      </c>
      <c r="B3" s="1" t="s">
        <v>29</v>
      </c>
      <c r="C3" s="24">
        <v>0</v>
      </c>
      <c r="E3">
        <f>E2+20</f>
        <v>20</v>
      </c>
      <c r="F3">
        <f>(fmrsplai_4-fmrsplai_2)/(X2_-X1_)*(E3-X2_)+fmrsplai_4</f>
        <v>7.999999999999996E-2</v>
      </c>
      <c r="G3">
        <f>(fmrsplai_6-fmrsplai_4)/(X3_-X2_)*(E3-X3_)+fmrsplai_6</f>
        <v>0.79090909090909089</v>
      </c>
      <c r="I3">
        <f>IF(E3&lt;X2_,F3,0)</f>
        <v>7.999999999999996E-2</v>
      </c>
      <c r="J3">
        <f>IF(AND(E3&gt;=X2_,E3&lt;X3_),G3,0)</f>
        <v>0</v>
      </c>
      <c r="K3">
        <f>IF(E3&gt;=X3_,fmrsplai_6,0)</f>
        <v>0</v>
      </c>
      <c r="L3" s="3">
        <f t="shared" ref="L3:L52" si="0">SUM(I3:K3)</f>
        <v>7.999999999999996E-2</v>
      </c>
    </row>
    <row r="4" spans="1:12" ht="15" x14ac:dyDescent="0.2">
      <c r="A4" t="s">
        <v>36</v>
      </c>
      <c r="B4" s="1" t="s">
        <v>30</v>
      </c>
      <c r="C4" s="25">
        <v>0</v>
      </c>
      <c r="D4" s="3" t="s">
        <v>28</v>
      </c>
      <c r="E4">
        <f t="shared" ref="E4:E52" si="1">E3+20</f>
        <v>40</v>
      </c>
      <c r="F4">
        <f>(fmrsplai_4-fmrsplai_2)/(X2_-X1_)*(E4-X2_)+fmrsplai_4</f>
        <v>0.16000000000000003</v>
      </c>
      <c r="G4">
        <f>(fmrsplai_6-fmrsplai_4)/(X3_-X2_)*(E4-X3_)+fmrsplai_6</f>
        <v>0.80909090909090908</v>
      </c>
      <c r="I4">
        <f>IF(E4&lt;X2_,F4,0)</f>
        <v>0.16000000000000003</v>
      </c>
      <c r="J4">
        <f>IF(AND(E4&gt;=X2_,E4&lt;X3_),G4,0)</f>
        <v>0</v>
      </c>
      <c r="K4">
        <f>IF(E4&gt;=X3_,fmrsplai_6,0)</f>
        <v>0</v>
      </c>
      <c r="L4" s="3">
        <f t="shared" si="0"/>
        <v>0.16000000000000003</v>
      </c>
    </row>
    <row r="5" spans="1:12" ht="15" x14ac:dyDescent="0.2">
      <c r="A5" t="s">
        <v>37</v>
      </c>
      <c r="B5" s="1" t="s">
        <v>31</v>
      </c>
      <c r="C5" s="26">
        <v>1.25</v>
      </c>
      <c r="E5">
        <f t="shared" si="1"/>
        <v>60</v>
      </c>
      <c r="F5">
        <f>(fmrsplai_4-fmrsplai_2)/(X2_-X1_)*(E5-X2_)+fmrsplai_4</f>
        <v>0.24</v>
      </c>
      <c r="G5">
        <f>(fmrsplai_6-fmrsplai_4)/(X3_-X2_)*(E5-X3_)+fmrsplai_6</f>
        <v>0.82727272727272727</v>
      </c>
      <c r="I5">
        <f>IF(E5&lt;X2_,F5,0)</f>
        <v>0.24</v>
      </c>
      <c r="J5">
        <f>IF(AND(E5&gt;=X2_,E5&lt;X3_),G5,0)</f>
        <v>0</v>
      </c>
      <c r="K5">
        <f>IF(E5&gt;=X3_,fmrsplai_6,0)</f>
        <v>0</v>
      </c>
      <c r="L5" s="3">
        <f t="shared" si="0"/>
        <v>0.24</v>
      </c>
    </row>
    <row r="6" spans="1:12" ht="15" x14ac:dyDescent="0.2">
      <c r="A6" t="s">
        <v>38</v>
      </c>
      <c r="B6" s="1" t="s">
        <v>32</v>
      </c>
      <c r="C6" s="27">
        <v>1</v>
      </c>
      <c r="D6" s="3" t="s">
        <v>47</v>
      </c>
      <c r="E6">
        <f t="shared" si="1"/>
        <v>80</v>
      </c>
      <c r="F6">
        <f>(fmrsplai_4-fmrsplai_2)/(X2_-X1_)*(E6-X2_)+fmrsplai_4</f>
        <v>0.31999999999999995</v>
      </c>
      <c r="G6">
        <f>(fmrsplai_6-fmrsplai_4)/(X3_-X2_)*(E6-X3_)+fmrsplai_6</f>
        <v>0.84545454545454546</v>
      </c>
      <c r="I6">
        <f>IF(E6&lt;X2_,F6,0)</f>
        <v>0.31999999999999995</v>
      </c>
      <c r="J6">
        <f>IF(AND(E6&gt;=X2_,E6&lt;X3_),G6,0)</f>
        <v>0</v>
      </c>
      <c r="K6">
        <f>IF(E6&gt;=X3_,fmrsplai_6,0)</f>
        <v>0</v>
      </c>
      <c r="L6" s="3">
        <f t="shared" si="0"/>
        <v>0.31999999999999995</v>
      </c>
    </row>
    <row r="7" spans="1:12" ht="15" x14ac:dyDescent="0.2">
      <c r="B7" s="1" t="s">
        <v>33</v>
      </c>
      <c r="C7" s="28">
        <v>4</v>
      </c>
      <c r="E7">
        <f t="shared" si="1"/>
        <v>100</v>
      </c>
      <c r="F7">
        <f>(fmrsplai_4-fmrsplai_2)/(X2_-X1_)*(E7-X2_)+fmrsplai_4</f>
        <v>0.4</v>
      </c>
      <c r="G7">
        <f>(fmrsplai_6-fmrsplai_4)/(X3_-X2_)*(E7-X3_)+fmrsplai_6</f>
        <v>0.86363636363636365</v>
      </c>
      <c r="I7">
        <f>IF(E7&lt;X2_,F7,0)</f>
        <v>0.4</v>
      </c>
      <c r="J7">
        <f>IF(AND(E7&gt;=X2_,E7&lt;X3_),G7,0)</f>
        <v>0</v>
      </c>
      <c r="K7">
        <f>IF(E7&gt;=X3_,fmrsplai_6,0)</f>
        <v>0</v>
      </c>
      <c r="L7" s="3">
        <f t="shared" si="0"/>
        <v>0.4</v>
      </c>
    </row>
    <row r="8" spans="1:12" ht="15.75" thickBot="1" x14ac:dyDescent="0.25">
      <c r="B8" s="1" t="s">
        <v>34</v>
      </c>
      <c r="C8" s="29">
        <v>1.5</v>
      </c>
      <c r="D8" s="3" t="s">
        <v>51</v>
      </c>
      <c r="E8">
        <f t="shared" si="1"/>
        <v>120</v>
      </c>
      <c r="F8">
        <f>(fmrsplai_4-fmrsplai_2)/(X2_-X1_)*(E8-X2_)+fmrsplai_4</f>
        <v>0.48</v>
      </c>
      <c r="G8">
        <f>(fmrsplai_6-fmrsplai_4)/(X3_-X2_)*(E8-X3_)+fmrsplai_6</f>
        <v>0.88181818181818183</v>
      </c>
      <c r="I8">
        <f>IF(E8&lt;X2_,F8,0)</f>
        <v>0.48</v>
      </c>
      <c r="J8">
        <f>IF(AND(E8&gt;=X2_,E8&lt;X3_),G8,0)</f>
        <v>0</v>
      </c>
      <c r="K8">
        <f>IF(E8&gt;=X3_,fmrsplai_6,0)</f>
        <v>0</v>
      </c>
      <c r="L8" s="3">
        <f t="shared" si="0"/>
        <v>0.48</v>
      </c>
    </row>
    <row r="9" spans="1:12" ht="13.5" thickTop="1" x14ac:dyDescent="0.2">
      <c r="E9">
        <f t="shared" si="1"/>
        <v>140</v>
      </c>
      <c r="F9">
        <f>(fmrsplai_4-fmrsplai_2)/(X2_-X1_)*(E9-X2_)+fmrsplai_4</f>
        <v>0.56000000000000005</v>
      </c>
      <c r="G9">
        <f>(fmrsplai_6-fmrsplai_4)/(X3_-X2_)*(E9-X3_)+fmrsplai_6</f>
        <v>0.9</v>
      </c>
      <c r="I9">
        <f>IF(E9&lt;X2_,F9,0)</f>
        <v>0.56000000000000005</v>
      </c>
      <c r="J9">
        <f>IF(AND(E9&gt;=X2_,E9&lt;X3_),G9,0)</f>
        <v>0</v>
      </c>
      <c r="K9">
        <f>IF(E9&gt;=X3_,fmrsplai_6,0)</f>
        <v>0</v>
      </c>
      <c r="L9" s="3">
        <f t="shared" si="0"/>
        <v>0.56000000000000005</v>
      </c>
    </row>
    <row r="10" spans="1:12" x14ac:dyDescent="0.2">
      <c r="A10" t="s">
        <v>53</v>
      </c>
      <c r="E10">
        <f t="shared" si="1"/>
        <v>160</v>
      </c>
      <c r="F10">
        <f>(fmrsplai_4-fmrsplai_2)/(X2_-X1_)*(E10-X2_)+fmrsplai_4</f>
        <v>0.64</v>
      </c>
      <c r="G10">
        <f>(fmrsplai_6-fmrsplai_4)/(X3_-X2_)*(E10-X3_)+fmrsplai_6</f>
        <v>0.91818181818181821</v>
      </c>
      <c r="I10">
        <f>IF(E10&lt;X2_,F10,0)</f>
        <v>0.64</v>
      </c>
      <c r="J10">
        <f>IF(AND(E10&gt;=X2_,E10&lt;X3_),G10,0)</f>
        <v>0</v>
      </c>
      <c r="K10">
        <f>IF(E10&gt;=X3_,fmrsplai_6,0)</f>
        <v>0</v>
      </c>
      <c r="L10" s="3">
        <f t="shared" si="0"/>
        <v>0.64</v>
      </c>
    </row>
    <row r="11" spans="1:12" x14ac:dyDescent="0.2">
      <c r="A11" t="s">
        <v>37</v>
      </c>
      <c r="E11">
        <f t="shared" si="1"/>
        <v>180</v>
      </c>
      <c r="F11">
        <f>(fmrsplai_4-fmrsplai_2)/(X2_-X1_)*(E11-X2_)+fmrsplai_4</f>
        <v>0.72</v>
      </c>
      <c r="G11">
        <f>(fmrsplai_6-fmrsplai_4)/(X3_-X2_)*(E11-X3_)+fmrsplai_6</f>
        <v>0.9363636363636364</v>
      </c>
      <c r="I11">
        <f>IF(E11&lt;X2_,F11,0)</f>
        <v>0.72</v>
      </c>
      <c r="J11">
        <f>IF(AND(E11&gt;=X2_,E11&lt;X3_),G11,0)</f>
        <v>0</v>
      </c>
      <c r="K11">
        <f>IF(E11&gt;=X3_,fmrsplai_6,0)</f>
        <v>0</v>
      </c>
      <c r="L11" s="3">
        <f t="shared" si="0"/>
        <v>0.72</v>
      </c>
    </row>
    <row r="12" spans="1:12" x14ac:dyDescent="0.2">
      <c r="A12" t="s">
        <v>38</v>
      </c>
      <c r="E12">
        <f t="shared" si="1"/>
        <v>200</v>
      </c>
      <c r="F12">
        <f>(fmrsplai_4-fmrsplai_2)/(X2_-X1_)*(E12-X2_)+fmrsplai_4</f>
        <v>0.8</v>
      </c>
      <c r="G12">
        <f>(fmrsplai_6-fmrsplai_4)/(X3_-X2_)*(E12-X3_)+fmrsplai_6</f>
        <v>0.95454545454545459</v>
      </c>
      <c r="I12">
        <f>IF(E12&lt;X2_,F12,0)</f>
        <v>0.8</v>
      </c>
      <c r="J12">
        <f>IF(AND(E12&gt;=X2_,E12&lt;X3_),G12,0)</f>
        <v>0</v>
      </c>
      <c r="K12">
        <f>IF(E12&gt;=X3_,fmrsplai_6,0)</f>
        <v>0</v>
      </c>
      <c r="L12" s="3">
        <f t="shared" si="0"/>
        <v>0.8</v>
      </c>
    </row>
    <row r="13" spans="1:12" x14ac:dyDescent="0.2">
      <c r="A13" t="s">
        <v>49</v>
      </c>
      <c r="E13">
        <f t="shared" si="1"/>
        <v>220</v>
      </c>
      <c r="F13">
        <f>(fmrsplai_4-fmrsplai_2)/(X2_-X1_)*(E13-X2_)+fmrsplai_4</f>
        <v>0.88</v>
      </c>
      <c r="G13">
        <f>(fmrsplai_6-fmrsplai_4)/(X3_-X2_)*(E13-X3_)+fmrsplai_6</f>
        <v>0.97272727272727277</v>
      </c>
      <c r="I13">
        <f>IF(E13&lt;X2_,F13,0)</f>
        <v>0.88</v>
      </c>
      <c r="J13">
        <f>IF(AND(E13&gt;=X2_,E13&lt;X3_),G13,0)</f>
        <v>0</v>
      </c>
      <c r="K13">
        <f>IF(E13&gt;=X3_,fmrsplai_6,0)</f>
        <v>0</v>
      </c>
      <c r="L13" s="3">
        <f t="shared" si="0"/>
        <v>0.88</v>
      </c>
    </row>
    <row r="14" spans="1:12" x14ac:dyDescent="0.2">
      <c r="A14" t="s">
        <v>50</v>
      </c>
      <c r="E14">
        <f t="shared" si="1"/>
        <v>240</v>
      </c>
      <c r="F14">
        <f>(fmrsplai_4-fmrsplai_2)/(X2_-X1_)*(E14-X2_)+fmrsplai_4</f>
        <v>0.96</v>
      </c>
      <c r="G14">
        <f>(fmrsplai_6-fmrsplai_4)/(X3_-X2_)*(E14-X3_)+fmrsplai_6</f>
        <v>0.99090909090909096</v>
      </c>
      <c r="I14">
        <f>IF(E14&lt;X2_,F14,0)</f>
        <v>0.96</v>
      </c>
      <c r="J14">
        <f>IF(AND(E14&gt;=X2_,E14&lt;X3_),G14,0)</f>
        <v>0</v>
      </c>
      <c r="K14">
        <f>IF(E14&gt;=X3_,fmrsplai_6,0)</f>
        <v>0</v>
      </c>
      <c r="L14" s="3">
        <f t="shared" si="0"/>
        <v>0.96</v>
      </c>
    </row>
    <row r="15" spans="1:12" x14ac:dyDescent="0.2">
      <c r="E15">
        <f t="shared" si="1"/>
        <v>260</v>
      </c>
      <c r="F15">
        <f>(fmrsplai_4-fmrsplai_2)/(X2_-X1_)*(E15-X2_)+fmrsplai_4</f>
        <v>1.04</v>
      </c>
      <c r="G15">
        <f>(fmrsplai_6-fmrsplai_4)/(X3_-X2_)*(E15-X3_)+fmrsplai_6</f>
        <v>1.009090909090909</v>
      </c>
      <c r="I15">
        <f>IF(E15&lt;X2_,F15,0)</f>
        <v>0</v>
      </c>
      <c r="J15">
        <f>IF(AND(E15&gt;=X2_,E15&lt;X3_),G15,0)</f>
        <v>1.009090909090909</v>
      </c>
      <c r="K15">
        <f>IF(E15&gt;=X3_,fmrsplai_6,0)</f>
        <v>0</v>
      </c>
      <c r="L15" s="3">
        <f t="shared" si="0"/>
        <v>1.009090909090909</v>
      </c>
    </row>
    <row r="16" spans="1:12" x14ac:dyDescent="0.2">
      <c r="B16" s="20" t="s">
        <v>45</v>
      </c>
      <c r="C16" s="20" t="s">
        <v>46</v>
      </c>
      <c r="E16">
        <f t="shared" si="1"/>
        <v>280</v>
      </c>
      <c r="F16">
        <f>(fmrsplai_4-fmrsplai_2)/(X2_-X1_)*(E16-X2_)+fmrsplai_4</f>
        <v>1.1200000000000001</v>
      </c>
      <c r="G16">
        <f>(fmrsplai_6-fmrsplai_4)/(X3_-X2_)*(E16-X3_)+fmrsplai_6</f>
        <v>1.0272727272727273</v>
      </c>
      <c r="I16">
        <f>IF(E16&lt;X2_,F16,0)</f>
        <v>0</v>
      </c>
      <c r="J16">
        <f>IF(AND(E16&gt;=X2_,E16&lt;X3_),G16,0)</f>
        <v>1.0272727272727273</v>
      </c>
      <c r="K16">
        <f>IF(E16&gt;=X3_,fmrsplai_6,0)</f>
        <v>0</v>
      </c>
      <c r="L16" s="3">
        <f t="shared" si="0"/>
        <v>1.0272727272727273</v>
      </c>
    </row>
    <row r="17" spans="1:12" x14ac:dyDescent="0.2">
      <c r="A17" s="14" t="s">
        <v>35</v>
      </c>
      <c r="B17" s="16">
        <f>fmrsplai_1*rleavc_opt</f>
        <v>0</v>
      </c>
      <c r="C17" s="17">
        <f>fmrsplai_2</f>
        <v>0</v>
      </c>
      <c r="D17" t="s">
        <v>36</v>
      </c>
      <c r="E17">
        <f t="shared" si="1"/>
        <v>300</v>
      </c>
      <c r="F17">
        <f>(fmrsplai_4-fmrsplai_2)/(X2_-X1_)*(E17-X2_)+fmrsplai_4</f>
        <v>1.2</v>
      </c>
      <c r="G17">
        <f>(fmrsplai_6-fmrsplai_4)/(X3_-X2_)*(E17-X3_)+fmrsplai_6</f>
        <v>1.0454545454545454</v>
      </c>
      <c r="I17">
        <f>IF(E17&lt;X2_,F17,0)</f>
        <v>0</v>
      </c>
      <c r="J17">
        <f>IF(AND(E17&gt;=X2_,E17&lt;X3_),G17,0)</f>
        <v>1.0454545454545454</v>
      </c>
      <c r="K17">
        <f>IF(E17&gt;=X3_,fmrsplai_6,0)</f>
        <v>0</v>
      </c>
      <c r="L17" s="3">
        <f t="shared" si="0"/>
        <v>1.0454545454545454</v>
      </c>
    </row>
    <row r="18" spans="1:12" x14ac:dyDescent="0.2">
      <c r="A18" s="5" t="s">
        <v>37</v>
      </c>
      <c r="B18" s="16">
        <f>fmrsplai_3*rleavc_opt</f>
        <v>250</v>
      </c>
      <c r="C18" s="18">
        <f>fmrsplai_3</f>
        <v>1.25</v>
      </c>
      <c r="D18" t="s">
        <v>38</v>
      </c>
      <c r="E18">
        <f t="shared" si="1"/>
        <v>320</v>
      </c>
      <c r="F18">
        <f>(fmrsplai_4-fmrsplai_2)/(X2_-X1_)*(E18-X2_)+fmrsplai_4</f>
        <v>1.28</v>
      </c>
      <c r="G18">
        <f>(fmrsplai_6-fmrsplai_4)/(X3_-X2_)*(E18-X3_)+fmrsplai_6</f>
        <v>1.0636363636363637</v>
      </c>
      <c r="I18">
        <f>IF(E18&lt;X2_,F18,0)</f>
        <v>0</v>
      </c>
      <c r="J18">
        <f>IF(AND(E18&gt;=X2_,E18&lt;X3_),G18,0)</f>
        <v>1.0636363636363637</v>
      </c>
      <c r="K18">
        <f>IF(E18&gt;=X3_,fmrsplai_6,0)</f>
        <v>0</v>
      </c>
      <c r="L18" s="3">
        <f t="shared" si="0"/>
        <v>1.0636363636363637</v>
      </c>
    </row>
    <row r="19" spans="1:12" x14ac:dyDescent="0.2">
      <c r="A19" s="15" t="s">
        <v>49</v>
      </c>
      <c r="B19" s="16">
        <f>fmrsplai_5*rleavc_opt</f>
        <v>800</v>
      </c>
      <c r="C19" s="19">
        <f>fmrsplai_6</f>
        <v>1.5</v>
      </c>
      <c r="D19" t="s">
        <v>50</v>
      </c>
      <c r="E19">
        <f t="shared" si="1"/>
        <v>340</v>
      </c>
      <c r="F19">
        <f>(fmrsplai_4-fmrsplai_2)/(X2_-X1_)*(E19-X2_)+fmrsplai_4</f>
        <v>1.3599999999999999</v>
      </c>
      <c r="G19">
        <f>(fmrsplai_6-fmrsplai_4)/(X3_-X2_)*(E19-X3_)+fmrsplai_6</f>
        <v>1.0818181818181818</v>
      </c>
      <c r="I19">
        <f>IF(E19&lt;X2_,F19,0)</f>
        <v>0</v>
      </c>
      <c r="J19">
        <f>IF(AND(E19&gt;=X2_,E19&lt;X3_),G19,0)</f>
        <v>1.0818181818181818</v>
      </c>
      <c r="K19">
        <f>IF(E19&gt;=X3_,fmrsplai_6,0)</f>
        <v>0</v>
      </c>
      <c r="L19" s="3">
        <f t="shared" si="0"/>
        <v>1.0818181818181818</v>
      </c>
    </row>
    <row r="20" spans="1:12" x14ac:dyDescent="0.2">
      <c r="E20">
        <f t="shared" si="1"/>
        <v>360</v>
      </c>
      <c r="F20">
        <f>(fmrsplai_4-fmrsplai_2)/(X2_-X1_)*(E20-X2_)+fmrsplai_4</f>
        <v>1.44</v>
      </c>
      <c r="G20">
        <f>(fmrsplai_6-fmrsplai_4)/(X3_-X2_)*(E20-X3_)+fmrsplai_6</f>
        <v>1.1000000000000001</v>
      </c>
      <c r="I20">
        <f>IF(E20&lt;X2_,F20,0)</f>
        <v>0</v>
      </c>
      <c r="J20">
        <f>IF(AND(E20&gt;=X2_,E20&lt;X3_),G20,0)</f>
        <v>1.1000000000000001</v>
      </c>
      <c r="K20">
        <f>IF(E20&gt;=X3_,fmrsplai_6,0)</f>
        <v>0</v>
      </c>
      <c r="L20" s="3">
        <f t="shared" si="0"/>
        <v>1.1000000000000001</v>
      </c>
    </row>
    <row r="21" spans="1:12" x14ac:dyDescent="0.2">
      <c r="E21">
        <f t="shared" si="1"/>
        <v>380</v>
      </c>
      <c r="F21">
        <f>(fmrsplai_4-fmrsplai_2)/(X2_-X1_)*(E21-X2_)+fmrsplai_4</f>
        <v>1.52</v>
      </c>
      <c r="G21">
        <f>(fmrsplai_6-fmrsplai_4)/(X3_-X2_)*(E21-X3_)+fmrsplai_6</f>
        <v>1.1181818181818182</v>
      </c>
      <c r="I21">
        <f>IF(E21&lt;X2_,F21,0)</f>
        <v>0</v>
      </c>
      <c r="J21">
        <f>IF(AND(E21&gt;=X2_,E21&lt;X3_),G21,0)</f>
        <v>1.1181818181818182</v>
      </c>
      <c r="K21">
        <f>IF(E21&gt;=X3_,fmrsplai_6,0)</f>
        <v>0</v>
      </c>
      <c r="L21" s="3">
        <f t="shared" si="0"/>
        <v>1.1181818181818182</v>
      </c>
    </row>
    <row r="22" spans="1:12" x14ac:dyDescent="0.2">
      <c r="A22" t="s">
        <v>10</v>
      </c>
      <c r="E22">
        <f t="shared" si="1"/>
        <v>400</v>
      </c>
      <c r="F22">
        <f>(fmrsplai_4-fmrsplai_2)/(X2_-X1_)*(E22-X2_)+fmrsplai_4</f>
        <v>1.6</v>
      </c>
      <c r="G22">
        <f>(fmrsplai_6-fmrsplai_4)/(X3_-X2_)*(E22-X3_)+fmrsplai_6</f>
        <v>1.1363636363636362</v>
      </c>
      <c r="I22">
        <f>IF(E22&lt;X2_,F22,0)</f>
        <v>0</v>
      </c>
      <c r="J22">
        <f>IF(AND(E22&gt;=X2_,E22&lt;X3_),G22,0)</f>
        <v>1.1363636363636362</v>
      </c>
      <c r="K22">
        <f>IF(E22&gt;=X3_,fmrsplai_6,0)</f>
        <v>0</v>
      </c>
      <c r="L22" s="3">
        <f t="shared" si="0"/>
        <v>1.1363636363636362</v>
      </c>
    </row>
    <row r="23" spans="1:12" x14ac:dyDescent="0.2">
      <c r="E23">
        <f t="shared" si="1"/>
        <v>420</v>
      </c>
      <c r="F23">
        <f>(fmrsplai_4-fmrsplai_2)/(X2_-X1_)*(E23-X2_)+fmrsplai_4</f>
        <v>1.6800000000000002</v>
      </c>
      <c r="G23">
        <f>(fmrsplai_6-fmrsplai_4)/(X3_-X2_)*(E23-X3_)+fmrsplai_6</f>
        <v>1.1545454545454545</v>
      </c>
      <c r="I23">
        <f>IF(E23&lt;X2_,F23,0)</f>
        <v>0</v>
      </c>
      <c r="J23">
        <f>IF(AND(E23&gt;=X2_,E23&lt;X3_),G23,0)</f>
        <v>1.1545454545454545</v>
      </c>
      <c r="K23">
        <f>IF(E23&gt;=X3_,fmrsplai_6,0)</f>
        <v>0</v>
      </c>
      <c r="L23" s="3">
        <f t="shared" si="0"/>
        <v>1.1545454545454545</v>
      </c>
    </row>
    <row r="24" spans="1:12" x14ac:dyDescent="0.2">
      <c r="E24">
        <f t="shared" si="1"/>
        <v>440</v>
      </c>
      <c r="F24">
        <f>(fmrsplai_4-fmrsplai_2)/(X2_-X1_)*(E24-X2_)+fmrsplai_4</f>
        <v>1.76</v>
      </c>
      <c r="G24">
        <f>(fmrsplai_6-fmrsplai_4)/(X3_-X2_)*(E24-X3_)+fmrsplai_6</f>
        <v>1.1727272727272728</v>
      </c>
      <c r="I24">
        <f>IF(E24&lt;X2_,F24,0)</f>
        <v>0</v>
      </c>
      <c r="J24">
        <f>IF(AND(E24&gt;=X2_,E24&lt;X3_),G24,0)</f>
        <v>1.1727272727272728</v>
      </c>
      <c r="K24">
        <f>IF(E24&gt;=X3_,fmrsplai_6,0)</f>
        <v>0</v>
      </c>
      <c r="L24" s="3">
        <f t="shared" si="0"/>
        <v>1.1727272727272728</v>
      </c>
    </row>
    <row r="25" spans="1:12" x14ac:dyDescent="0.2">
      <c r="E25">
        <f t="shared" si="1"/>
        <v>460</v>
      </c>
      <c r="F25">
        <f>(fmrsplai_4-fmrsplai_2)/(X2_-X1_)*(E25-X2_)+fmrsplai_4</f>
        <v>1.8399999999999999</v>
      </c>
      <c r="G25">
        <f>(fmrsplai_6-fmrsplai_4)/(X3_-X2_)*(E25-X3_)+fmrsplai_6</f>
        <v>1.1909090909090909</v>
      </c>
      <c r="I25">
        <f>IF(E25&lt;X2_,F25,0)</f>
        <v>0</v>
      </c>
      <c r="J25">
        <f>IF(AND(E25&gt;=X2_,E25&lt;X3_),G25,0)</f>
        <v>1.1909090909090909</v>
      </c>
      <c r="K25">
        <f>IF(E25&gt;=X3_,fmrsplai_6,0)</f>
        <v>0</v>
      </c>
      <c r="L25" s="3">
        <f t="shared" si="0"/>
        <v>1.1909090909090909</v>
      </c>
    </row>
    <row r="26" spans="1:12" x14ac:dyDescent="0.2">
      <c r="E26">
        <f t="shared" si="1"/>
        <v>480</v>
      </c>
      <c r="F26">
        <f>(fmrsplai_4-fmrsplai_2)/(X2_-X1_)*(E26-X2_)+fmrsplai_4</f>
        <v>1.92</v>
      </c>
      <c r="G26">
        <f>(fmrsplai_6-fmrsplai_4)/(X3_-X2_)*(E26-X3_)+fmrsplai_6</f>
        <v>1.209090909090909</v>
      </c>
      <c r="I26">
        <f>IF(E26&lt;X2_,F26,0)</f>
        <v>0</v>
      </c>
      <c r="J26">
        <f>IF(AND(E26&gt;=X2_,E26&lt;X3_),G26,0)</f>
        <v>1.209090909090909</v>
      </c>
      <c r="K26">
        <f>IF(E26&gt;=X3_,fmrsplai_6,0)</f>
        <v>0</v>
      </c>
      <c r="L26" s="3">
        <f t="shared" si="0"/>
        <v>1.209090909090909</v>
      </c>
    </row>
    <row r="27" spans="1:12" x14ac:dyDescent="0.2">
      <c r="E27">
        <f t="shared" si="1"/>
        <v>500</v>
      </c>
      <c r="F27">
        <f>(fmrsplai_4-fmrsplai_2)/(X2_-X1_)*(E27-X2_)+fmrsplai_4</f>
        <v>2</v>
      </c>
      <c r="G27">
        <f>(fmrsplai_6-fmrsplai_4)/(X3_-X2_)*(E27-X3_)+fmrsplai_6</f>
        <v>1.2272727272727273</v>
      </c>
      <c r="I27">
        <f>IF(E27&lt;X2_,F27,0)</f>
        <v>0</v>
      </c>
      <c r="J27">
        <f>IF(AND(E27&gt;=X2_,E27&lt;X3_),G27,0)</f>
        <v>1.2272727272727273</v>
      </c>
      <c r="K27">
        <f>IF(E27&gt;=X3_,fmrsplai_6,0)</f>
        <v>0</v>
      </c>
      <c r="L27" s="3">
        <f t="shared" si="0"/>
        <v>1.2272727272727273</v>
      </c>
    </row>
    <row r="28" spans="1:12" x14ac:dyDescent="0.2">
      <c r="E28">
        <f t="shared" si="1"/>
        <v>520</v>
      </c>
      <c r="F28">
        <f>(fmrsplai_4-fmrsplai_2)/(X2_-X1_)*(E28-X2_)+fmrsplai_4</f>
        <v>2.08</v>
      </c>
      <c r="G28">
        <f>(fmrsplai_6-fmrsplai_4)/(X3_-X2_)*(E28-X3_)+fmrsplai_6</f>
        <v>1.2454545454545456</v>
      </c>
      <c r="I28">
        <f>IF(E28&lt;X2_,F28,0)</f>
        <v>0</v>
      </c>
      <c r="J28">
        <f>IF(AND(E28&gt;=X2_,E28&lt;X3_),G28,0)</f>
        <v>1.2454545454545456</v>
      </c>
      <c r="K28">
        <f>IF(E28&gt;=X3_,fmrsplai_6,0)</f>
        <v>0</v>
      </c>
      <c r="L28" s="3">
        <f t="shared" si="0"/>
        <v>1.2454545454545456</v>
      </c>
    </row>
    <row r="29" spans="1:12" x14ac:dyDescent="0.2">
      <c r="E29">
        <f t="shared" si="1"/>
        <v>540</v>
      </c>
      <c r="F29">
        <f>(fmrsplai_4-fmrsplai_2)/(X2_-X1_)*(E29-X2_)+fmrsplai_4</f>
        <v>2.16</v>
      </c>
      <c r="G29">
        <f>(fmrsplai_6-fmrsplai_4)/(X3_-X2_)*(E29-X3_)+fmrsplai_6</f>
        <v>1.2636363636363637</v>
      </c>
      <c r="I29">
        <f>IF(E29&lt;X2_,F29,0)</f>
        <v>0</v>
      </c>
      <c r="J29">
        <f>IF(AND(E29&gt;=X2_,E29&lt;X3_),G29,0)</f>
        <v>1.2636363636363637</v>
      </c>
      <c r="K29">
        <f>IF(E29&gt;=X3_,fmrsplai_6,0)</f>
        <v>0</v>
      </c>
      <c r="L29" s="3">
        <f t="shared" si="0"/>
        <v>1.2636363636363637</v>
      </c>
    </row>
    <row r="30" spans="1:12" x14ac:dyDescent="0.2">
      <c r="E30">
        <f t="shared" si="1"/>
        <v>560</v>
      </c>
      <c r="F30">
        <f>(fmrsplai_4-fmrsplai_2)/(X2_-X1_)*(E30-X2_)+fmrsplai_4</f>
        <v>2.2400000000000002</v>
      </c>
      <c r="G30">
        <f>(fmrsplai_6-fmrsplai_4)/(X3_-X2_)*(E30-X3_)+fmrsplai_6</f>
        <v>1.2818181818181817</v>
      </c>
      <c r="I30">
        <f>IF(E30&lt;X2_,F30,0)</f>
        <v>0</v>
      </c>
      <c r="J30">
        <f>IF(AND(E30&gt;=X2_,E30&lt;X3_),G30,0)</f>
        <v>1.2818181818181817</v>
      </c>
      <c r="K30">
        <f>IF(E30&gt;=X3_,fmrsplai_6,0)</f>
        <v>0</v>
      </c>
      <c r="L30" s="3">
        <f t="shared" si="0"/>
        <v>1.2818181818181817</v>
      </c>
    </row>
    <row r="31" spans="1:12" x14ac:dyDescent="0.2">
      <c r="E31">
        <f t="shared" si="1"/>
        <v>580</v>
      </c>
      <c r="F31">
        <f>(fmrsplai_4-fmrsplai_2)/(X2_-X1_)*(E31-X2_)+fmrsplai_4</f>
        <v>2.3200000000000003</v>
      </c>
      <c r="G31">
        <f>(fmrsplai_6-fmrsplai_4)/(X3_-X2_)*(E31-X3_)+fmrsplai_6</f>
        <v>1.3</v>
      </c>
      <c r="I31">
        <f>IF(E31&lt;X2_,F31,0)</f>
        <v>0</v>
      </c>
      <c r="J31">
        <f>IF(AND(E31&gt;=X2_,E31&lt;X3_),G31,0)</f>
        <v>1.3</v>
      </c>
      <c r="K31">
        <f>IF(E31&gt;=X3_,fmrsplai_6,0)</f>
        <v>0</v>
      </c>
      <c r="L31" s="3">
        <f t="shared" si="0"/>
        <v>1.3</v>
      </c>
    </row>
    <row r="32" spans="1:12" x14ac:dyDescent="0.2">
      <c r="E32">
        <f t="shared" si="1"/>
        <v>600</v>
      </c>
      <c r="F32">
        <f>(fmrsplai_4-fmrsplai_2)/(X2_-X1_)*(E32-X2_)+fmrsplai_4</f>
        <v>2.4000000000000004</v>
      </c>
      <c r="G32">
        <f>(fmrsplai_6-fmrsplai_4)/(X3_-X2_)*(E32-X3_)+fmrsplai_6</f>
        <v>1.3181818181818181</v>
      </c>
      <c r="I32">
        <f>IF(E32&lt;X2_,F32,0)</f>
        <v>0</v>
      </c>
      <c r="J32">
        <f>IF(AND(E32&gt;=X2_,E32&lt;X3_),G32,0)</f>
        <v>1.3181818181818181</v>
      </c>
      <c r="K32">
        <f>IF(E32&gt;=X3_,fmrsplai_6,0)</f>
        <v>0</v>
      </c>
      <c r="L32" s="3">
        <f t="shared" si="0"/>
        <v>1.3181818181818181</v>
      </c>
    </row>
    <row r="33" spans="5:12" x14ac:dyDescent="0.2">
      <c r="E33">
        <f t="shared" si="1"/>
        <v>620</v>
      </c>
      <c r="F33">
        <f>(fmrsplai_4-fmrsplai_2)/(X2_-X1_)*(E33-X2_)+fmrsplai_4</f>
        <v>2.48</v>
      </c>
      <c r="G33">
        <f>(fmrsplai_6-fmrsplai_4)/(X3_-X2_)*(E33-X3_)+fmrsplai_6</f>
        <v>1.3363636363636364</v>
      </c>
      <c r="I33">
        <f>IF(E33&lt;X2_,F33,0)</f>
        <v>0</v>
      </c>
      <c r="J33">
        <f>IF(AND(E33&gt;=X2_,E33&lt;X3_),G33,0)</f>
        <v>1.3363636363636364</v>
      </c>
      <c r="K33">
        <f>IF(E33&gt;=X3_,fmrsplai_6,0)</f>
        <v>0</v>
      </c>
      <c r="L33" s="3">
        <f t="shared" si="0"/>
        <v>1.3363636363636364</v>
      </c>
    </row>
    <row r="34" spans="5:12" x14ac:dyDescent="0.2">
      <c r="E34">
        <f t="shared" si="1"/>
        <v>640</v>
      </c>
      <c r="F34">
        <f>(fmrsplai_4-fmrsplai_2)/(X2_-X1_)*(E34-X2_)+fmrsplai_4</f>
        <v>2.56</v>
      </c>
      <c r="G34">
        <f>(fmrsplai_6-fmrsplai_4)/(X3_-X2_)*(E34-X3_)+fmrsplai_6</f>
        <v>1.3545454545454545</v>
      </c>
      <c r="I34">
        <f>IF(E34&lt;X2_,F34,0)</f>
        <v>0</v>
      </c>
      <c r="J34">
        <f>IF(AND(E34&gt;=X2_,E34&lt;X3_),G34,0)</f>
        <v>1.3545454545454545</v>
      </c>
      <c r="K34">
        <f>IF(E34&gt;=X3_,fmrsplai_6,0)</f>
        <v>0</v>
      </c>
      <c r="L34" s="3">
        <f t="shared" si="0"/>
        <v>1.3545454545454545</v>
      </c>
    </row>
    <row r="35" spans="5:12" x14ac:dyDescent="0.2">
      <c r="E35">
        <f t="shared" si="1"/>
        <v>660</v>
      </c>
      <c r="F35">
        <f>(fmrsplai_4-fmrsplai_2)/(X2_-X1_)*(E35-X2_)+fmrsplai_4</f>
        <v>2.64</v>
      </c>
      <c r="G35">
        <f>(fmrsplai_6-fmrsplai_4)/(X3_-X2_)*(E35-X3_)+fmrsplai_6</f>
        <v>1.3727272727272728</v>
      </c>
      <c r="I35">
        <f>IF(E35&lt;X2_,F35,0)</f>
        <v>0</v>
      </c>
      <c r="J35">
        <f>IF(AND(E35&gt;=X2_,E35&lt;X3_),G35,0)</f>
        <v>1.3727272727272728</v>
      </c>
      <c r="K35">
        <f>IF(E35&gt;=X3_,fmrsplai_6,0)</f>
        <v>0</v>
      </c>
      <c r="L35" s="3">
        <f t="shared" si="0"/>
        <v>1.3727272727272728</v>
      </c>
    </row>
    <row r="36" spans="5:12" x14ac:dyDescent="0.2">
      <c r="E36">
        <f t="shared" si="1"/>
        <v>680</v>
      </c>
      <c r="F36">
        <f>(fmrsplai_4-fmrsplai_2)/(X2_-X1_)*(E36-X2_)+fmrsplai_4</f>
        <v>2.7199999999999998</v>
      </c>
      <c r="G36">
        <f>(fmrsplai_6-fmrsplai_4)/(X3_-X2_)*(E36-X3_)+fmrsplai_6</f>
        <v>1.3909090909090909</v>
      </c>
      <c r="I36">
        <f>IF(E36&lt;X2_,F36,0)</f>
        <v>0</v>
      </c>
      <c r="J36">
        <f>IF(AND(E36&gt;=X2_,E36&lt;X3_),G36,0)</f>
        <v>1.3909090909090909</v>
      </c>
      <c r="K36">
        <f>IF(E36&gt;=X3_,fmrsplai_6,0)</f>
        <v>0</v>
      </c>
      <c r="L36" s="3">
        <f t="shared" si="0"/>
        <v>1.3909090909090909</v>
      </c>
    </row>
    <row r="37" spans="5:12" x14ac:dyDescent="0.2">
      <c r="E37">
        <f t="shared" si="1"/>
        <v>700</v>
      </c>
      <c r="F37">
        <f>(fmrsplai_4-fmrsplai_2)/(X2_-X1_)*(E37-X2_)+fmrsplai_4</f>
        <v>2.8</v>
      </c>
      <c r="G37">
        <f>(fmrsplai_6-fmrsplai_4)/(X3_-X2_)*(E37-X3_)+fmrsplai_6</f>
        <v>1.4090909090909092</v>
      </c>
      <c r="I37">
        <f>IF(E37&lt;X2_,F37,0)</f>
        <v>0</v>
      </c>
      <c r="J37">
        <f>IF(AND(E37&gt;=X2_,E37&lt;X3_),G37,0)</f>
        <v>1.4090909090909092</v>
      </c>
      <c r="K37">
        <f>IF(E37&gt;=X3_,fmrsplai_6,0)</f>
        <v>0</v>
      </c>
      <c r="L37" s="3">
        <f t="shared" si="0"/>
        <v>1.4090909090909092</v>
      </c>
    </row>
    <row r="38" spans="5:12" x14ac:dyDescent="0.2">
      <c r="E38">
        <f t="shared" si="1"/>
        <v>720</v>
      </c>
      <c r="F38">
        <f>(fmrsplai_4-fmrsplai_2)/(X2_-X1_)*(E38-X2_)+fmrsplai_4</f>
        <v>2.88</v>
      </c>
      <c r="G38">
        <f>(fmrsplai_6-fmrsplai_4)/(X3_-X2_)*(E38-X3_)+fmrsplai_6</f>
        <v>1.4272727272727272</v>
      </c>
      <c r="I38">
        <f>IF(E38&lt;X2_,F38,0)</f>
        <v>0</v>
      </c>
      <c r="J38">
        <f>IF(AND(E38&gt;=X2_,E38&lt;X3_),G38,0)</f>
        <v>1.4272727272727272</v>
      </c>
      <c r="K38">
        <f>IF(E38&gt;=X3_,fmrsplai_6,0)</f>
        <v>0</v>
      </c>
      <c r="L38" s="3">
        <f t="shared" si="0"/>
        <v>1.4272727272727272</v>
      </c>
    </row>
    <row r="39" spans="5:12" x14ac:dyDescent="0.2">
      <c r="E39">
        <f t="shared" si="1"/>
        <v>740</v>
      </c>
      <c r="F39">
        <f>(fmrsplai_4-fmrsplai_2)/(X2_-X1_)*(E39-X2_)+fmrsplai_4</f>
        <v>2.96</v>
      </c>
      <c r="G39">
        <f>(fmrsplai_6-fmrsplai_4)/(X3_-X2_)*(E39-X3_)+fmrsplai_6</f>
        <v>1.4454545454545455</v>
      </c>
      <c r="I39">
        <f>IF(E39&lt;X2_,F39,0)</f>
        <v>0</v>
      </c>
      <c r="J39">
        <f>IF(AND(E39&gt;=X2_,E39&lt;X3_),G39,0)</f>
        <v>1.4454545454545455</v>
      </c>
      <c r="K39">
        <f>IF(E39&gt;=X3_,fmrsplai_6,0)</f>
        <v>0</v>
      </c>
      <c r="L39" s="3">
        <f t="shared" si="0"/>
        <v>1.4454545454545455</v>
      </c>
    </row>
    <row r="40" spans="5:12" x14ac:dyDescent="0.2">
      <c r="E40">
        <f t="shared" si="1"/>
        <v>760</v>
      </c>
      <c r="F40">
        <f>(fmrsplai_4-fmrsplai_2)/(X2_-X1_)*(E40-X2_)+fmrsplai_4</f>
        <v>3.04</v>
      </c>
      <c r="G40">
        <f>(fmrsplai_6-fmrsplai_4)/(X3_-X2_)*(E40-X3_)+fmrsplai_6</f>
        <v>1.4636363636363636</v>
      </c>
      <c r="I40">
        <f>IF(E40&lt;X2_,F40,0)</f>
        <v>0</v>
      </c>
      <c r="J40">
        <f>IF(AND(E40&gt;=X2_,E40&lt;X3_),G40,0)</f>
        <v>1.4636363636363636</v>
      </c>
      <c r="K40">
        <f>IF(E40&gt;=X3_,fmrsplai_6,0)</f>
        <v>0</v>
      </c>
      <c r="L40" s="3">
        <f t="shared" si="0"/>
        <v>1.4636363636363636</v>
      </c>
    </row>
    <row r="41" spans="5:12" x14ac:dyDescent="0.2">
      <c r="E41">
        <f t="shared" si="1"/>
        <v>780</v>
      </c>
      <c r="F41">
        <f>(fmrsplai_4-fmrsplai_2)/(X2_-X1_)*(E41-X2_)+fmrsplai_4</f>
        <v>3.12</v>
      </c>
      <c r="G41">
        <f>(fmrsplai_6-fmrsplai_4)/(X3_-X2_)*(E41-X3_)+fmrsplai_6</f>
        <v>1.4818181818181819</v>
      </c>
      <c r="I41">
        <f>IF(E41&lt;X2_,F41,0)</f>
        <v>0</v>
      </c>
      <c r="J41">
        <f>IF(AND(E41&gt;=X2_,E41&lt;X3_),G41,0)</f>
        <v>1.4818181818181819</v>
      </c>
      <c r="K41">
        <f>IF(E41&gt;=X3_,fmrsplai_6,0)</f>
        <v>0</v>
      </c>
      <c r="L41" s="3">
        <f t="shared" si="0"/>
        <v>1.4818181818181819</v>
      </c>
    </row>
    <row r="42" spans="5:12" x14ac:dyDescent="0.2">
      <c r="E42">
        <f t="shared" si="1"/>
        <v>800</v>
      </c>
      <c r="F42">
        <f>(fmrsplai_4-fmrsplai_2)/(X2_-X1_)*(E42-X2_)+fmrsplai_4</f>
        <v>3.2</v>
      </c>
      <c r="G42">
        <f>(fmrsplai_6-fmrsplai_4)/(X3_-X2_)*(E42-X3_)+fmrsplai_6</f>
        <v>1.5</v>
      </c>
      <c r="I42">
        <f>IF(E42&lt;X2_,F42,0)</f>
        <v>0</v>
      </c>
      <c r="J42">
        <f>IF(AND(E42&gt;=X2_,E42&lt;X3_),G42,0)</f>
        <v>0</v>
      </c>
      <c r="K42">
        <f>IF(E42&gt;=X3_,fmrsplai_6,0)</f>
        <v>1.5</v>
      </c>
      <c r="L42" s="3">
        <f t="shared" si="0"/>
        <v>1.5</v>
      </c>
    </row>
    <row r="43" spans="5:12" x14ac:dyDescent="0.2">
      <c r="E43">
        <f t="shared" si="1"/>
        <v>820</v>
      </c>
      <c r="F43">
        <f>(fmrsplai_4-fmrsplai_2)/(X2_-X1_)*(E43-X2_)+fmrsplai_4</f>
        <v>3.2800000000000002</v>
      </c>
      <c r="G43">
        <f>(fmrsplai_6-fmrsplai_4)/(X3_-X2_)*(E43-X3_)+fmrsplai_6</f>
        <v>1.5181818181818181</v>
      </c>
      <c r="I43">
        <f>IF(E43&lt;X2_,F43,0)</f>
        <v>0</v>
      </c>
      <c r="J43">
        <f>IF(AND(E43&gt;=X2_,E43&lt;X3_),G43,0)</f>
        <v>0</v>
      </c>
      <c r="K43">
        <f>IF(E43&gt;=X3_,fmrsplai_6,0)</f>
        <v>1.5</v>
      </c>
      <c r="L43" s="3">
        <f t="shared" si="0"/>
        <v>1.5</v>
      </c>
    </row>
    <row r="44" spans="5:12" x14ac:dyDescent="0.2">
      <c r="E44">
        <f t="shared" si="1"/>
        <v>840</v>
      </c>
      <c r="F44">
        <f>(fmrsplai_4-fmrsplai_2)/(X2_-X1_)*(E44-X2_)+fmrsplai_4</f>
        <v>3.36</v>
      </c>
      <c r="G44">
        <f>(fmrsplai_6-fmrsplai_4)/(X3_-X2_)*(E44-X3_)+fmrsplai_6</f>
        <v>1.5363636363636364</v>
      </c>
      <c r="I44">
        <f>IF(E44&lt;X2_,F44,0)</f>
        <v>0</v>
      </c>
      <c r="J44">
        <f>IF(AND(E44&gt;=X2_,E44&lt;X3_),G44,0)</f>
        <v>0</v>
      </c>
      <c r="K44">
        <f>IF(E44&gt;=X3_,fmrsplai_6,0)</f>
        <v>1.5</v>
      </c>
      <c r="L44" s="3">
        <f t="shared" si="0"/>
        <v>1.5</v>
      </c>
    </row>
    <row r="45" spans="5:12" x14ac:dyDescent="0.2">
      <c r="E45">
        <f t="shared" si="1"/>
        <v>860</v>
      </c>
      <c r="F45">
        <f>(fmrsplai_4-fmrsplai_2)/(X2_-X1_)*(E45-X2_)+fmrsplai_4</f>
        <v>3.44</v>
      </c>
      <c r="G45">
        <f>(fmrsplai_6-fmrsplai_4)/(X3_-X2_)*(E45-X3_)+fmrsplai_6</f>
        <v>1.5545454545454545</v>
      </c>
      <c r="I45">
        <f>IF(E45&lt;X2_,F45,0)</f>
        <v>0</v>
      </c>
      <c r="J45">
        <f>IF(AND(E45&gt;=X2_,E45&lt;X3_),G45,0)</f>
        <v>0</v>
      </c>
      <c r="K45">
        <f>IF(E45&gt;=X3_,fmrsplai_6,0)</f>
        <v>1.5</v>
      </c>
      <c r="L45" s="3">
        <f t="shared" si="0"/>
        <v>1.5</v>
      </c>
    </row>
    <row r="46" spans="5:12" x14ac:dyDescent="0.2">
      <c r="E46">
        <f t="shared" si="1"/>
        <v>880</v>
      </c>
      <c r="F46">
        <f>(fmrsplai_4-fmrsplai_2)/(X2_-X1_)*(E46-X2_)+fmrsplai_4</f>
        <v>3.52</v>
      </c>
      <c r="G46">
        <f>(fmrsplai_6-fmrsplai_4)/(X3_-X2_)*(E46-X3_)+fmrsplai_6</f>
        <v>1.5727272727272728</v>
      </c>
      <c r="I46">
        <f>IF(E46&lt;X2_,F46,0)</f>
        <v>0</v>
      </c>
      <c r="J46">
        <f>IF(AND(E46&gt;=X2_,E46&lt;X3_),G46,0)</f>
        <v>0</v>
      </c>
      <c r="K46">
        <f>IF(E46&gt;=X3_,fmrsplai_6,0)</f>
        <v>1.5</v>
      </c>
      <c r="L46" s="3">
        <f t="shared" si="0"/>
        <v>1.5</v>
      </c>
    </row>
    <row r="47" spans="5:12" x14ac:dyDescent="0.2">
      <c r="E47">
        <f t="shared" si="1"/>
        <v>900</v>
      </c>
      <c r="F47">
        <f>(fmrsplai_4-fmrsplai_2)/(X2_-X1_)*(E47-X2_)+fmrsplai_4</f>
        <v>3.6</v>
      </c>
      <c r="G47">
        <f>(fmrsplai_6-fmrsplai_4)/(X3_-X2_)*(E47-X3_)+fmrsplai_6</f>
        <v>1.5909090909090908</v>
      </c>
      <c r="I47">
        <f>IF(E47&lt;X2_,F47,0)</f>
        <v>0</v>
      </c>
      <c r="J47">
        <f>IF(AND(E47&gt;=X2_,E47&lt;X3_),G47,0)</f>
        <v>0</v>
      </c>
      <c r="K47">
        <f>IF(E47&gt;=X3_,fmrsplai_6,0)</f>
        <v>1.5</v>
      </c>
      <c r="L47" s="3">
        <f t="shared" si="0"/>
        <v>1.5</v>
      </c>
    </row>
    <row r="48" spans="5:12" x14ac:dyDescent="0.2">
      <c r="E48">
        <f t="shared" si="1"/>
        <v>920</v>
      </c>
      <c r="F48">
        <f>(fmrsplai_4-fmrsplai_2)/(X2_-X1_)*(E48-X2_)+fmrsplai_4</f>
        <v>3.68</v>
      </c>
      <c r="G48">
        <f>(fmrsplai_6-fmrsplai_4)/(X3_-X2_)*(E48-X3_)+fmrsplai_6</f>
        <v>1.6090909090909091</v>
      </c>
      <c r="I48">
        <f>IF(E48&lt;X2_,F48,0)</f>
        <v>0</v>
      </c>
      <c r="J48">
        <f>IF(AND(E48&gt;=X2_,E48&lt;X3_),G48,0)</f>
        <v>0</v>
      </c>
      <c r="K48">
        <f>IF(E48&gt;=X3_,fmrsplai_6,0)</f>
        <v>1.5</v>
      </c>
      <c r="L48" s="3">
        <f t="shared" si="0"/>
        <v>1.5</v>
      </c>
    </row>
    <row r="49" spans="5:12" x14ac:dyDescent="0.2">
      <c r="E49">
        <f t="shared" si="1"/>
        <v>940</v>
      </c>
      <c r="F49">
        <f>(fmrsplai_4-fmrsplai_2)/(X2_-X1_)*(E49-X2_)+fmrsplai_4</f>
        <v>3.7600000000000002</v>
      </c>
      <c r="G49">
        <f>(fmrsplai_6-fmrsplai_4)/(X3_-X2_)*(E49-X3_)+fmrsplai_6</f>
        <v>1.6272727272727272</v>
      </c>
      <c r="I49">
        <f>IF(E49&lt;X2_,F49,0)</f>
        <v>0</v>
      </c>
      <c r="J49">
        <f>IF(AND(E49&gt;=X2_,E49&lt;X3_),G49,0)</f>
        <v>0</v>
      </c>
      <c r="K49">
        <f>IF(E49&gt;=X3_,fmrsplai_6,0)</f>
        <v>1.5</v>
      </c>
      <c r="L49" s="3">
        <f t="shared" si="0"/>
        <v>1.5</v>
      </c>
    </row>
    <row r="50" spans="5:12" x14ac:dyDescent="0.2">
      <c r="E50">
        <f t="shared" si="1"/>
        <v>960</v>
      </c>
      <c r="F50">
        <f>(fmrsplai_4-fmrsplai_2)/(X2_-X1_)*(E50-X2_)+fmrsplai_4</f>
        <v>3.84</v>
      </c>
      <c r="G50">
        <f>(fmrsplai_6-fmrsplai_4)/(X3_-X2_)*(E50-X3_)+fmrsplai_6</f>
        <v>1.6454545454545455</v>
      </c>
      <c r="I50">
        <f>IF(E50&lt;X2_,F50,0)</f>
        <v>0</v>
      </c>
      <c r="J50">
        <f>IF(AND(E50&gt;=X2_,E50&lt;X3_),G50,0)</f>
        <v>0</v>
      </c>
      <c r="K50">
        <f>IF(E50&gt;=X3_,fmrsplai_6,0)</f>
        <v>1.5</v>
      </c>
      <c r="L50" s="3">
        <f t="shared" si="0"/>
        <v>1.5</v>
      </c>
    </row>
    <row r="51" spans="5:12" x14ac:dyDescent="0.2">
      <c r="E51">
        <f t="shared" si="1"/>
        <v>980</v>
      </c>
      <c r="F51">
        <f>(fmrsplai_4-fmrsplai_2)/(X2_-X1_)*(E51-X2_)+fmrsplai_4</f>
        <v>3.92</v>
      </c>
      <c r="G51">
        <f>(fmrsplai_6-fmrsplai_4)/(X3_-X2_)*(E51-X3_)+fmrsplai_6</f>
        <v>1.6636363636363636</v>
      </c>
      <c r="I51">
        <f>IF(E51&lt;X2_,F51,0)</f>
        <v>0</v>
      </c>
      <c r="J51">
        <f>IF(AND(E51&gt;=X2_,E51&lt;X3_),G51,0)</f>
        <v>0</v>
      </c>
      <c r="K51">
        <f>IF(E51&gt;=X3_,fmrsplai_6,0)</f>
        <v>1.5</v>
      </c>
      <c r="L51" s="3">
        <f t="shared" si="0"/>
        <v>1.5</v>
      </c>
    </row>
    <row r="52" spans="5:12" x14ac:dyDescent="0.2">
      <c r="E52">
        <f t="shared" si="1"/>
        <v>1000</v>
      </c>
      <c r="F52">
        <f>(fmrsplai_4-fmrsplai_2)/(X2_-X1_)*(E52-X2_)+fmrsplai_4</f>
        <v>4</v>
      </c>
      <c r="G52">
        <f>(fmrsplai_6-fmrsplai_4)/(X3_-X2_)*(E52-X3_)+fmrsplai_6</f>
        <v>1.6818181818181819</v>
      </c>
      <c r="I52">
        <f>IF(E52&lt;X2_,F52,0)</f>
        <v>0</v>
      </c>
      <c r="J52">
        <f>IF(AND(E52&gt;=X2_,E52&lt;X3_),G52,0)</f>
        <v>0</v>
      </c>
      <c r="K52">
        <f>IF(E52&gt;=X3_,fmrsplai_6,0)</f>
        <v>1.5</v>
      </c>
      <c r="L52" s="3">
        <f t="shared" si="0"/>
        <v>1.5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"/>
  <sheetViews>
    <sheetView topLeftCell="A4" workbookViewId="0">
      <selection activeCell="J6" sqref="J6"/>
    </sheetView>
  </sheetViews>
  <sheetFormatPr defaultRowHeight="12.75" x14ac:dyDescent="0.2"/>
  <cols>
    <col min="1" max="1" width="13" customWidth="1"/>
    <col min="2" max="2" width="65.140625" customWidth="1"/>
    <col min="5" max="5" width="17.140625" customWidth="1"/>
    <col min="6" max="6" width="61.140625" customWidth="1"/>
  </cols>
  <sheetData>
    <row r="1" spans="1:6" ht="99.95" customHeight="1" thickBot="1" x14ac:dyDescent="0.25">
      <c r="A1" s="9" t="s">
        <v>1</v>
      </c>
      <c r="B1" s="10" t="s">
        <v>19</v>
      </c>
      <c r="E1" s="9" t="s">
        <v>29</v>
      </c>
      <c r="F1" s="9" t="s">
        <v>40</v>
      </c>
    </row>
    <row r="2" spans="1:6" ht="99.95" customHeight="1" thickBot="1" x14ac:dyDescent="0.25">
      <c r="A2" s="11" t="s">
        <v>0</v>
      </c>
      <c r="B2" s="12" t="s">
        <v>20</v>
      </c>
      <c r="E2" s="9" t="s">
        <v>30</v>
      </c>
      <c r="F2" s="9" t="s">
        <v>41</v>
      </c>
    </row>
    <row r="3" spans="1:6" ht="142.5" customHeight="1" thickBot="1" x14ac:dyDescent="0.25">
      <c r="A3" s="11" t="s">
        <v>2</v>
      </c>
      <c r="B3" s="12" t="s">
        <v>21</v>
      </c>
      <c r="E3" s="9" t="s">
        <v>31</v>
      </c>
      <c r="F3" s="9" t="s">
        <v>42</v>
      </c>
    </row>
    <row r="4" spans="1:6" ht="136.5" customHeight="1" thickBot="1" x14ac:dyDescent="0.25">
      <c r="A4" s="11" t="s">
        <v>3</v>
      </c>
      <c r="B4" s="12" t="s">
        <v>22</v>
      </c>
      <c r="E4" s="9" t="s">
        <v>32</v>
      </c>
      <c r="F4" s="9" t="s">
        <v>43</v>
      </c>
    </row>
    <row r="5" spans="1:6" ht="99.95" customHeight="1" thickBot="1" x14ac:dyDescent="0.25">
      <c r="A5" s="11" t="s">
        <v>4</v>
      </c>
      <c r="B5" s="12" t="s">
        <v>23</v>
      </c>
      <c r="E5" s="9" t="s">
        <v>33</v>
      </c>
      <c r="F5" s="9" t="s">
        <v>39</v>
      </c>
    </row>
    <row r="6" spans="1:6" ht="150" customHeight="1" thickBot="1" x14ac:dyDescent="0.25">
      <c r="A6" s="11" t="s">
        <v>5</v>
      </c>
      <c r="B6" s="12" t="s">
        <v>24</v>
      </c>
      <c r="E6" s="9" t="s">
        <v>34</v>
      </c>
      <c r="F6" s="9" t="s">
        <v>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18</vt:i4>
      </vt:variant>
    </vt:vector>
  </HeadingPairs>
  <TitlesOfParts>
    <vt:vector size="21" baseType="lpstr">
      <vt:lpstr>crops</vt:lpstr>
      <vt:lpstr>trees</vt:lpstr>
      <vt:lpstr>param_defn</vt:lpstr>
      <vt:lpstr>agnpp</vt:lpstr>
      <vt:lpstr>bglivc</vt:lpstr>
      <vt:lpstr>cmrspnpp_1</vt:lpstr>
      <vt:lpstr>cmrspnpp_2</vt:lpstr>
      <vt:lpstr>cmrspnpp_3</vt:lpstr>
      <vt:lpstr>cmrspnpp_4</vt:lpstr>
      <vt:lpstr>cmrspnpp_5</vt:lpstr>
      <vt:lpstr>cmrspnpp_6</vt:lpstr>
      <vt:lpstr>fmrsplai_1</vt:lpstr>
      <vt:lpstr>fmrsplai_2</vt:lpstr>
      <vt:lpstr>fmrsplai_3</vt:lpstr>
      <vt:lpstr>fmrsplai_4</vt:lpstr>
      <vt:lpstr>fmrsplai_5</vt:lpstr>
      <vt:lpstr>fmrsplai_6</vt:lpstr>
      <vt:lpstr>rleavc_opt</vt:lpstr>
      <vt:lpstr>X1_</vt:lpstr>
      <vt:lpstr>X2_</vt:lpstr>
      <vt:lpstr>X3_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melannie</dc:creator>
  <cp:lastModifiedBy>Melannie Hartman</cp:lastModifiedBy>
  <dcterms:created xsi:type="dcterms:W3CDTF">2014-11-23T19:45:33Z</dcterms:created>
  <dcterms:modified xsi:type="dcterms:W3CDTF">2018-09-23T22:23:24Z</dcterms:modified>
</cp:coreProperties>
</file>