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Meal Stats" sheetId="3" r:id="rId1"/>
    <sheet name="Juicer Stats" sheetId="2" r:id="rId2"/>
    <sheet name="Juicer Content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F20" i="3"/>
  <c r="F21" i="3"/>
  <c r="F22" i="3"/>
  <c r="F19" i="3"/>
  <c r="F5" i="3"/>
  <c r="F6" i="3"/>
  <c r="F7" i="3"/>
  <c r="F9" i="3"/>
  <c r="F10" i="3"/>
  <c r="F11" i="3"/>
  <c r="F12" i="3"/>
  <c r="F13" i="3"/>
  <c r="F14" i="3"/>
  <c r="F15" i="3"/>
  <c r="F16" i="3"/>
  <c r="F17" i="3"/>
  <c r="F4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19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4" i="3"/>
  <c r="AI3" i="3"/>
  <c r="AH3" i="3"/>
  <c r="Z51" i="3"/>
  <c r="H20" i="3" l="1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19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4" i="3"/>
  <c r="C20" i="3"/>
  <c r="C21" i="3"/>
  <c r="C22" i="3"/>
  <c r="C19" i="3"/>
  <c r="C5" i="3"/>
  <c r="C6" i="3"/>
  <c r="C7" i="3"/>
  <c r="C9" i="3"/>
  <c r="C10" i="3"/>
  <c r="C11" i="3"/>
  <c r="C12" i="3"/>
  <c r="C13" i="3"/>
  <c r="C14" i="3"/>
  <c r="C15" i="3"/>
  <c r="C16" i="3"/>
  <c r="C17" i="3"/>
  <c r="C4" i="3"/>
  <c r="D20" i="3"/>
  <c r="D21" i="3"/>
  <c r="D22" i="3"/>
  <c r="D23" i="3"/>
  <c r="D26" i="3"/>
  <c r="D27" i="3"/>
  <c r="D28" i="3"/>
  <c r="D29" i="3"/>
  <c r="D31" i="3"/>
  <c r="D19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4" i="3"/>
  <c r="B20" i="3"/>
  <c r="B21" i="3"/>
  <c r="B22" i="3"/>
  <c r="B19" i="3"/>
  <c r="B5" i="3"/>
  <c r="B6" i="3"/>
  <c r="B7" i="3"/>
  <c r="B9" i="3"/>
  <c r="B10" i="3"/>
  <c r="B11" i="3"/>
  <c r="B12" i="3"/>
  <c r="B13" i="3"/>
  <c r="B14" i="3"/>
  <c r="B15" i="3"/>
  <c r="B16" i="3"/>
  <c r="B17" i="3"/>
  <c r="B4" i="3"/>
  <c r="M2" i="2"/>
  <c r="M6" i="3" l="1"/>
  <c r="M7" i="3"/>
  <c r="M8" i="3"/>
  <c r="M9" i="3"/>
  <c r="M10" i="3"/>
  <c r="M11" i="3"/>
  <c r="M12" i="3"/>
  <c r="M13" i="3"/>
  <c r="M14" i="3"/>
  <c r="M15" i="3"/>
  <c r="M16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Y36" i="3"/>
  <c r="AA13" i="3"/>
  <c r="M19" i="2" l="1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4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19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4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F21" i="2"/>
  <c r="G21" i="2"/>
  <c r="H21" i="2"/>
  <c r="I21" i="2"/>
  <c r="J21" i="2"/>
  <c r="K21" i="2"/>
  <c r="C22" i="2"/>
  <c r="D22" i="2"/>
  <c r="F22" i="2"/>
  <c r="G22" i="2"/>
  <c r="H22" i="2"/>
  <c r="I22" i="2"/>
  <c r="J22" i="2"/>
  <c r="K22" i="2"/>
  <c r="C23" i="2"/>
  <c r="D23" i="2"/>
  <c r="E23" i="2"/>
  <c r="F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C31" i="2"/>
  <c r="D31" i="2"/>
  <c r="E31" i="2"/>
  <c r="F31" i="2"/>
  <c r="J31" i="2"/>
  <c r="D32" i="2"/>
  <c r="E32" i="2"/>
  <c r="C33" i="2"/>
  <c r="D33" i="2"/>
  <c r="E33" i="2"/>
  <c r="B34" i="2"/>
  <c r="C34" i="2"/>
  <c r="D34" i="2"/>
  <c r="E34" i="2"/>
  <c r="F34" i="2"/>
  <c r="G34" i="2"/>
  <c r="H34" i="2"/>
  <c r="I34" i="2"/>
  <c r="J34" i="2"/>
  <c r="D35" i="2"/>
  <c r="B36" i="2"/>
  <c r="C36" i="2"/>
  <c r="D36" i="2"/>
  <c r="E36" i="2"/>
  <c r="F36" i="2"/>
  <c r="G36" i="2"/>
  <c r="H36" i="2"/>
  <c r="I36" i="2"/>
  <c r="J36" i="2"/>
  <c r="C37" i="2"/>
  <c r="D37" i="2"/>
  <c r="E37" i="2"/>
  <c r="F37" i="2"/>
  <c r="H37" i="2"/>
  <c r="I37" i="2"/>
  <c r="J37" i="2"/>
  <c r="C19" i="2"/>
  <c r="D19" i="2"/>
  <c r="E19" i="2"/>
  <c r="F19" i="2"/>
  <c r="G19" i="2"/>
  <c r="H19" i="2"/>
  <c r="I19" i="2"/>
  <c r="J19" i="2"/>
  <c r="K19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K8" i="2"/>
  <c r="D9" i="2"/>
  <c r="E9" i="2"/>
  <c r="F9" i="2"/>
  <c r="G9" i="2"/>
  <c r="H9" i="2"/>
  <c r="J9" i="2"/>
  <c r="K9" i="2"/>
  <c r="D10" i="2"/>
  <c r="E10" i="2"/>
  <c r="F10" i="2"/>
  <c r="G10" i="2"/>
  <c r="H10" i="2"/>
  <c r="J10" i="2"/>
  <c r="K10" i="2"/>
  <c r="D11" i="2"/>
  <c r="E11" i="2"/>
  <c r="G11" i="2"/>
  <c r="H11" i="2"/>
  <c r="K11" i="2"/>
  <c r="D12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F4" i="2"/>
  <c r="G4" i="2"/>
  <c r="H4" i="2"/>
  <c r="I4" i="2"/>
  <c r="J4" i="2"/>
  <c r="K4" i="2"/>
  <c r="D4" i="2"/>
  <c r="E4" i="2"/>
  <c r="C5" i="2"/>
  <c r="C6" i="2"/>
  <c r="C7" i="2"/>
  <c r="C9" i="2"/>
  <c r="C10" i="2"/>
  <c r="C11" i="2"/>
  <c r="C12" i="2"/>
  <c r="C13" i="2"/>
  <c r="C14" i="2"/>
  <c r="C15" i="2"/>
  <c r="C16" i="2"/>
  <c r="C17" i="2"/>
  <c r="C4" i="2"/>
  <c r="B6" i="2"/>
  <c r="B7" i="2"/>
  <c r="B8" i="2"/>
  <c r="B9" i="2"/>
  <c r="B10" i="2"/>
  <c r="B11" i="2"/>
  <c r="B12" i="2"/>
  <c r="B13" i="2"/>
  <c r="B14" i="2"/>
  <c r="B16" i="2"/>
  <c r="B17" i="2"/>
  <c r="B3" i="2"/>
  <c r="B4" i="2"/>
  <c r="J3" i="2"/>
  <c r="I3" i="2"/>
  <c r="H3" i="2"/>
  <c r="G3" i="2"/>
  <c r="C3" i="2"/>
  <c r="K3" i="2"/>
  <c r="F3" i="2"/>
  <c r="E3" i="2"/>
  <c r="D3" i="2"/>
  <c r="S37" i="2"/>
  <c r="S33" i="2"/>
  <c r="S25" i="2"/>
  <c r="S24" i="2"/>
  <c r="S21" i="2"/>
  <c r="S19" i="2"/>
  <c r="B31" i="1" l="1"/>
  <c r="B28" i="1"/>
  <c r="B25" i="1"/>
</calcChain>
</file>

<file path=xl/sharedStrings.xml><?xml version="1.0" encoding="utf-8"?>
<sst xmlns="http://schemas.openxmlformats.org/spreadsheetml/2006/main" count="696" uniqueCount="204">
  <si>
    <t>Nutribullet</t>
  </si>
  <si>
    <t>Empty</t>
  </si>
  <si>
    <t>Full of Water</t>
  </si>
  <si>
    <t>oz</t>
  </si>
  <si>
    <t>Juicer Recipe</t>
  </si>
  <si>
    <t>Coconut Water</t>
  </si>
  <si>
    <t>Banana</t>
  </si>
  <si>
    <t>LIVfit Superfood Blend</t>
  </si>
  <si>
    <t xml:space="preserve">EcoDrink Multivitamin </t>
  </si>
  <si>
    <t>Dietary Supplement, Peach Mango</t>
  </si>
  <si>
    <t>Rolled Oats</t>
  </si>
  <si>
    <t>Apple</t>
  </si>
  <si>
    <t>Celery</t>
  </si>
  <si>
    <t>Spinach</t>
  </si>
  <si>
    <t>Kale</t>
  </si>
  <si>
    <t>Mixed Berries</t>
  </si>
  <si>
    <t>Private Selection, Triple Berry Blend</t>
  </si>
  <si>
    <t>Full w/Juicer</t>
  </si>
  <si>
    <t>Blender Bottle</t>
  </si>
  <si>
    <t>Full</t>
  </si>
  <si>
    <t>Leftover of Juicer</t>
  </si>
  <si>
    <t>Weight of Juicer in a Full Nutribullet</t>
  </si>
  <si>
    <t>Total in Blender Bottle</t>
  </si>
  <si>
    <t>Percent of Total Recipe in Blender Bottle</t>
  </si>
  <si>
    <t>scoop</t>
  </si>
  <si>
    <t>g</t>
  </si>
  <si>
    <t>tbsp</t>
  </si>
  <si>
    <t>cup</t>
  </si>
  <si>
    <t>Yogurt</t>
  </si>
  <si>
    <t>Total</t>
  </si>
  <si>
    <t>Target</t>
  </si>
  <si>
    <t>Standard</t>
  </si>
  <si>
    <t>Weight [g]</t>
  </si>
  <si>
    <t>Quantity</t>
  </si>
  <si>
    <t>8 oz</t>
  </si>
  <si>
    <t>Calories</t>
  </si>
  <si>
    <t>Calories from Fat</t>
  </si>
  <si>
    <t>-</t>
  </si>
  <si>
    <t>Total Fat [g]</t>
  </si>
  <si>
    <t>Sat Fat [g]</t>
  </si>
  <si>
    <t>Trans Fat [g]</t>
  </si>
  <si>
    <t>Poly Fat[g]</t>
  </si>
  <si>
    <t>Mono Fat [g]</t>
  </si>
  <si>
    <t>Cholesterol [mg]</t>
  </si>
  <si>
    <t>Sodium [mg]</t>
  </si>
  <si>
    <t>Potassium [mg]</t>
  </si>
  <si>
    <t>Total Carbs [g]</t>
  </si>
  <si>
    <t>Dietary Fiber pg[</t>
  </si>
  <si>
    <t>Sugars [g]</t>
  </si>
  <si>
    <t>Protein [g]</t>
  </si>
  <si>
    <t>Vitamin A [%]</t>
  </si>
  <si>
    <t>Vitamin C [%]</t>
  </si>
  <si>
    <t>Calcium [%]</t>
  </si>
  <si>
    <t>Iron [%]</t>
  </si>
  <si>
    <t>Vitamin D [%]</t>
  </si>
  <si>
    <t>Vitamin E [%]</t>
  </si>
  <si>
    <t>Vitamin K [%]</t>
  </si>
  <si>
    <t>Thiamine [%]</t>
  </si>
  <si>
    <t>Riboflavin [%]</t>
  </si>
  <si>
    <t>Niacin [%]</t>
  </si>
  <si>
    <t>Vitamin B6 [%]</t>
  </si>
  <si>
    <t>Folate [%]</t>
  </si>
  <si>
    <t>Vitamin B12 [%]</t>
  </si>
  <si>
    <t>Biotin [%]</t>
  </si>
  <si>
    <t>Panthothenate [%]</t>
  </si>
  <si>
    <t>Phosphorous [%]</t>
  </si>
  <si>
    <t>Iodine [%]</t>
  </si>
  <si>
    <t>Magnesium [%]</t>
  </si>
  <si>
    <t>Selenium [%]</t>
  </si>
  <si>
    <t>(Macro-Nutrients)</t>
  </si>
  <si>
    <t>Coconut Water (CN)</t>
  </si>
  <si>
    <t>Banana (B)</t>
  </si>
  <si>
    <t>LIVfit Superfood Blend (LV)</t>
  </si>
  <si>
    <t>EcoDrink Multivitamin  (ED)</t>
  </si>
  <si>
    <t>Rolled Oats (RO)</t>
  </si>
  <si>
    <t>Apple (A)</t>
  </si>
  <si>
    <t>Celery ©</t>
  </si>
  <si>
    <t>Spinach (S)</t>
  </si>
  <si>
    <t>Kale (K)</t>
  </si>
  <si>
    <t>Mixed Berries (MB)</t>
  </si>
  <si>
    <t>CN</t>
  </si>
  <si>
    <t>B</t>
  </si>
  <si>
    <t>LV</t>
  </si>
  <si>
    <t>ED</t>
  </si>
  <si>
    <t>RO</t>
  </si>
  <si>
    <t>A</t>
  </si>
  <si>
    <t>C</t>
  </si>
  <si>
    <t>S</t>
  </si>
  <si>
    <t>K</t>
  </si>
  <si>
    <t>MB</t>
  </si>
  <si>
    <t>Per Serving</t>
  </si>
  <si>
    <t>Serving Size</t>
  </si>
  <si>
    <t>Src</t>
  </si>
  <si>
    <t>https://www.vitacoco.com/products/pure-coconut-water/original#details</t>
  </si>
  <si>
    <t>https://en.wikipedia.org/wiki/Banana#Nutrition</t>
  </si>
  <si>
    <t>100g</t>
  </si>
  <si>
    <t>2 scoops</t>
  </si>
  <si>
    <t>12g</t>
  </si>
  <si>
    <t>https://images-na.ssl-images-amazon.com/images/I/51Tr6-11gcL.jpg</t>
  </si>
  <si>
    <t>1 packet</t>
  </si>
  <si>
    <t>6.7g</t>
  </si>
  <si>
    <t>http://store.amazing-online-coupons.com/img/ecodrink-multivitamin-31-highly-absorbable-vitamins-minerals-nutrients-with-no-sugar-calories-carbs-caffeine-30-packets-and-shaker-bottle-included-15-packets-blueberry-pomegranate-15-packets-peach-mango-719-oz-dietary-supplement_462580_500.jpg</t>
  </si>
  <si>
    <t xml:space="preserve"> </t>
  </si>
  <si>
    <t>1 tbsp</t>
  </si>
  <si>
    <t>80g</t>
  </si>
  <si>
    <t>Dietary Fiber [g]</t>
  </si>
  <si>
    <t>ref: https://www.eatthismuch.com/</t>
  </si>
  <si>
    <t>1 apple</t>
  </si>
  <si>
    <t>182g</t>
  </si>
  <si>
    <t>2 stalks</t>
  </si>
  <si>
    <t>https://www.eatthismuch.com/food/view/spinach,2170/</t>
  </si>
  <si>
    <t>https://www.eatthismuch.com/food/view/rolled-oats,5821/</t>
  </si>
  <si>
    <t>https://www.eatthismuch.com/food/view/apples,1300/</t>
  </si>
  <si>
    <t>1 cup</t>
  </si>
  <si>
    <t>30g</t>
  </si>
  <si>
    <t>https://www.eatthismuch.com/food/view/kale,1995/</t>
  </si>
  <si>
    <t>67g</t>
  </si>
  <si>
    <t>140g</t>
  </si>
  <si>
    <t>direct</t>
  </si>
  <si>
    <t>Qty</t>
  </si>
  <si>
    <t>19.4 oz</t>
  </si>
  <si>
    <t>N</t>
  </si>
  <si>
    <t>3.65oz</t>
  </si>
  <si>
    <t>1sc</t>
  </si>
  <si>
    <t>2tbsp</t>
  </si>
  <si>
    <t>4.4oz</t>
  </si>
  <si>
    <t>2.8oz</t>
  </si>
  <si>
    <t>.65oz</t>
  </si>
  <si>
    <t>.3oz</t>
  </si>
  <si>
    <t>1.5cup</t>
  </si>
  <si>
    <t>gram</t>
  </si>
  <si>
    <t>ounce</t>
  </si>
  <si>
    <t>Juicer</t>
  </si>
  <si>
    <t>RB(1Cu)</t>
  </si>
  <si>
    <t>Nutrition Source</t>
  </si>
  <si>
    <t>http://www.fda.gov/Food/GuidanceRegulation/GuidanceDocumentsRegulatoryInformation/LabelingNutrition/ucm064928.htm</t>
  </si>
  <si>
    <t>Note</t>
  </si>
  <si>
    <t>Calories are 75% recommended, all other fields are at 100% (ex - Fat, Carbs, Vit A)</t>
  </si>
  <si>
    <t>Daily Vitamins included, including multi-vitamin</t>
  </si>
  <si>
    <t>7am</t>
  </si>
  <si>
    <t>Breakfast is just a bowl of cereal</t>
  </si>
  <si>
    <t>11am</t>
  </si>
  <si>
    <t>Lunch is a Meal Replacement Shake</t>
  </si>
  <si>
    <t>2pm</t>
  </si>
  <si>
    <t>Workout Shake, before or after exercise</t>
  </si>
  <si>
    <t>6pm</t>
  </si>
  <si>
    <t>Dinner Phase 1: Juicer (at office)</t>
  </si>
  <si>
    <t>9pm</t>
  </si>
  <si>
    <t>Dinner Phase 2: Meal (at home)</t>
  </si>
  <si>
    <t>Centrum</t>
  </si>
  <si>
    <t>Magnesium</t>
  </si>
  <si>
    <t>Fish Oil</t>
  </si>
  <si>
    <t>Potassium</t>
  </si>
  <si>
    <t>Goals</t>
  </si>
  <si>
    <t>Supports TDEE</t>
  </si>
  <si>
    <t>Lose Body Fat with minimal muscle loss</t>
  </si>
  <si>
    <t>Highly portable</t>
  </si>
  <si>
    <t>Quick Consumption</t>
  </si>
  <si>
    <t>Breakfast</t>
  </si>
  <si>
    <t>2 Hardboiled Eggs</t>
  </si>
  <si>
    <t>Granola</t>
  </si>
  <si>
    <t>Lunch</t>
  </si>
  <si>
    <t>Protein Shake</t>
  </si>
  <si>
    <t>Sandwich</t>
  </si>
  <si>
    <t>Dinner</t>
  </si>
  <si>
    <t>Meat</t>
  </si>
  <si>
    <t>Vegetables</t>
  </si>
  <si>
    <t>Fruit</t>
  </si>
  <si>
    <t>Vitamins</t>
  </si>
  <si>
    <t>B-Complex</t>
  </si>
  <si>
    <t>Vitamin D</t>
  </si>
  <si>
    <t>Snack</t>
  </si>
  <si>
    <t>Routine (needs update!)</t>
  </si>
  <si>
    <t>Milk</t>
  </si>
  <si>
    <t>Cereal</t>
  </si>
  <si>
    <t>HB Eggs (2)</t>
  </si>
  <si>
    <t>HB Egg</t>
  </si>
  <si>
    <t>https://www.fatsecret.com/calories-nutrition/generic/egg-whole-boiled?portionid=10244&amp;portionamount=1.000</t>
  </si>
  <si>
    <t>Shake</t>
  </si>
  <si>
    <t>Bread</t>
  </si>
  <si>
    <t>Source</t>
  </si>
  <si>
    <t>med</t>
  </si>
  <si>
    <t>https://www.fatsecret.com/calories-nutrition/generic/milk-cows-fluid-whole?portionid=868&amp;portionamount=1.000</t>
  </si>
  <si>
    <t>1 fl oz.</t>
  </si>
  <si>
    <t>bottle</t>
  </si>
  <si>
    <t>Wh Mi</t>
  </si>
  <si>
    <t>medium</t>
  </si>
  <si>
    <t>Lunch Sandwich</t>
  </si>
  <si>
    <t>Turkey</t>
  </si>
  <si>
    <t>Lettuce</t>
  </si>
  <si>
    <t>Mayo</t>
  </si>
  <si>
    <t>Mustard</t>
  </si>
  <si>
    <t>Daily Vitamins</t>
  </si>
  <si>
    <t>1 slice</t>
  </si>
  <si>
    <t>https://www.eatthismuch.com/food/view/lettuce,2013/</t>
  </si>
  <si>
    <t>18.43gr</t>
  </si>
  <si>
    <t>https://www.eatthismuch.com/food/view/sliced-turkey,948/</t>
  </si>
  <si>
    <t>1.9oz</t>
  </si>
  <si>
    <t>https://static1.squarespace.com/static/53ba355be4b074d7aaf62904/t/571fc0ed1d07c0fd6d72c1b9/1461698810066/?format=300w</t>
  </si>
  <si>
    <t>https://www.fatsecret.com/calories-nutrition/best-foods/real-mayonnaise</t>
  </si>
  <si>
    <t>3 tsp</t>
  </si>
  <si>
    <t>https://www.eatthismuch.com/food/view/mustard,220/</t>
  </si>
  <si>
    <t>sandwich</t>
  </si>
  <si>
    <t>Whey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</si>
</sst>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3F3D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5">
    <xf numFmtId="0" fontId="0" fillId="0" borderId="0" xfId="0"/>
    <xf numFmtId="164" fontId="0" fillId="0" borderId="0" xfId="0" applyNumberFormat="1"/>
    <xf numFmtId="0" fontId="0" fillId="2" borderId="0" xfId="0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right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1" xfId="0" applyFill="1" applyBorder="1" applyAlignment="1">
      <alignment horizontal="right"/>
    </xf>
    <xf numFmtId="0" fontId="0" fillId="4" borderId="12" xfId="0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0" fillId="3" borderId="17" xfId="0" applyFill="1" applyBorder="1" applyAlignment="1">
      <alignment horizontal="right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1" fontId="0" fillId="9" borderId="18" xfId="0" applyNumberFormat="1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10" borderId="18" xfId="0" applyNumberFormat="1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0" fillId="11" borderId="18" xfId="0" applyNumberFormat="1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19" xfId="0" applyFill="1" applyBorder="1" applyAlignment="1">
      <alignment horizontal="center"/>
    </xf>
    <xf numFmtId="0" fontId="0" fillId="6" borderId="18" xfId="0" quotePrefix="1" applyFill="1" applyBorder="1" applyAlignment="1">
      <alignment horizontal="center"/>
    </xf>
    <xf numFmtId="0" fontId="0" fillId="3" borderId="24" xfId="0" applyFill="1" applyBorder="1" applyAlignment="1">
      <alignment horizontal="right"/>
    </xf>
    <xf numFmtId="0" fontId="0" fillId="4" borderId="25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1" fontId="0" fillId="0" borderId="25" xfId="0" applyNumberForma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3" borderId="33" xfId="0" applyFont="1" applyFill="1" applyBorder="1" applyAlignment="1">
      <alignment horizontal="center"/>
    </xf>
    <xf numFmtId="1" fontId="0" fillId="0" borderId="34" xfId="0" applyNumberFormat="1" applyFill="1" applyBorder="1" applyAlignment="1">
      <alignment horizontal="center"/>
    </xf>
    <xf numFmtId="0" fontId="0" fillId="0" borderId="34" xfId="0" applyFill="1" applyBorder="1" applyAlignment="1"/>
    <xf numFmtId="1" fontId="0" fillId="0" borderId="3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2" borderId="36" xfId="0" applyFill="1" applyBorder="1" applyAlignment="1">
      <alignment horizontal="right"/>
    </xf>
    <xf numFmtId="0" fontId="0" fillId="0" borderId="18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3" borderId="36" xfId="0" applyFill="1" applyBorder="1" applyAlignment="1">
      <alignment horizontal="right"/>
    </xf>
    <xf numFmtId="0" fontId="0" fillId="0" borderId="19" xfId="0" applyFont="1" applyFill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0" fontId="0" fillId="0" borderId="19" xfId="0" quotePrefix="1" applyFill="1" applyBorder="1" applyAlignment="1">
      <alignment horizontal="center"/>
    </xf>
    <xf numFmtId="1" fontId="0" fillId="0" borderId="26" xfId="0" applyNumberFormat="1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9" fontId="0" fillId="0" borderId="19" xfId="0" applyNumberFormat="1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164" fontId="0" fillId="0" borderId="19" xfId="0" applyNumberFormat="1" applyFill="1" applyBorder="1" applyAlignment="1">
      <alignment horizontal="center"/>
    </xf>
    <xf numFmtId="164" fontId="0" fillId="0" borderId="26" xfId="0" applyNumberFormat="1" applyFill="1" applyBorder="1" applyAlignment="1">
      <alignment horizontal="center"/>
    </xf>
    <xf numFmtId="9" fontId="0" fillId="0" borderId="18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9" fontId="0" fillId="0" borderId="19" xfId="0" applyNumberFormat="1" applyFont="1" applyFill="1" applyBorder="1" applyAlignment="1">
      <alignment horizontal="center"/>
    </xf>
    <xf numFmtId="9" fontId="0" fillId="0" borderId="23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25" xfId="0" applyBorder="1"/>
    <xf numFmtId="0" fontId="0" fillId="0" borderId="27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/>
    <xf numFmtId="0" fontId="0" fillId="0" borderId="0" xfId="0" applyFill="1" applyAlignment="1">
      <alignment horizontal="center"/>
    </xf>
    <xf numFmtId="9" fontId="0" fillId="0" borderId="0" xfId="0" applyNumberFormat="1" applyFont="1"/>
    <xf numFmtId="0" fontId="0" fillId="0" borderId="0" xfId="0" quotePrefix="1" applyAlignment="1">
      <alignment horizontal="center"/>
    </xf>
    <xf numFmtId="0" fontId="0" fillId="0" borderId="0" xfId="0" applyFill="1"/>
    <xf numFmtId="0" fontId="1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3" fillId="4" borderId="0" xfId="0" applyFont="1" applyFill="1"/>
    <xf numFmtId="0" fontId="0" fillId="4" borderId="0" xfId="0" applyFill="1" applyAlignment="1">
      <alignment horizontal="center"/>
    </xf>
    <xf numFmtId="9" fontId="0" fillId="7" borderId="39" xfId="0" applyNumberFormat="1" applyFill="1" applyBorder="1" applyAlignment="1">
      <alignment horizontal="center"/>
    </xf>
    <xf numFmtId="0" fontId="0" fillId="7" borderId="20" xfId="0" applyFill="1" applyBorder="1"/>
    <xf numFmtId="165" fontId="0" fillId="7" borderId="20" xfId="0" applyNumberFormat="1" applyFill="1" applyBorder="1" applyAlignment="1">
      <alignment horizontal="center"/>
    </xf>
    <xf numFmtId="165" fontId="0" fillId="7" borderId="27" xfId="0" applyNumberForma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center"/>
    </xf>
    <xf numFmtId="0" fontId="0" fillId="8" borderId="33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8" borderId="45" xfId="0" applyFill="1" applyBorder="1" applyAlignment="1">
      <alignment horizontal="center"/>
    </xf>
    <xf numFmtId="1" fontId="0" fillId="8" borderId="34" xfId="0" applyNumberFormat="1" applyFill="1" applyBorder="1" applyAlignment="1">
      <alignment horizontal="center"/>
    </xf>
    <xf numFmtId="1" fontId="0" fillId="8" borderId="35" xfId="0" applyNumberFormat="1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0" borderId="17" xfId="0" applyFill="1" applyBorder="1" applyAlignment="1">
      <alignment horizontal="center" wrapText="1"/>
    </xf>
    <xf numFmtId="0" fontId="0" fillId="0" borderId="21" xfId="0" applyFill="1" applyBorder="1" applyAlignment="1">
      <alignment horizontal="center" wrapText="1"/>
    </xf>
    <xf numFmtId="0" fontId="0" fillId="0" borderId="43" xfId="0" applyFill="1" applyBorder="1" applyAlignment="1">
      <alignment horizontal="center" wrapText="1"/>
    </xf>
    <xf numFmtId="0" fontId="0" fillId="0" borderId="18" xfId="0" applyFill="1" applyBorder="1" applyAlignment="1">
      <alignment horizontal="center" wrapText="1"/>
    </xf>
    <xf numFmtId="0" fontId="0" fillId="0" borderId="19" xfId="0" applyFill="1" applyBorder="1" applyAlignment="1">
      <alignment horizontal="center" wrapText="1"/>
    </xf>
    <xf numFmtId="0" fontId="0" fillId="0" borderId="23" xfId="0" applyFill="1" applyBorder="1" applyAlignment="1">
      <alignment horizontal="center" wrapText="1"/>
    </xf>
    <xf numFmtId="2" fontId="0" fillId="0" borderId="19" xfId="0" applyNumberForma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1" xfId="0" applyBorder="1" applyAlignment="1">
      <alignment horizontal="center"/>
    </xf>
    <xf numFmtId="2" fontId="0" fillId="0" borderId="23" xfId="0" applyNumberFormat="1" applyBorder="1" applyAlignment="1">
      <alignment horizontal="center"/>
    </xf>
    <xf numFmtId="165" fontId="1" fillId="3" borderId="33" xfId="0" applyNumberFormat="1" applyFont="1" applyFill="1" applyBorder="1" applyAlignment="1">
      <alignment horizontal="center"/>
    </xf>
    <xf numFmtId="165" fontId="0" fillId="0" borderId="4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5" borderId="48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/>
    </xf>
    <xf numFmtId="1" fontId="0" fillId="5" borderId="18" xfId="0" applyNumberFormat="1" applyFill="1" applyBorder="1" applyAlignment="1">
      <alignment horizontal="center"/>
    </xf>
    <xf numFmtId="1" fontId="0" fillId="5" borderId="21" xfId="0" applyNumberFormat="1" applyFill="1" applyBorder="1" applyAlignment="1">
      <alignment horizontal="center"/>
    </xf>
    <xf numFmtId="1" fontId="0" fillId="5" borderId="20" xfId="0" applyNumberFormat="1" applyFill="1" applyBorder="1" applyAlignment="1">
      <alignment horizontal="center"/>
    </xf>
    <xf numFmtId="1" fontId="0" fillId="5" borderId="18" xfId="0" applyNumberFormat="1" applyFill="1" applyBorder="1" applyAlignment="1">
      <alignment horizontal="center"/>
    </xf>
    <xf numFmtId="1" fontId="0" fillId="5" borderId="21" xfId="0" applyNumberFormat="1" applyFill="1" applyBorder="1" applyAlignment="1">
      <alignment horizontal="center"/>
    </xf>
    <xf numFmtId="1" fontId="0" fillId="5" borderId="20" xfId="0" applyNumberFormat="1" applyFill="1" applyBorder="1" applyAlignment="1">
      <alignment horizontal="center"/>
    </xf>
    <xf numFmtId="1" fontId="0" fillId="5" borderId="25" xfId="0" applyNumberFormat="1" applyFill="1" applyBorder="1" applyAlignment="1">
      <alignment horizontal="center"/>
    </xf>
    <xf numFmtId="1" fontId="0" fillId="5" borderId="49" xfId="0" applyNumberFormat="1" applyFill="1" applyBorder="1" applyAlignment="1">
      <alignment horizontal="center"/>
    </xf>
    <xf numFmtId="1" fontId="0" fillId="5" borderId="27" xfId="0" applyNumberFormat="1" applyFill="1" applyBorder="1" applyAlignment="1">
      <alignment horizontal="center"/>
    </xf>
    <xf numFmtId="1" fontId="0" fillId="5" borderId="21" xfId="0" quotePrefix="1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ntrum.com/whats-inside/produc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"/>
  <sheetViews>
    <sheetView tabSelected="1" workbookViewId="0">
      <selection activeCell="U18" sqref="U18"/>
    </sheetView>
  </sheetViews>
  <sheetFormatPr defaultRowHeight="15" x14ac:dyDescent="0.25"/>
  <cols>
    <col min="1" max="1" width="18" customWidth="1"/>
    <col min="2" max="2" width="11.5703125" customWidth="1"/>
    <col min="8" max="8" width="10" customWidth="1"/>
    <col min="9" max="9" width="11.85546875" customWidth="1"/>
    <col min="16" max="16" width="9.140625" style="125"/>
    <col min="24" max="29" width="11.42578125" style="54" customWidth="1"/>
    <col min="30" max="30" width="18" bestFit="1" customWidth="1"/>
    <col min="36" max="36" width="9.140625" style="82"/>
  </cols>
  <sheetData>
    <row r="1" spans="1:36" ht="15.75" thickBot="1" x14ac:dyDescent="0.3">
      <c r="A1" s="2"/>
      <c r="B1" s="3" t="s">
        <v>175</v>
      </c>
      <c r="C1" s="113" t="s">
        <v>173</v>
      </c>
      <c r="D1" s="4" t="s">
        <v>174</v>
      </c>
      <c r="E1" s="5" t="s">
        <v>163</v>
      </c>
      <c r="F1" s="5" t="s">
        <v>173</v>
      </c>
      <c r="G1" s="6" t="s">
        <v>178</v>
      </c>
      <c r="H1" s="7" t="s">
        <v>132</v>
      </c>
      <c r="I1" s="3" t="s">
        <v>166</v>
      </c>
      <c r="J1" s="6" t="s">
        <v>165</v>
      </c>
      <c r="K1" s="4" t="s">
        <v>179</v>
      </c>
      <c r="L1" s="145" t="s">
        <v>29</v>
      </c>
      <c r="M1" s="146" t="s">
        <v>30</v>
      </c>
      <c r="N1" s="147" t="s">
        <v>31</v>
      </c>
      <c r="O1" s="123"/>
      <c r="P1" s="153" t="s">
        <v>176</v>
      </c>
      <c r="Q1" s="95" t="s">
        <v>133</v>
      </c>
      <c r="R1" s="95" t="s">
        <v>185</v>
      </c>
      <c r="S1" s="95" t="s">
        <v>203</v>
      </c>
      <c r="T1" s="95"/>
      <c r="U1" s="95"/>
      <c r="V1" s="96"/>
      <c r="W1" s="97"/>
      <c r="X1" s="135" t="s">
        <v>149</v>
      </c>
      <c r="Y1" s="136" t="s">
        <v>150</v>
      </c>
      <c r="Z1" s="136" t="s">
        <v>151</v>
      </c>
      <c r="AA1" s="136" t="s">
        <v>152</v>
      </c>
      <c r="AB1" s="136" t="s">
        <v>169</v>
      </c>
      <c r="AC1" s="137" t="s">
        <v>170</v>
      </c>
      <c r="AD1" s="101"/>
      <c r="AE1" s="3" t="s">
        <v>179</v>
      </c>
      <c r="AF1" s="6" t="s">
        <v>188</v>
      </c>
      <c r="AG1" s="6" t="s">
        <v>189</v>
      </c>
      <c r="AH1" s="6" t="s">
        <v>190</v>
      </c>
      <c r="AI1" s="73" t="s">
        <v>191</v>
      </c>
      <c r="AJ1" s="179" t="s">
        <v>29</v>
      </c>
    </row>
    <row r="2" spans="1:36" ht="15.75" thickBot="1" x14ac:dyDescent="0.3">
      <c r="A2" s="8" t="s">
        <v>32</v>
      </c>
      <c r="B2" s="9" t="s">
        <v>181</v>
      </c>
      <c r="C2" s="114" t="s">
        <v>3</v>
      </c>
      <c r="D2" s="10" t="s">
        <v>27</v>
      </c>
      <c r="E2" s="11" t="s">
        <v>202</v>
      </c>
      <c r="F2" s="173" t="s">
        <v>3</v>
      </c>
      <c r="G2" s="12" t="s">
        <v>24</v>
      </c>
      <c r="H2" s="126" t="s">
        <v>184</v>
      </c>
      <c r="I2" s="13"/>
      <c r="J2" s="14"/>
      <c r="K2" s="141"/>
      <c r="L2" s="150"/>
      <c r="M2" s="151"/>
      <c r="N2" s="152"/>
      <c r="O2" s="15"/>
      <c r="P2" s="125" t="s">
        <v>186</v>
      </c>
      <c r="Q2" s="54">
        <v>31</v>
      </c>
      <c r="R2" s="54" t="s">
        <v>183</v>
      </c>
      <c r="S2" s="54"/>
      <c r="T2" s="59"/>
      <c r="U2" s="59"/>
      <c r="V2" s="59"/>
      <c r="W2" s="97"/>
      <c r="X2" s="132">
        <v>1</v>
      </c>
      <c r="Y2" s="27">
        <v>1</v>
      </c>
      <c r="Z2" s="27">
        <v>1</v>
      </c>
      <c r="AA2" s="27">
        <v>1</v>
      </c>
      <c r="AB2" s="27">
        <v>1</v>
      </c>
      <c r="AC2" s="28">
        <v>2</v>
      </c>
      <c r="AD2" s="176"/>
      <c r="AE2" s="148" t="s">
        <v>193</v>
      </c>
      <c r="AF2" s="149" t="s">
        <v>197</v>
      </c>
      <c r="AG2" s="149" t="s">
        <v>195</v>
      </c>
      <c r="AH2" s="149" t="s">
        <v>26</v>
      </c>
      <c r="AI2" s="177" t="s">
        <v>26</v>
      </c>
      <c r="AJ2" s="180"/>
    </row>
    <row r="3" spans="1:36" ht="16.5" customHeight="1" x14ac:dyDescent="0.25">
      <c r="A3" s="16" t="s">
        <v>33</v>
      </c>
      <c r="B3" s="17">
        <v>2</v>
      </c>
      <c r="C3" s="115">
        <v>9</v>
      </c>
      <c r="D3" s="138">
        <v>2</v>
      </c>
      <c r="E3" s="182">
        <v>1</v>
      </c>
      <c r="F3" s="183">
        <v>9</v>
      </c>
      <c r="G3" s="184">
        <v>2</v>
      </c>
      <c r="H3" s="128">
        <v>1</v>
      </c>
      <c r="I3" s="18"/>
      <c r="J3" s="19"/>
      <c r="K3" s="142"/>
      <c r="L3" s="154"/>
      <c r="M3" s="155"/>
      <c r="N3" s="156"/>
      <c r="O3" s="15"/>
      <c r="Q3" s="54"/>
      <c r="R3" s="54"/>
      <c r="S3" s="54"/>
      <c r="T3" s="59"/>
      <c r="U3" s="59"/>
      <c r="V3" s="59"/>
      <c r="W3" s="97"/>
      <c r="X3" s="132"/>
      <c r="Y3" s="27"/>
      <c r="Z3" s="27"/>
      <c r="AA3" s="27"/>
      <c r="AB3" s="27"/>
      <c r="AC3" s="28"/>
      <c r="AD3" s="176"/>
      <c r="AE3" s="132">
        <v>2</v>
      </c>
      <c r="AF3" s="27">
        <v>1</v>
      </c>
      <c r="AG3" s="172">
        <v>1</v>
      </c>
      <c r="AH3" s="172">
        <f>2.5/3</f>
        <v>0.83333333333333337</v>
      </c>
      <c r="AI3" s="178">
        <f>1/3</f>
        <v>0.33333333333333331</v>
      </c>
      <c r="AJ3" s="181"/>
    </row>
    <row r="4" spans="1:36" x14ac:dyDescent="0.25">
      <c r="A4" s="20" t="s">
        <v>35</v>
      </c>
      <c r="B4" s="40">
        <f>P4*$B$3</f>
        <v>136</v>
      </c>
      <c r="C4" s="116">
        <f>$C$3*R4</f>
        <v>162</v>
      </c>
      <c r="D4" s="139">
        <f>$D$3*Q4</f>
        <v>220</v>
      </c>
      <c r="E4" s="185">
        <f>AJ4</f>
        <v>383.33333333333337</v>
      </c>
      <c r="F4" s="186">
        <f>R4*$F$3</f>
        <v>162</v>
      </c>
      <c r="G4" s="187">
        <v>300</v>
      </c>
      <c r="H4" s="129">
        <f>'Juicer Stats'!M4</f>
        <v>638.61075570527464</v>
      </c>
      <c r="I4" s="21">
        <v>150</v>
      </c>
      <c r="J4" s="22">
        <v>400</v>
      </c>
      <c r="K4" s="143">
        <v>200</v>
      </c>
      <c r="L4" s="23">
        <f>SUM(B4:K4)</f>
        <v>2751.9440890386081</v>
      </c>
      <c r="M4" s="24">
        <v>2200</v>
      </c>
      <c r="N4" s="25">
        <v>2000</v>
      </c>
      <c r="O4" s="118"/>
      <c r="P4" s="125">
        <v>68</v>
      </c>
      <c r="Q4" s="54">
        <v>110</v>
      </c>
      <c r="R4" s="54">
        <v>18</v>
      </c>
      <c r="S4" s="54"/>
      <c r="T4" s="59"/>
      <c r="U4" s="59"/>
      <c r="V4" s="59"/>
      <c r="W4" s="99"/>
      <c r="X4" s="132" t="s">
        <v>37</v>
      </c>
      <c r="Y4" s="27" t="s">
        <v>37</v>
      </c>
      <c r="Z4" s="27">
        <v>35</v>
      </c>
      <c r="AA4" s="27" t="s">
        <v>37</v>
      </c>
      <c r="AB4" s="27" t="s">
        <v>37</v>
      </c>
      <c r="AC4" s="28" t="s">
        <v>37</v>
      </c>
      <c r="AD4" s="176"/>
      <c r="AE4" s="132">
        <v>120</v>
      </c>
      <c r="AF4" s="27">
        <v>53.9</v>
      </c>
      <c r="AG4" s="27">
        <v>3.1</v>
      </c>
      <c r="AH4" s="27">
        <v>100</v>
      </c>
      <c r="AI4" s="174">
        <v>9</v>
      </c>
      <c r="AJ4" s="181">
        <f>(AE4*AE$3)+(AF4)+(AG4)+(AH4*AH$3)+(AI4*AI$3)</f>
        <v>383.33333333333337</v>
      </c>
    </row>
    <row r="5" spans="1:36" x14ac:dyDescent="0.25">
      <c r="A5" s="20" t="s">
        <v>36</v>
      </c>
      <c r="B5" s="40">
        <f t="shared" ref="B5:B17" si="0">P5*$B$3</f>
        <v>84</v>
      </c>
      <c r="C5" s="116">
        <f t="shared" ref="C5:C17" si="1">$C$3*R5</f>
        <v>81</v>
      </c>
      <c r="D5" s="139">
        <f t="shared" ref="D5:D17" si="2">$D$3*Q5</f>
        <v>0</v>
      </c>
      <c r="E5" s="185">
        <f t="shared" ref="E5:E37" si="3">AJ5</f>
        <v>126.83333333333334</v>
      </c>
      <c r="F5" s="186">
        <f t="shared" ref="F5:F37" si="4">R5*$F$3</f>
        <v>81</v>
      </c>
      <c r="G5" s="187"/>
      <c r="H5" s="129">
        <f>'Juicer Stats'!M5</f>
        <v>30.829909545769233</v>
      </c>
      <c r="I5" s="21"/>
      <c r="J5" s="22"/>
      <c r="K5" s="143"/>
      <c r="L5" s="26"/>
      <c r="M5" s="27" t="s">
        <v>37</v>
      </c>
      <c r="N5" s="28" t="s">
        <v>37</v>
      </c>
      <c r="O5" s="15"/>
      <c r="P5" s="125">
        <v>42</v>
      </c>
      <c r="Q5" s="54">
        <v>0</v>
      </c>
      <c r="R5" s="54">
        <v>9</v>
      </c>
      <c r="S5" s="54"/>
      <c r="T5" s="59"/>
      <c r="U5" s="54"/>
      <c r="V5" s="54"/>
      <c r="W5" s="99"/>
      <c r="X5" s="132" t="s">
        <v>37</v>
      </c>
      <c r="Y5" s="27" t="s">
        <v>37</v>
      </c>
      <c r="Z5" s="27">
        <v>25</v>
      </c>
      <c r="AA5" s="27" t="s">
        <v>37</v>
      </c>
      <c r="AB5" s="27" t="s">
        <v>37</v>
      </c>
      <c r="AC5" s="28" t="s">
        <v>37</v>
      </c>
      <c r="AD5" s="176"/>
      <c r="AE5" s="132">
        <v>15</v>
      </c>
      <c r="AF5" s="27">
        <v>11.5</v>
      </c>
      <c r="AG5" s="27">
        <v>0.5</v>
      </c>
      <c r="AH5" s="27">
        <v>100</v>
      </c>
      <c r="AI5" s="174">
        <v>4.5</v>
      </c>
      <c r="AJ5" s="181">
        <f t="shared" ref="AJ5:AJ37" si="5">(AE5*AE$3)+(AF5)+(AG5)+(AH5*AH$3)+(AI5*AI$3)</f>
        <v>126.83333333333334</v>
      </c>
    </row>
    <row r="6" spans="1:36" x14ac:dyDescent="0.25">
      <c r="A6" s="20" t="s">
        <v>38</v>
      </c>
      <c r="B6" s="40">
        <f t="shared" si="0"/>
        <v>9.3000000000000007</v>
      </c>
      <c r="C6" s="116">
        <f t="shared" si="1"/>
        <v>8.91</v>
      </c>
      <c r="D6" s="139">
        <f t="shared" si="2"/>
        <v>0</v>
      </c>
      <c r="E6" s="185">
        <f t="shared" si="3"/>
        <v>14.733333333333333</v>
      </c>
      <c r="F6" s="186">
        <f t="shared" si="4"/>
        <v>8.91</v>
      </c>
      <c r="G6" s="187"/>
      <c r="H6" s="129">
        <f>'Juicer Stats'!M6</f>
        <v>3.3513649305895608</v>
      </c>
      <c r="I6" s="21"/>
      <c r="J6" s="22"/>
      <c r="K6" s="143"/>
      <c r="L6" s="29"/>
      <c r="M6" s="30">
        <f>N6</f>
        <v>65</v>
      </c>
      <c r="N6" s="31">
        <v>65</v>
      </c>
      <c r="O6" s="119"/>
      <c r="P6" s="125">
        <v>4.6500000000000004</v>
      </c>
      <c r="Q6" s="54">
        <v>0</v>
      </c>
      <c r="R6" s="54">
        <v>0.99</v>
      </c>
      <c r="S6" s="54"/>
      <c r="T6" s="59"/>
      <c r="U6" s="54"/>
      <c r="V6" s="54"/>
      <c r="W6" s="99"/>
      <c r="X6" s="132" t="s">
        <v>37</v>
      </c>
      <c r="Y6" s="27" t="s">
        <v>37</v>
      </c>
      <c r="Z6" s="27">
        <v>3</v>
      </c>
      <c r="AA6" s="27" t="s">
        <v>37</v>
      </c>
      <c r="AB6" s="27" t="s">
        <v>37</v>
      </c>
      <c r="AC6" s="28" t="s">
        <v>37</v>
      </c>
      <c r="AD6" s="176"/>
      <c r="AE6" s="132">
        <v>2</v>
      </c>
      <c r="AF6" s="27">
        <v>1.3</v>
      </c>
      <c r="AG6" s="27">
        <v>0.1</v>
      </c>
      <c r="AH6" s="27">
        <v>11</v>
      </c>
      <c r="AI6" s="174">
        <v>0.5</v>
      </c>
      <c r="AJ6" s="181">
        <f t="shared" si="5"/>
        <v>14.733333333333333</v>
      </c>
    </row>
    <row r="7" spans="1:36" x14ac:dyDescent="0.25">
      <c r="A7" s="20" t="s">
        <v>39</v>
      </c>
      <c r="B7" s="40">
        <f t="shared" si="0"/>
        <v>2.8639999999999999</v>
      </c>
      <c r="C7" s="116">
        <f t="shared" si="1"/>
        <v>5.1209999999999996</v>
      </c>
      <c r="D7" s="139">
        <f t="shared" si="2"/>
        <v>0</v>
      </c>
      <c r="E7" s="185">
        <f t="shared" si="3"/>
        <v>1.5333333333333334</v>
      </c>
      <c r="F7" s="186">
        <f t="shared" si="4"/>
        <v>5.1209999999999996</v>
      </c>
      <c r="G7" s="187"/>
      <c r="H7" s="129">
        <f>'Juicer Stats'!M7</f>
        <v>0.64658041321318693</v>
      </c>
      <c r="I7" s="21"/>
      <c r="J7" s="22"/>
      <c r="K7" s="143"/>
      <c r="L7" s="26"/>
      <c r="M7" s="32">
        <f t="shared" ref="M7:M37" si="6">N7</f>
        <v>20</v>
      </c>
      <c r="N7" s="28">
        <v>20</v>
      </c>
      <c r="O7" s="15"/>
      <c r="P7" s="125">
        <v>1.4319999999999999</v>
      </c>
      <c r="Q7" s="54">
        <v>0</v>
      </c>
      <c r="R7" s="54">
        <v>0.56899999999999995</v>
      </c>
      <c r="S7" s="54"/>
      <c r="T7" s="59"/>
      <c r="U7" s="54"/>
      <c r="V7" s="54"/>
      <c r="W7" s="99"/>
      <c r="X7" s="132" t="s">
        <v>37</v>
      </c>
      <c r="Y7" s="27" t="s">
        <v>37</v>
      </c>
      <c r="Z7" s="27">
        <v>1</v>
      </c>
      <c r="AA7" s="27" t="s">
        <v>37</v>
      </c>
      <c r="AB7" s="27" t="s">
        <v>37</v>
      </c>
      <c r="AC7" s="28" t="s">
        <v>37</v>
      </c>
      <c r="AD7" s="176"/>
      <c r="AE7" s="132">
        <v>0</v>
      </c>
      <c r="AF7" s="27">
        <v>0.2</v>
      </c>
      <c r="AG7" s="27">
        <v>0</v>
      </c>
      <c r="AH7" s="27">
        <v>1.6</v>
      </c>
      <c r="AI7" s="174">
        <v>0</v>
      </c>
      <c r="AJ7" s="181">
        <f t="shared" si="5"/>
        <v>1.5333333333333334</v>
      </c>
    </row>
    <row r="8" spans="1:36" x14ac:dyDescent="0.25">
      <c r="A8" s="20" t="s">
        <v>40</v>
      </c>
      <c r="B8" s="40" t="s">
        <v>37</v>
      </c>
      <c r="C8" s="116" t="s">
        <v>37</v>
      </c>
      <c r="D8" s="139">
        <f t="shared" si="2"/>
        <v>0</v>
      </c>
      <c r="E8" s="185">
        <f t="shared" si="3"/>
        <v>0</v>
      </c>
      <c r="F8" s="186"/>
      <c r="G8" s="187"/>
      <c r="H8" s="129">
        <f>'Juicer Stats'!M8</f>
        <v>0</v>
      </c>
      <c r="I8" s="21"/>
      <c r="J8" s="22"/>
      <c r="K8" s="143"/>
      <c r="L8" s="26"/>
      <c r="M8" s="32" t="str">
        <f t="shared" si="6"/>
        <v>-</v>
      </c>
      <c r="N8" s="28" t="s">
        <v>37</v>
      </c>
      <c r="O8" s="15"/>
      <c r="P8" s="125" t="s">
        <v>37</v>
      </c>
      <c r="Q8" s="54">
        <v>0</v>
      </c>
      <c r="R8" s="54" t="s">
        <v>37</v>
      </c>
      <c r="S8" s="54"/>
      <c r="T8" s="59"/>
      <c r="U8" s="54"/>
      <c r="V8" s="54"/>
      <c r="W8" s="99"/>
      <c r="X8" s="132" t="s">
        <v>37</v>
      </c>
      <c r="Y8" s="27" t="s">
        <v>37</v>
      </c>
      <c r="Z8" s="27">
        <v>1</v>
      </c>
      <c r="AA8" s="27" t="s">
        <v>37</v>
      </c>
      <c r="AB8" s="27" t="s">
        <v>37</v>
      </c>
      <c r="AC8" s="28" t="s">
        <v>37</v>
      </c>
      <c r="AD8" s="176"/>
      <c r="AE8" s="132">
        <v>0</v>
      </c>
      <c r="AF8" s="27">
        <v>0</v>
      </c>
      <c r="AG8" s="27"/>
      <c r="AH8" s="27">
        <v>0</v>
      </c>
      <c r="AI8" s="174">
        <v>0</v>
      </c>
      <c r="AJ8" s="181">
        <f t="shared" si="5"/>
        <v>0</v>
      </c>
    </row>
    <row r="9" spans="1:36" x14ac:dyDescent="0.25">
      <c r="A9" s="20" t="s">
        <v>41</v>
      </c>
      <c r="B9" s="40">
        <f t="shared" si="0"/>
        <v>1.24</v>
      </c>
      <c r="C9" s="116">
        <f t="shared" si="1"/>
        <v>0.53099999999999992</v>
      </c>
      <c r="D9" s="139">
        <f t="shared" si="2"/>
        <v>0</v>
      </c>
      <c r="E9" s="185">
        <f t="shared" si="3"/>
        <v>5.333333333333333</v>
      </c>
      <c r="F9" s="186">
        <f t="shared" si="4"/>
        <v>0.53099999999999992</v>
      </c>
      <c r="G9" s="187"/>
      <c r="H9" s="129">
        <f>'Juicer Stats'!M9</f>
        <v>1.5227784282131869</v>
      </c>
      <c r="I9" s="21"/>
      <c r="J9" s="22"/>
      <c r="K9" s="143"/>
      <c r="L9" s="26"/>
      <c r="M9" s="32" t="str">
        <f t="shared" si="6"/>
        <v>-</v>
      </c>
      <c r="N9" s="28" t="s">
        <v>37</v>
      </c>
      <c r="O9" s="15"/>
      <c r="P9" s="125">
        <v>0.62</v>
      </c>
      <c r="Q9" s="54">
        <v>0</v>
      </c>
      <c r="R9" s="54">
        <v>5.8999999999999997E-2</v>
      </c>
      <c r="S9" s="54"/>
      <c r="T9" s="59"/>
      <c r="U9" s="54"/>
      <c r="V9" s="54"/>
      <c r="W9" s="99"/>
      <c r="X9" s="132" t="s">
        <v>37</v>
      </c>
      <c r="Y9" s="27" t="s">
        <v>37</v>
      </c>
      <c r="Z9" s="27">
        <v>0.5</v>
      </c>
      <c r="AA9" s="27" t="s">
        <v>37</v>
      </c>
      <c r="AB9" s="27" t="s">
        <v>37</v>
      </c>
      <c r="AC9" s="28" t="s">
        <v>37</v>
      </c>
      <c r="AD9" s="176"/>
      <c r="AE9" s="132">
        <v>0</v>
      </c>
      <c r="AF9" s="27">
        <v>0.3</v>
      </c>
      <c r="AG9" s="27">
        <v>0</v>
      </c>
      <c r="AH9" s="27">
        <v>6</v>
      </c>
      <c r="AI9" s="174">
        <v>0.1</v>
      </c>
      <c r="AJ9" s="181">
        <f t="shared" si="5"/>
        <v>5.333333333333333</v>
      </c>
    </row>
    <row r="10" spans="1:36" x14ac:dyDescent="0.25">
      <c r="A10" s="20" t="s">
        <v>42</v>
      </c>
      <c r="B10" s="40">
        <f t="shared" si="0"/>
        <v>3.5739999999999998</v>
      </c>
      <c r="C10" s="116">
        <f t="shared" si="1"/>
        <v>2.2320000000000002</v>
      </c>
      <c r="D10" s="139">
        <f t="shared" si="2"/>
        <v>0</v>
      </c>
      <c r="E10" s="185">
        <f t="shared" si="3"/>
        <v>2.5833333333333335</v>
      </c>
      <c r="F10" s="186">
        <f t="shared" si="4"/>
        <v>2.2320000000000002</v>
      </c>
      <c r="G10" s="187"/>
      <c r="H10" s="129">
        <f>'Juicer Stats'!M10</f>
        <v>0.66</v>
      </c>
      <c r="I10" s="21"/>
      <c r="J10" s="22"/>
      <c r="K10" s="143"/>
      <c r="L10" s="26"/>
      <c r="M10" s="32" t="str">
        <f t="shared" si="6"/>
        <v>-</v>
      </c>
      <c r="N10" s="28" t="s">
        <v>37</v>
      </c>
      <c r="O10" s="15"/>
      <c r="P10" s="125">
        <v>1.7869999999999999</v>
      </c>
      <c r="Q10" s="54">
        <v>0</v>
      </c>
      <c r="R10" s="54">
        <v>0.248</v>
      </c>
      <c r="S10" s="54"/>
      <c r="T10" s="59"/>
      <c r="U10" s="54"/>
      <c r="V10" s="54"/>
      <c r="W10" s="99"/>
      <c r="X10" s="132" t="s">
        <v>37</v>
      </c>
      <c r="Y10" s="27" t="s">
        <v>37</v>
      </c>
      <c r="Z10" s="27"/>
      <c r="AA10" s="27" t="s">
        <v>37</v>
      </c>
      <c r="AB10" s="27" t="s">
        <v>37</v>
      </c>
      <c r="AC10" s="28" t="s">
        <v>37</v>
      </c>
      <c r="AD10" s="176"/>
      <c r="AE10" s="132">
        <v>0</v>
      </c>
      <c r="AF10" s="27">
        <v>0.4</v>
      </c>
      <c r="AG10" s="27">
        <v>0</v>
      </c>
      <c r="AH10" s="27">
        <v>2.5</v>
      </c>
      <c r="AI10" s="174">
        <v>0.3</v>
      </c>
      <c r="AJ10" s="181">
        <f t="shared" si="5"/>
        <v>2.5833333333333335</v>
      </c>
    </row>
    <row r="11" spans="1:36" x14ac:dyDescent="0.25">
      <c r="A11" s="20" t="s">
        <v>43</v>
      </c>
      <c r="B11" s="40">
        <f t="shared" si="0"/>
        <v>372</v>
      </c>
      <c r="C11" s="116">
        <f t="shared" si="1"/>
        <v>27</v>
      </c>
      <c r="D11" s="139">
        <f t="shared" si="2"/>
        <v>0</v>
      </c>
      <c r="E11" s="185">
        <f t="shared" si="3"/>
        <v>31.066666666666666</v>
      </c>
      <c r="F11" s="186">
        <f t="shared" si="4"/>
        <v>27</v>
      </c>
      <c r="G11" s="187"/>
      <c r="H11" s="129">
        <f>'Juicer Stats'!M11</f>
        <v>0</v>
      </c>
      <c r="I11" s="21"/>
      <c r="J11" s="22"/>
      <c r="K11" s="143"/>
      <c r="L11" s="26"/>
      <c r="M11" s="32">
        <f t="shared" si="6"/>
        <v>300</v>
      </c>
      <c r="N11" s="28">
        <v>300</v>
      </c>
      <c r="O11" s="15"/>
      <c r="P11" s="125">
        <v>186</v>
      </c>
      <c r="Q11" s="54">
        <v>0</v>
      </c>
      <c r="R11" s="54">
        <v>3</v>
      </c>
      <c r="S11" s="54"/>
      <c r="T11" s="59"/>
      <c r="U11" s="54"/>
      <c r="V11" s="54"/>
      <c r="W11" s="99"/>
      <c r="X11" s="132" t="s">
        <v>37</v>
      </c>
      <c r="Y11" s="27" t="s">
        <v>37</v>
      </c>
      <c r="Z11" s="27">
        <v>25</v>
      </c>
      <c r="AA11" s="27" t="s">
        <v>37</v>
      </c>
      <c r="AB11" s="27" t="s">
        <v>37</v>
      </c>
      <c r="AC11" s="28" t="s">
        <v>37</v>
      </c>
      <c r="AD11" s="176"/>
      <c r="AE11" s="132">
        <v>0</v>
      </c>
      <c r="AF11" s="27">
        <v>26.9</v>
      </c>
      <c r="AG11" s="27">
        <v>0</v>
      </c>
      <c r="AH11" s="27">
        <v>5</v>
      </c>
      <c r="AI11" s="174"/>
      <c r="AJ11" s="181">
        <f t="shared" si="5"/>
        <v>31.066666666666666</v>
      </c>
    </row>
    <row r="12" spans="1:36" x14ac:dyDescent="0.25">
      <c r="A12" s="20" t="s">
        <v>44</v>
      </c>
      <c r="B12" s="40">
        <f t="shared" si="0"/>
        <v>244</v>
      </c>
      <c r="C12" s="116">
        <f t="shared" si="1"/>
        <v>108</v>
      </c>
      <c r="D12" s="139">
        <f t="shared" si="2"/>
        <v>380</v>
      </c>
      <c r="E12" s="185">
        <f t="shared" si="3"/>
        <v>996.63333333333344</v>
      </c>
      <c r="F12" s="186">
        <f t="shared" si="4"/>
        <v>108</v>
      </c>
      <c r="G12" s="187"/>
      <c r="H12" s="129">
        <f>'Juicer Stats'!M12</f>
        <v>147.16871271263736</v>
      </c>
      <c r="I12" s="21"/>
      <c r="J12" s="22"/>
      <c r="K12" s="143"/>
      <c r="L12" s="33"/>
      <c r="M12" s="32">
        <f t="shared" si="6"/>
        <v>2400</v>
      </c>
      <c r="N12" s="28">
        <v>2400</v>
      </c>
      <c r="O12" s="15"/>
      <c r="P12" s="125">
        <v>122</v>
      </c>
      <c r="Q12" s="54">
        <v>190</v>
      </c>
      <c r="R12" s="54">
        <v>12</v>
      </c>
      <c r="S12" s="54"/>
      <c r="T12" s="59"/>
      <c r="U12" s="59"/>
      <c r="V12" s="59"/>
      <c r="W12" s="99"/>
      <c r="X12" s="132" t="s">
        <v>37</v>
      </c>
      <c r="Y12" s="27" t="s">
        <v>37</v>
      </c>
      <c r="Z12" s="27"/>
      <c r="AA12" s="27" t="s">
        <v>37</v>
      </c>
      <c r="AB12" s="27" t="s">
        <v>37</v>
      </c>
      <c r="AC12" s="28" t="s">
        <v>37</v>
      </c>
      <c r="AD12" s="176"/>
      <c r="AE12" s="132">
        <v>180</v>
      </c>
      <c r="AF12" s="27">
        <v>496.6</v>
      </c>
      <c r="AG12" s="27">
        <v>1.5</v>
      </c>
      <c r="AH12" s="27">
        <v>100</v>
      </c>
      <c r="AI12" s="174">
        <v>165.6</v>
      </c>
      <c r="AJ12" s="181">
        <f t="shared" si="5"/>
        <v>996.63333333333344</v>
      </c>
    </row>
    <row r="13" spans="1:36" x14ac:dyDescent="0.25">
      <c r="A13" s="20" t="s">
        <v>45</v>
      </c>
      <c r="B13" s="40">
        <f t="shared" si="0"/>
        <v>110</v>
      </c>
      <c r="C13" s="116">
        <f t="shared" si="1"/>
        <v>396</v>
      </c>
      <c r="D13" s="139">
        <f t="shared" si="2"/>
        <v>140</v>
      </c>
      <c r="E13" s="185">
        <f t="shared" si="3"/>
        <v>499.1</v>
      </c>
      <c r="F13" s="186">
        <f t="shared" si="4"/>
        <v>396</v>
      </c>
      <c r="G13" s="187"/>
      <c r="H13" s="129">
        <f>'Juicer Stats'!M13</f>
        <v>1784.4504474052749</v>
      </c>
      <c r="I13" s="21"/>
      <c r="J13" s="22"/>
      <c r="K13" s="143"/>
      <c r="L13" s="34"/>
      <c r="M13" s="35">
        <f t="shared" si="6"/>
        <v>3500</v>
      </c>
      <c r="N13" s="36">
        <v>3500</v>
      </c>
      <c r="O13" s="120"/>
      <c r="P13" s="125">
        <v>55</v>
      </c>
      <c r="Q13" s="54">
        <v>70</v>
      </c>
      <c r="R13" s="54">
        <v>44</v>
      </c>
      <c r="S13" s="54"/>
      <c r="T13" s="59"/>
      <c r="U13" s="54"/>
      <c r="V13" s="54"/>
      <c r="W13" s="99"/>
      <c r="X13" s="132" t="s">
        <v>37</v>
      </c>
      <c r="Y13" s="27" t="s">
        <v>37</v>
      </c>
      <c r="Z13" s="27"/>
      <c r="AA13" s="131">
        <f>(250/7)*3</f>
        <v>107.14285714285714</v>
      </c>
      <c r="AB13" s="27" t="s">
        <v>37</v>
      </c>
      <c r="AC13" s="28" t="s">
        <v>37</v>
      </c>
      <c r="AD13" s="176"/>
      <c r="AE13" s="132">
        <v>115</v>
      </c>
      <c r="AF13" s="27">
        <v>216</v>
      </c>
      <c r="AG13" s="27">
        <v>45.5</v>
      </c>
      <c r="AH13" s="27"/>
      <c r="AI13" s="174">
        <v>22.8</v>
      </c>
      <c r="AJ13" s="181">
        <f t="shared" si="5"/>
        <v>499.1</v>
      </c>
    </row>
    <row r="14" spans="1:36" x14ac:dyDescent="0.25">
      <c r="A14" s="20" t="s">
        <v>46</v>
      </c>
      <c r="B14" s="40">
        <f t="shared" si="0"/>
        <v>0.98</v>
      </c>
      <c r="C14" s="116">
        <f t="shared" si="1"/>
        <v>12.419999999999998</v>
      </c>
      <c r="D14" s="139">
        <f t="shared" si="2"/>
        <v>54</v>
      </c>
      <c r="E14" s="185">
        <f t="shared" si="3"/>
        <v>46.199999999999996</v>
      </c>
      <c r="F14" s="186">
        <f t="shared" si="4"/>
        <v>12.419999999999998</v>
      </c>
      <c r="G14" s="187"/>
      <c r="H14" s="129">
        <f>'Juicer Stats'!M14</f>
        <v>147.7352818873099</v>
      </c>
      <c r="I14" s="21"/>
      <c r="J14" s="22"/>
      <c r="K14" s="143"/>
      <c r="L14" s="29"/>
      <c r="M14" s="30">
        <f t="shared" si="6"/>
        <v>300</v>
      </c>
      <c r="N14" s="31">
        <v>300</v>
      </c>
      <c r="O14" s="119"/>
      <c r="P14" s="125">
        <v>0.49</v>
      </c>
      <c r="Q14" s="54">
        <v>27</v>
      </c>
      <c r="R14" s="54">
        <v>1.38</v>
      </c>
      <c r="S14" s="54"/>
      <c r="T14" s="59"/>
      <c r="U14" s="59"/>
      <c r="V14" s="59"/>
      <c r="W14" s="99"/>
      <c r="X14" s="132" t="s">
        <v>37</v>
      </c>
      <c r="Y14" s="27" t="s">
        <v>37</v>
      </c>
      <c r="Z14" s="27">
        <v>1</v>
      </c>
      <c r="AA14" s="27" t="s">
        <v>37</v>
      </c>
      <c r="AB14" s="27" t="s">
        <v>37</v>
      </c>
      <c r="AC14" s="28" t="s">
        <v>37</v>
      </c>
      <c r="AD14" s="176"/>
      <c r="AE14" s="132">
        <v>22</v>
      </c>
      <c r="AF14" s="27">
        <v>1.3</v>
      </c>
      <c r="AG14" s="27">
        <v>0.6</v>
      </c>
      <c r="AH14" s="27">
        <v>0</v>
      </c>
      <c r="AI14" s="174">
        <v>0.9</v>
      </c>
      <c r="AJ14" s="181">
        <f t="shared" si="5"/>
        <v>46.199999999999996</v>
      </c>
    </row>
    <row r="15" spans="1:36" x14ac:dyDescent="0.25">
      <c r="A15" s="20" t="s">
        <v>47</v>
      </c>
      <c r="B15" s="40">
        <f t="shared" si="0"/>
        <v>0</v>
      </c>
      <c r="C15" s="116">
        <f t="shared" si="1"/>
        <v>0</v>
      </c>
      <c r="D15" s="139">
        <f t="shared" si="2"/>
        <v>6</v>
      </c>
      <c r="E15" s="185">
        <f t="shared" si="3"/>
        <v>10.6</v>
      </c>
      <c r="F15" s="186">
        <f t="shared" si="4"/>
        <v>0</v>
      </c>
      <c r="G15" s="187"/>
      <c r="H15" s="129">
        <f>'Juicer Stats'!M15</f>
        <v>27.262134462780224</v>
      </c>
      <c r="I15" s="21"/>
      <c r="J15" s="22"/>
      <c r="K15" s="143"/>
      <c r="L15" s="33"/>
      <c r="M15" s="32">
        <f t="shared" si="6"/>
        <v>25</v>
      </c>
      <c r="N15" s="37">
        <v>25</v>
      </c>
      <c r="O15" s="59"/>
      <c r="P15" s="125">
        <v>0</v>
      </c>
      <c r="Q15" s="54">
        <v>3</v>
      </c>
      <c r="R15" s="54">
        <v>0</v>
      </c>
      <c r="S15" s="54"/>
      <c r="T15" s="59"/>
      <c r="U15" s="54"/>
      <c r="V15" s="54"/>
      <c r="W15" s="99"/>
      <c r="X15" s="132" t="s">
        <v>37</v>
      </c>
      <c r="Y15" s="27" t="s">
        <v>37</v>
      </c>
      <c r="Z15" s="27" t="s">
        <v>87</v>
      </c>
      <c r="AA15" s="27" t="s">
        <v>37</v>
      </c>
      <c r="AB15" s="27" t="s">
        <v>37</v>
      </c>
      <c r="AC15" s="28" t="s">
        <v>37</v>
      </c>
      <c r="AD15" s="176"/>
      <c r="AE15" s="132">
        <v>5</v>
      </c>
      <c r="AF15" s="27">
        <v>0</v>
      </c>
      <c r="AG15" s="27">
        <v>0.4</v>
      </c>
      <c r="AH15" s="27">
        <v>0</v>
      </c>
      <c r="AI15" s="174">
        <v>0.6</v>
      </c>
      <c r="AJ15" s="181">
        <f t="shared" si="5"/>
        <v>10.6</v>
      </c>
    </row>
    <row r="16" spans="1:36" x14ac:dyDescent="0.25">
      <c r="A16" s="20" t="s">
        <v>48</v>
      </c>
      <c r="B16" s="40">
        <f t="shared" si="0"/>
        <v>0.98</v>
      </c>
      <c r="C16" s="116">
        <f t="shared" si="1"/>
        <v>14.4</v>
      </c>
      <c r="D16" s="139">
        <f t="shared" si="2"/>
        <v>18</v>
      </c>
      <c r="E16" s="185">
        <f t="shared" si="3"/>
        <v>12.033333333333333</v>
      </c>
      <c r="F16" s="186">
        <f t="shared" si="4"/>
        <v>14.4</v>
      </c>
      <c r="G16" s="187"/>
      <c r="H16" s="129">
        <f>'Juicer Stats'!M16</f>
        <v>45.118747072342309</v>
      </c>
      <c r="I16" s="21"/>
      <c r="J16" s="22"/>
      <c r="K16" s="143"/>
      <c r="L16" s="38"/>
      <c r="M16" s="32" t="str">
        <f t="shared" si="6"/>
        <v>-</v>
      </c>
      <c r="N16" s="39" t="s">
        <v>37</v>
      </c>
      <c r="O16" s="121"/>
      <c r="P16" s="125">
        <v>0.49</v>
      </c>
      <c r="Q16" s="54">
        <v>9</v>
      </c>
      <c r="R16" s="54">
        <v>1.6</v>
      </c>
      <c r="S16" s="54"/>
      <c r="T16" s="59"/>
      <c r="U16" s="59"/>
      <c r="V16" s="59"/>
      <c r="W16" s="99"/>
      <c r="X16" s="132" t="s">
        <v>37</v>
      </c>
      <c r="Y16" s="27" t="s">
        <v>37</v>
      </c>
      <c r="Z16" s="27" t="s">
        <v>37</v>
      </c>
      <c r="AA16" s="27" t="s">
        <v>37</v>
      </c>
      <c r="AB16" s="27" t="s">
        <v>37</v>
      </c>
      <c r="AC16" s="28" t="s">
        <v>37</v>
      </c>
      <c r="AD16" s="176"/>
      <c r="AE16" s="132">
        <v>5</v>
      </c>
      <c r="AF16" s="27">
        <v>1.8</v>
      </c>
      <c r="AG16" s="27">
        <v>0.2</v>
      </c>
      <c r="AH16" s="27">
        <v>0</v>
      </c>
      <c r="AI16" s="174">
        <v>0.1</v>
      </c>
      <c r="AJ16" s="181">
        <f t="shared" si="5"/>
        <v>12.033333333333333</v>
      </c>
    </row>
    <row r="17" spans="1:36" x14ac:dyDescent="0.25">
      <c r="A17" s="20" t="s">
        <v>49</v>
      </c>
      <c r="B17" s="40">
        <f t="shared" si="0"/>
        <v>11.02</v>
      </c>
      <c r="C17" s="116">
        <f t="shared" si="1"/>
        <v>8.82</v>
      </c>
      <c r="D17" s="139">
        <f t="shared" si="2"/>
        <v>4</v>
      </c>
      <c r="E17" s="185">
        <f t="shared" si="3"/>
        <v>19.2</v>
      </c>
      <c r="F17" s="186">
        <f t="shared" si="4"/>
        <v>8.82</v>
      </c>
      <c r="G17" s="187"/>
      <c r="H17" s="129">
        <f>'Juicer Stats'!M17</f>
        <v>17.120968505015938</v>
      </c>
      <c r="I17" s="21"/>
      <c r="J17" s="22"/>
      <c r="K17" s="143"/>
      <c r="L17" s="29"/>
      <c r="M17" s="30">
        <v>150</v>
      </c>
      <c r="N17" s="31">
        <v>50</v>
      </c>
      <c r="O17" s="119"/>
      <c r="P17" s="125">
        <v>5.51</v>
      </c>
      <c r="Q17" s="54">
        <v>2</v>
      </c>
      <c r="R17" s="54">
        <v>0.98</v>
      </c>
      <c r="S17" s="54"/>
      <c r="T17" s="59"/>
      <c r="U17" s="54"/>
      <c r="V17" s="54"/>
      <c r="W17" s="99"/>
      <c r="X17" s="132" t="s">
        <v>37</v>
      </c>
      <c r="Y17" s="27" t="s">
        <v>37</v>
      </c>
      <c r="Z17" s="27" t="s">
        <v>37</v>
      </c>
      <c r="AA17" s="27" t="s">
        <v>37</v>
      </c>
      <c r="AB17" s="27" t="s">
        <v>37</v>
      </c>
      <c r="AC17" s="28" t="s">
        <v>37</v>
      </c>
      <c r="AD17" s="176"/>
      <c r="AE17" s="132">
        <v>5</v>
      </c>
      <c r="AF17" s="27">
        <v>8.8000000000000007</v>
      </c>
      <c r="AG17" s="27">
        <v>0.2</v>
      </c>
      <c r="AH17" s="27">
        <v>0</v>
      </c>
      <c r="AI17" s="174">
        <v>0.6</v>
      </c>
      <c r="AJ17" s="181">
        <f t="shared" si="5"/>
        <v>19.2</v>
      </c>
    </row>
    <row r="18" spans="1:36" x14ac:dyDescent="0.25">
      <c r="A18" s="20"/>
      <c r="B18" s="157"/>
      <c r="C18" s="158"/>
      <c r="D18" s="159"/>
      <c r="E18" s="188"/>
      <c r="F18" s="189"/>
      <c r="G18" s="190"/>
      <c r="H18" s="129"/>
      <c r="I18" s="160"/>
      <c r="J18" s="161"/>
      <c r="K18" s="162"/>
      <c r="L18" s="41"/>
      <c r="M18" s="42"/>
      <c r="N18" s="43"/>
      <c r="O18" s="122"/>
      <c r="Q18" s="54"/>
      <c r="R18" s="54"/>
      <c r="U18" s="59"/>
      <c r="V18" s="59"/>
      <c r="W18" s="99"/>
      <c r="X18" s="132" t="s">
        <v>37</v>
      </c>
      <c r="Y18" s="27" t="s">
        <v>37</v>
      </c>
      <c r="Z18" s="27" t="s">
        <v>37</v>
      </c>
      <c r="AA18" s="27" t="s">
        <v>37</v>
      </c>
      <c r="AB18" s="27" t="s">
        <v>37</v>
      </c>
      <c r="AC18" s="28" t="s">
        <v>37</v>
      </c>
      <c r="AD18" s="176"/>
      <c r="AE18" s="132"/>
      <c r="AF18" s="27"/>
      <c r="AG18" s="27"/>
      <c r="AH18" s="27"/>
      <c r="AI18" s="174"/>
      <c r="AJ18" s="181"/>
    </row>
    <row r="19" spans="1:36" x14ac:dyDescent="0.25">
      <c r="A19" s="20" t="s">
        <v>50</v>
      </c>
      <c r="B19" s="40">
        <f>$B$3*P19</f>
        <v>10</v>
      </c>
      <c r="C19" s="116">
        <f>$C$3*R19</f>
        <v>9</v>
      </c>
      <c r="D19" s="139">
        <f>$D$3*Q19</f>
        <v>20</v>
      </c>
      <c r="E19" s="185">
        <f t="shared" si="3"/>
        <v>9.3333333333333339</v>
      </c>
      <c r="F19" s="186">
        <f t="shared" si="4"/>
        <v>9</v>
      </c>
      <c r="G19" s="187" t="s">
        <v>37</v>
      </c>
      <c r="H19" s="129">
        <f>'Juicer Stats'!M19</f>
        <v>96.257077551598528</v>
      </c>
      <c r="I19" s="21"/>
      <c r="J19" s="22"/>
      <c r="K19" s="143"/>
      <c r="L19" s="33"/>
      <c r="M19" s="32">
        <f t="shared" si="6"/>
        <v>100</v>
      </c>
      <c r="N19" s="28">
        <v>100</v>
      </c>
      <c r="O19" s="15"/>
      <c r="P19" s="125">
        <v>5</v>
      </c>
      <c r="Q19" s="54">
        <v>10</v>
      </c>
      <c r="R19" s="54">
        <v>1</v>
      </c>
      <c r="S19" s="54"/>
      <c r="T19" s="59"/>
      <c r="U19" s="54"/>
      <c r="V19" s="54"/>
      <c r="W19" s="99"/>
      <c r="X19" s="132">
        <v>70</v>
      </c>
      <c r="Y19" s="27" t="s">
        <v>37</v>
      </c>
      <c r="Z19" s="27" t="s">
        <v>37</v>
      </c>
      <c r="AA19" s="27" t="s">
        <v>37</v>
      </c>
      <c r="AB19" s="27" t="s">
        <v>37</v>
      </c>
      <c r="AC19" s="28" t="s">
        <v>37</v>
      </c>
      <c r="AD19" s="176"/>
      <c r="AE19" s="132">
        <v>0</v>
      </c>
      <c r="AF19" s="27">
        <v>0</v>
      </c>
      <c r="AG19" s="27">
        <v>9</v>
      </c>
      <c r="AH19" s="27"/>
      <c r="AI19" s="174">
        <v>1</v>
      </c>
      <c r="AJ19" s="181">
        <f t="shared" si="5"/>
        <v>9.3333333333333339</v>
      </c>
    </row>
    <row r="20" spans="1:36" x14ac:dyDescent="0.25">
      <c r="A20" s="20" t="s">
        <v>51</v>
      </c>
      <c r="B20" s="40">
        <f t="shared" ref="B20:B22" si="7">$B$3*P20</f>
        <v>0</v>
      </c>
      <c r="C20" s="116">
        <f t="shared" ref="C20:C22" si="8">$C$3*R20</f>
        <v>0</v>
      </c>
      <c r="D20" s="139">
        <f t="shared" ref="D20:D31" si="9">$D$3*Q20</f>
        <v>70</v>
      </c>
      <c r="E20" s="185">
        <f t="shared" si="3"/>
        <v>2.3333333333333335</v>
      </c>
      <c r="F20" s="186">
        <f t="shared" si="4"/>
        <v>0</v>
      </c>
      <c r="G20" s="187" t="s">
        <v>37</v>
      </c>
      <c r="H20" s="129">
        <f>'Juicer Stats'!M20</f>
        <v>272.15876889934617</v>
      </c>
      <c r="I20" s="21"/>
      <c r="J20" s="22"/>
      <c r="K20" s="143"/>
      <c r="L20" s="33"/>
      <c r="M20" s="32">
        <f t="shared" si="6"/>
        <v>100</v>
      </c>
      <c r="N20" s="28">
        <v>100</v>
      </c>
      <c r="O20" s="15"/>
      <c r="P20" s="125">
        <v>0</v>
      </c>
      <c r="Q20" s="54">
        <v>35</v>
      </c>
      <c r="R20" s="54">
        <v>0</v>
      </c>
      <c r="S20" s="54"/>
      <c r="T20" s="59"/>
      <c r="U20" s="59"/>
      <c r="V20" s="59"/>
      <c r="W20" s="99"/>
      <c r="X20" s="132">
        <v>100</v>
      </c>
      <c r="Y20" s="27" t="s">
        <v>37</v>
      </c>
      <c r="Z20" s="27" t="s">
        <v>37</v>
      </c>
      <c r="AA20" s="27" t="s">
        <v>37</v>
      </c>
      <c r="AB20" s="27" t="s">
        <v>37</v>
      </c>
      <c r="AC20" s="28" t="s">
        <v>37</v>
      </c>
      <c r="AD20" s="176"/>
      <c r="AE20" s="132">
        <v>0</v>
      </c>
      <c r="AF20" s="27"/>
      <c r="AG20" s="27">
        <v>2</v>
      </c>
      <c r="AH20" s="27"/>
      <c r="AI20" s="174">
        <v>1</v>
      </c>
      <c r="AJ20" s="181">
        <f t="shared" si="5"/>
        <v>2.3333333333333335</v>
      </c>
    </row>
    <row r="21" spans="1:36" x14ac:dyDescent="0.25">
      <c r="A21" s="20" t="s">
        <v>52</v>
      </c>
      <c r="B21" s="40">
        <f t="shared" si="7"/>
        <v>4</v>
      </c>
      <c r="C21" s="116">
        <f t="shared" si="8"/>
        <v>27</v>
      </c>
      <c r="D21" s="139">
        <f t="shared" si="9"/>
        <v>0</v>
      </c>
      <c r="E21" s="185">
        <f t="shared" si="3"/>
        <v>5.333333333333333</v>
      </c>
      <c r="F21" s="186">
        <f t="shared" si="4"/>
        <v>27</v>
      </c>
      <c r="G21" s="187" t="s">
        <v>37</v>
      </c>
      <c r="H21" s="129">
        <f>'Juicer Stats'!M21</f>
        <v>23.103967483538735</v>
      </c>
      <c r="I21" s="21"/>
      <c r="J21" s="22"/>
      <c r="K21" s="143"/>
      <c r="L21" s="33"/>
      <c r="M21" s="32">
        <f t="shared" si="6"/>
        <v>100</v>
      </c>
      <c r="N21" s="28">
        <v>100</v>
      </c>
      <c r="O21" s="15"/>
      <c r="P21" s="125">
        <v>2</v>
      </c>
      <c r="Q21" s="54">
        <v>0</v>
      </c>
      <c r="R21" s="54">
        <v>3</v>
      </c>
      <c r="S21" s="54"/>
      <c r="T21" s="59"/>
      <c r="U21" s="100"/>
      <c r="V21" s="100"/>
      <c r="W21" s="99"/>
      <c r="X21" s="132">
        <v>20</v>
      </c>
      <c r="Y21" s="27" t="s">
        <v>37</v>
      </c>
      <c r="Z21" s="27" t="s">
        <v>37</v>
      </c>
      <c r="AA21" s="27" t="s">
        <v>37</v>
      </c>
      <c r="AB21" s="27" t="s">
        <v>37</v>
      </c>
      <c r="AC21" s="28">
        <v>9</v>
      </c>
      <c r="AD21" s="176"/>
      <c r="AE21" s="132">
        <v>2</v>
      </c>
      <c r="AF21" s="27">
        <v>0</v>
      </c>
      <c r="AG21" s="27">
        <v>1</v>
      </c>
      <c r="AH21" s="27"/>
      <c r="AI21" s="174">
        <v>1</v>
      </c>
      <c r="AJ21" s="181">
        <f t="shared" si="5"/>
        <v>5.333333333333333</v>
      </c>
    </row>
    <row r="22" spans="1:36" x14ac:dyDescent="0.25">
      <c r="A22" s="20" t="s">
        <v>53</v>
      </c>
      <c r="B22" s="40">
        <f t="shared" si="7"/>
        <v>6</v>
      </c>
      <c r="C22" s="116">
        <f t="shared" si="8"/>
        <v>0</v>
      </c>
      <c r="D22" s="139">
        <f t="shared" si="9"/>
        <v>90</v>
      </c>
      <c r="E22" s="185">
        <f t="shared" si="3"/>
        <v>23.333333333333332</v>
      </c>
      <c r="F22" s="186">
        <f t="shared" si="4"/>
        <v>0</v>
      </c>
      <c r="G22" s="187" t="s">
        <v>37</v>
      </c>
      <c r="H22" s="129">
        <f>'Juicer Stats'!M22</f>
        <v>57.119300314395609</v>
      </c>
      <c r="I22" s="21"/>
      <c r="J22" s="22"/>
      <c r="K22" s="143"/>
      <c r="L22" s="33"/>
      <c r="M22" s="32">
        <f t="shared" si="6"/>
        <v>100</v>
      </c>
      <c r="N22" s="28">
        <v>100</v>
      </c>
      <c r="O22" s="15"/>
      <c r="P22" s="125">
        <v>3</v>
      </c>
      <c r="Q22" s="54">
        <v>45</v>
      </c>
      <c r="R22" s="54">
        <v>0</v>
      </c>
      <c r="S22" s="54"/>
      <c r="T22" s="59"/>
      <c r="U22" s="54"/>
      <c r="V22" s="54"/>
      <c r="W22" s="99"/>
      <c r="X22" s="132">
        <v>100</v>
      </c>
      <c r="Y22" s="27" t="s">
        <v>37</v>
      </c>
      <c r="Z22" s="27" t="s">
        <v>37</v>
      </c>
      <c r="AA22" s="27" t="s">
        <v>37</v>
      </c>
      <c r="AB22" s="27" t="s">
        <v>37</v>
      </c>
      <c r="AC22" s="28" t="s">
        <v>37</v>
      </c>
      <c r="AD22" s="176"/>
      <c r="AE22" s="132">
        <v>8</v>
      </c>
      <c r="AF22" s="27">
        <v>3</v>
      </c>
      <c r="AG22" s="27">
        <v>3</v>
      </c>
      <c r="AH22" s="27"/>
      <c r="AI22" s="174">
        <v>4</v>
      </c>
      <c r="AJ22" s="181">
        <f t="shared" si="5"/>
        <v>23.333333333333332</v>
      </c>
    </row>
    <row r="23" spans="1:36" x14ac:dyDescent="0.25">
      <c r="A23" s="20" t="s">
        <v>54</v>
      </c>
      <c r="B23" s="40" t="s">
        <v>37</v>
      </c>
      <c r="C23" s="116" t="s">
        <v>37</v>
      </c>
      <c r="D23" s="139">
        <f t="shared" si="9"/>
        <v>20</v>
      </c>
      <c r="E23" s="185">
        <f t="shared" si="3"/>
        <v>1</v>
      </c>
      <c r="F23" s="186" t="s">
        <v>37</v>
      </c>
      <c r="G23" s="187" t="s">
        <v>37</v>
      </c>
      <c r="H23" s="129">
        <f>'Juicer Stats'!M23</f>
        <v>77.55</v>
      </c>
      <c r="I23" s="21"/>
      <c r="J23" s="22"/>
      <c r="K23" s="143"/>
      <c r="L23" s="33"/>
      <c r="M23" s="32">
        <f t="shared" si="6"/>
        <v>100</v>
      </c>
      <c r="N23" s="28">
        <v>100</v>
      </c>
      <c r="O23" s="15"/>
      <c r="P23" s="125" t="s">
        <v>37</v>
      </c>
      <c r="Q23" s="54">
        <v>10</v>
      </c>
      <c r="R23" s="54" t="s">
        <v>37</v>
      </c>
      <c r="S23" s="54"/>
      <c r="T23" s="59"/>
      <c r="U23" s="54"/>
      <c r="V23" s="54"/>
      <c r="W23" s="99"/>
      <c r="X23" s="132">
        <v>250</v>
      </c>
      <c r="Y23" s="27" t="s">
        <v>37</v>
      </c>
      <c r="Z23" s="27" t="s">
        <v>37</v>
      </c>
      <c r="AA23" s="27" t="s">
        <v>37</v>
      </c>
      <c r="AB23" s="27" t="s">
        <v>37</v>
      </c>
      <c r="AC23" s="28">
        <v>250</v>
      </c>
      <c r="AD23" s="176"/>
      <c r="AE23" s="132"/>
      <c r="AF23" s="27">
        <v>1</v>
      </c>
      <c r="AG23" s="27">
        <v>0</v>
      </c>
      <c r="AH23" s="27"/>
      <c r="AI23" s="174">
        <v>0</v>
      </c>
      <c r="AJ23" s="181">
        <f t="shared" si="5"/>
        <v>1</v>
      </c>
    </row>
    <row r="24" spans="1:36" x14ac:dyDescent="0.25">
      <c r="A24" s="20" t="s">
        <v>55</v>
      </c>
      <c r="B24" s="40" t="s">
        <v>37</v>
      </c>
      <c r="C24" s="116" t="s">
        <v>37</v>
      </c>
      <c r="D24" s="139" t="s">
        <v>37</v>
      </c>
      <c r="E24" s="185">
        <f t="shared" si="3"/>
        <v>2.3333333333333335</v>
      </c>
      <c r="F24" s="186" t="s">
        <v>37</v>
      </c>
      <c r="G24" s="187" t="s">
        <v>37</v>
      </c>
      <c r="H24" s="129">
        <f>'Juicer Stats'!M24</f>
        <v>90.162626513795601</v>
      </c>
      <c r="I24" s="21"/>
      <c r="J24" s="22"/>
      <c r="K24" s="143"/>
      <c r="L24" s="33"/>
      <c r="M24" s="32">
        <f t="shared" si="6"/>
        <v>100</v>
      </c>
      <c r="N24" s="28">
        <v>100</v>
      </c>
      <c r="O24" s="15"/>
      <c r="P24" s="125" t="s">
        <v>37</v>
      </c>
      <c r="Q24" s="54" t="s">
        <v>37</v>
      </c>
      <c r="R24" s="54" t="s">
        <v>37</v>
      </c>
      <c r="S24" s="54"/>
      <c r="T24" s="59"/>
      <c r="U24" s="54"/>
      <c r="V24" s="54"/>
      <c r="W24" s="99"/>
      <c r="X24" s="132">
        <v>100</v>
      </c>
      <c r="Y24" s="27" t="s">
        <v>37</v>
      </c>
      <c r="Z24" s="27" t="s">
        <v>37</v>
      </c>
      <c r="AA24" s="27" t="s">
        <v>37</v>
      </c>
      <c r="AB24" s="27" t="s">
        <v>37</v>
      </c>
      <c r="AC24" s="28" t="s">
        <v>37</v>
      </c>
      <c r="AD24" s="176"/>
      <c r="AE24" s="132">
        <v>0</v>
      </c>
      <c r="AF24" s="27">
        <v>1</v>
      </c>
      <c r="AG24" s="27">
        <v>1</v>
      </c>
      <c r="AH24" s="27"/>
      <c r="AI24" s="174">
        <v>1</v>
      </c>
      <c r="AJ24" s="181">
        <f t="shared" si="5"/>
        <v>2.3333333333333335</v>
      </c>
    </row>
    <row r="25" spans="1:36" x14ac:dyDescent="0.25">
      <c r="A25" s="20" t="s">
        <v>56</v>
      </c>
      <c r="B25" s="40" t="s">
        <v>37</v>
      </c>
      <c r="C25" s="116" t="s">
        <v>37</v>
      </c>
      <c r="D25" s="139" t="s">
        <v>37</v>
      </c>
      <c r="E25" s="185">
        <f t="shared" si="3"/>
        <v>16.333333333333332</v>
      </c>
      <c r="F25" s="186" t="s">
        <v>37</v>
      </c>
      <c r="G25" s="187" t="s">
        <v>37</v>
      </c>
      <c r="H25" s="129">
        <f>'Juicer Stats'!M25</f>
        <v>202.69287770358997</v>
      </c>
      <c r="I25" s="21"/>
      <c r="J25" s="22"/>
      <c r="K25" s="143"/>
      <c r="L25" s="33"/>
      <c r="M25" s="44">
        <f t="shared" si="6"/>
        <v>100</v>
      </c>
      <c r="N25" s="37">
        <v>100</v>
      </c>
      <c r="O25" s="59"/>
      <c r="P25" s="125" t="s">
        <v>37</v>
      </c>
      <c r="Q25" s="54" t="s">
        <v>37</v>
      </c>
      <c r="R25" s="54" t="s">
        <v>37</v>
      </c>
      <c r="S25" s="54"/>
      <c r="T25" s="59"/>
      <c r="U25" s="59"/>
      <c r="V25" s="59"/>
      <c r="W25" s="99"/>
      <c r="X25" s="132">
        <v>31</v>
      </c>
      <c r="Y25" s="27" t="s">
        <v>37</v>
      </c>
      <c r="Z25" s="27" t="s">
        <v>37</v>
      </c>
      <c r="AA25" s="27" t="s">
        <v>37</v>
      </c>
      <c r="AB25" s="27" t="s">
        <v>37</v>
      </c>
      <c r="AC25" s="28" t="s">
        <v>37</v>
      </c>
      <c r="AD25" s="176"/>
      <c r="AE25" s="132">
        <v>0</v>
      </c>
      <c r="AF25" s="27">
        <v>0</v>
      </c>
      <c r="AG25" s="27">
        <v>16</v>
      </c>
      <c r="AH25" s="27"/>
      <c r="AI25" s="174">
        <v>1</v>
      </c>
      <c r="AJ25" s="181">
        <f t="shared" si="5"/>
        <v>16.333333333333332</v>
      </c>
    </row>
    <row r="26" spans="1:36" x14ac:dyDescent="0.25">
      <c r="A26" s="20" t="s">
        <v>57</v>
      </c>
      <c r="B26" s="40" t="s">
        <v>37</v>
      </c>
      <c r="C26" s="116" t="s">
        <v>37</v>
      </c>
      <c r="D26" s="139">
        <f t="shared" si="9"/>
        <v>70</v>
      </c>
      <c r="E26" s="185">
        <f t="shared" si="3"/>
        <v>33.666666666666664</v>
      </c>
      <c r="F26" s="186" t="s">
        <v>37</v>
      </c>
      <c r="G26" s="187" t="s">
        <v>37</v>
      </c>
      <c r="H26" s="129">
        <f>'Juicer Stats'!M26</f>
        <v>94.330358869395624</v>
      </c>
      <c r="I26" s="21"/>
      <c r="J26" s="22"/>
      <c r="K26" s="143"/>
      <c r="L26" s="33"/>
      <c r="M26" s="32">
        <f t="shared" si="6"/>
        <v>100</v>
      </c>
      <c r="N26" s="28">
        <v>100</v>
      </c>
      <c r="O26" s="15"/>
      <c r="P26" s="125" t="s">
        <v>37</v>
      </c>
      <c r="Q26" s="54">
        <v>35</v>
      </c>
      <c r="R26" s="54" t="s">
        <v>37</v>
      </c>
      <c r="S26" s="54"/>
      <c r="T26" s="59"/>
      <c r="U26" s="54"/>
      <c r="V26" s="54"/>
      <c r="W26" s="99"/>
      <c r="X26" s="132">
        <v>100</v>
      </c>
      <c r="Y26" s="27" t="s">
        <v>37</v>
      </c>
      <c r="Z26" s="27" t="s">
        <v>37</v>
      </c>
      <c r="AA26" s="27" t="s">
        <v>37</v>
      </c>
      <c r="AB26" s="27">
        <v>66.67</v>
      </c>
      <c r="AC26" s="28" t="s">
        <v>37</v>
      </c>
      <c r="AD26" s="176"/>
      <c r="AE26" s="132">
        <v>15</v>
      </c>
      <c r="AF26" s="27">
        <v>2</v>
      </c>
      <c r="AG26" s="27">
        <v>1</v>
      </c>
      <c r="AH26" s="27"/>
      <c r="AI26" s="174">
        <v>2</v>
      </c>
      <c r="AJ26" s="181">
        <f t="shared" si="5"/>
        <v>33.666666666666664</v>
      </c>
    </row>
    <row r="27" spans="1:36" x14ac:dyDescent="0.25">
      <c r="A27" s="20" t="s">
        <v>58</v>
      </c>
      <c r="B27" s="40" t="s">
        <v>37</v>
      </c>
      <c r="C27" s="116" t="s">
        <v>37</v>
      </c>
      <c r="D27" s="139">
        <f t="shared" si="9"/>
        <v>70</v>
      </c>
      <c r="E27" s="185">
        <f t="shared" si="3"/>
        <v>14.333333333333334</v>
      </c>
      <c r="F27" s="194" t="s">
        <v>37</v>
      </c>
      <c r="G27" s="187" t="s">
        <v>37</v>
      </c>
      <c r="H27" s="129">
        <f>'Juicer Stats'!M27</f>
        <v>85.855872152527482</v>
      </c>
      <c r="I27" s="21"/>
      <c r="J27" s="22"/>
      <c r="K27" s="143"/>
      <c r="L27" s="33"/>
      <c r="M27" s="32">
        <f t="shared" si="6"/>
        <v>100</v>
      </c>
      <c r="N27" s="28">
        <v>100</v>
      </c>
      <c r="O27" s="15"/>
      <c r="P27" s="125" t="s">
        <v>37</v>
      </c>
      <c r="Q27" s="54">
        <v>35</v>
      </c>
      <c r="R27" s="54" t="s">
        <v>37</v>
      </c>
      <c r="S27" s="54"/>
      <c r="T27" s="59"/>
      <c r="U27" s="54"/>
      <c r="V27" s="54"/>
      <c r="W27" s="99"/>
      <c r="X27" s="132">
        <v>100</v>
      </c>
      <c r="Y27" s="27" t="s">
        <v>37</v>
      </c>
      <c r="Z27" s="27" t="s">
        <v>37</v>
      </c>
      <c r="AA27" s="27" t="s">
        <v>37</v>
      </c>
      <c r="AB27" s="27">
        <v>58.82</v>
      </c>
      <c r="AC27" s="28" t="s">
        <v>37</v>
      </c>
      <c r="AD27" s="176"/>
      <c r="AE27" s="132">
        <v>4</v>
      </c>
      <c r="AF27" s="27">
        <v>5</v>
      </c>
      <c r="AG27" s="27">
        <v>1</v>
      </c>
      <c r="AH27" s="27"/>
      <c r="AI27" s="174">
        <v>1</v>
      </c>
      <c r="AJ27" s="181">
        <f t="shared" si="5"/>
        <v>14.333333333333334</v>
      </c>
    </row>
    <row r="28" spans="1:36" x14ac:dyDescent="0.25">
      <c r="A28" s="20" t="s">
        <v>59</v>
      </c>
      <c r="B28" s="40" t="s">
        <v>37</v>
      </c>
      <c r="C28" s="116" t="s">
        <v>37</v>
      </c>
      <c r="D28" s="139">
        <f t="shared" si="9"/>
        <v>70</v>
      </c>
      <c r="E28" s="185">
        <f t="shared" si="3"/>
        <v>37.333333333333336</v>
      </c>
      <c r="F28" s="186" t="s">
        <v>37</v>
      </c>
      <c r="G28" s="187" t="s">
        <v>37</v>
      </c>
      <c r="H28" s="129">
        <f>'Juicer Stats'!M28</f>
        <v>52.253073088131863</v>
      </c>
      <c r="I28" s="45"/>
      <c r="J28" s="22"/>
      <c r="K28" s="143"/>
      <c r="L28" s="33"/>
      <c r="M28" s="32">
        <f t="shared" si="6"/>
        <v>100</v>
      </c>
      <c r="N28" s="28">
        <v>100</v>
      </c>
      <c r="O28" s="15"/>
      <c r="P28" s="125" t="s">
        <v>37</v>
      </c>
      <c r="Q28" s="54">
        <v>35</v>
      </c>
      <c r="R28" s="54" t="s">
        <v>37</v>
      </c>
      <c r="S28" s="54"/>
      <c r="T28" s="59"/>
      <c r="U28" s="54"/>
      <c r="V28" s="54"/>
      <c r="W28" s="99"/>
      <c r="X28" s="132">
        <v>100</v>
      </c>
      <c r="Y28" s="27" t="s">
        <v>37</v>
      </c>
      <c r="Z28" s="27" t="s">
        <v>37</v>
      </c>
      <c r="AA28" s="27" t="s">
        <v>37</v>
      </c>
      <c r="AB28" s="27">
        <v>5</v>
      </c>
      <c r="AC28" s="28" t="s">
        <v>37</v>
      </c>
      <c r="AD28" s="176"/>
      <c r="AE28" s="132">
        <v>8</v>
      </c>
      <c r="AF28" s="27">
        <v>20</v>
      </c>
      <c r="AG28" s="27">
        <v>1</v>
      </c>
      <c r="AH28" s="27"/>
      <c r="AI28" s="174">
        <v>1</v>
      </c>
      <c r="AJ28" s="181">
        <f t="shared" si="5"/>
        <v>37.333333333333336</v>
      </c>
    </row>
    <row r="29" spans="1:36" x14ac:dyDescent="0.25">
      <c r="A29" s="20" t="s">
        <v>60</v>
      </c>
      <c r="B29" s="40" t="s">
        <v>37</v>
      </c>
      <c r="C29" s="116" t="s">
        <v>37</v>
      </c>
      <c r="D29" s="139">
        <f t="shared" si="9"/>
        <v>70</v>
      </c>
      <c r="E29" s="185">
        <f t="shared" si="3"/>
        <v>27</v>
      </c>
      <c r="F29" s="186" t="s">
        <v>37</v>
      </c>
      <c r="G29" s="187" t="s">
        <v>37</v>
      </c>
      <c r="H29" s="129">
        <f>'Juicer Stats'!M29</f>
        <v>117.60604861379122</v>
      </c>
      <c r="I29" s="21"/>
      <c r="J29" s="22"/>
      <c r="K29" s="143"/>
      <c r="L29" s="33"/>
      <c r="M29" s="32">
        <f t="shared" si="6"/>
        <v>100</v>
      </c>
      <c r="N29" s="28">
        <v>100</v>
      </c>
      <c r="O29" s="15"/>
      <c r="P29" s="125" t="s">
        <v>37</v>
      </c>
      <c r="Q29" s="54">
        <v>35</v>
      </c>
      <c r="R29" s="54" t="s">
        <v>37</v>
      </c>
      <c r="S29" s="54"/>
      <c r="T29" s="59"/>
      <c r="U29" s="54"/>
      <c r="V29" s="54"/>
      <c r="W29" s="99"/>
      <c r="X29" s="132">
        <v>100</v>
      </c>
      <c r="Y29" s="27" t="s">
        <v>37</v>
      </c>
      <c r="Z29" s="27" t="s">
        <v>37</v>
      </c>
      <c r="AA29" s="27" t="s">
        <v>37</v>
      </c>
      <c r="AB29" s="27">
        <v>50</v>
      </c>
      <c r="AC29" s="28" t="s">
        <v>37</v>
      </c>
      <c r="AD29" s="176"/>
      <c r="AE29" s="132">
        <v>4</v>
      </c>
      <c r="AF29" s="27">
        <v>17</v>
      </c>
      <c r="AG29" s="27">
        <v>2</v>
      </c>
      <c r="AH29" s="27"/>
      <c r="AI29" s="174"/>
      <c r="AJ29" s="181">
        <f t="shared" si="5"/>
        <v>27</v>
      </c>
    </row>
    <row r="30" spans="1:36" x14ac:dyDescent="0.25">
      <c r="A30" s="20" t="s">
        <v>61</v>
      </c>
      <c r="B30" s="40" t="s">
        <v>37</v>
      </c>
      <c r="C30" s="116" t="s">
        <v>37</v>
      </c>
      <c r="D30" s="139" t="s">
        <v>37</v>
      </c>
      <c r="E30" s="185">
        <f t="shared" si="3"/>
        <v>8.3333333333333339</v>
      </c>
      <c r="F30" s="186" t="s">
        <v>37</v>
      </c>
      <c r="G30" s="187" t="s">
        <v>37</v>
      </c>
      <c r="H30" s="129">
        <f>'Juicer Stats'!M30</f>
        <v>71.409344361263749</v>
      </c>
      <c r="I30" s="21"/>
      <c r="J30" s="22"/>
      <c r="K30" s="143"/>
      <c r="L30" s="34"/>
      <c r="M30" s="35">
        <f t="shared" si="6"/>
        <v>100</v>
      </c>
      <c r="N30" s="36">
        <v>100</v>
      </c>
      <c r="O30" s="120"/>
      <c r="P30" s="125" t="s">
        <v>37</v>
      </c>
      <c r="Q30" s="54" t="s">
        <v>37</v>
      </c>
      <c r="R30" s="54" t="s">
        <v>37</v>
      </c>
      <c r="S30" s="54"/>
      <c r="T30" s="59"/>
      <c r="U30" s="59"/>
      <c r="V30" s="59"/>
      <c r="W30" s="99"/>
      <c r="X30" s="132" t="s">
        <v>37</v>
      </c>
      <c r="Y30" s="27" t="s">
        <v>37</v>
      </c>
      <c r="Z30" s="27" t="s">
        <v>37</v>
      </c>
      <c r="AA30" s="27" t="s">
        <v>37</v>
      </c>
      <c r="AB30" s="27">
        <v>1</v>
      </c>
      <c r="AC30" s="28" t="s">
        <v>37</v>
      </c>
      <c r="AD30" s="176"/>
      <c r="AE30" s="132"/>
      <c r="AF30" s="27">
        <v>1</v>
      </c>
      <c r="AG30" s="27">
        <v>7</v>
      </c>
      <c r="AH30" s="27"/>
      <c r="AI30" s="174">
        <v>1</v>
      </c>
      <c r="AJ30" s="181">
        <f t="shared" si="5"/>
        <v>8.3333333333333339</v>
      </c>
    </row>
    <row r="31" spans="1:36" x14ac:dyDescent="0.25">
      <c r="A31" s="20" t="s">
        <v>62</v>
      </c>
      <c r="B31" s="40" t="s">
        <v>37</v>
      </c>
      <c r="C31" s="116" t="s">
        <v>37</v>
      </c>
      <c r="D31" s="139">
        <f t="shared" si="9"/>
        <v>70</v>
      </c>
      <c r="E31" s="185">
        <f t="shared" si="3"/>
        <v>9</v>
      </c>
      <c r="F31" s="186" t="s">
        <v>37</v>
      </c>
      <c r="G31" s="187" t="s">
        <v>37</v>
      </c>
      <c r="H31" s="129">
        <f>'Juicer Stats'!M31</f>
        <v>99</v>
      </c>
      <c r="I31" s="21"/>
      <c r="J31" s="22"/>
      <c r="K31" s="143"/>
      <c r="L31" s="33"/>
      <c r="M31" s="32">
        <f t="shared" si="6"/>
        <v>100</v>
      </c>
      <c r="N31" s="28">
        <v>100</v>
      </c>
      <c r="O31" s="15"/>
      <c r="P31" s="125" t="s">
        <v>37</v>
      </c>
      <c r="Q31" s="54">
        <v>35</v>
      </c>
      <c r="R31" s="54" t="s">
        <v>37</v>
      </c>
      <c r="S31" s="54"/>
      <c r="T31" s="59"/>
      <c r="U31" s="54"/>
      <c r="V31" s="54"/>
      <c r="W31" s="99"/>
      <c r="X31" s="132">
        <v>100</v>
      </c>
      <c r="Y31" s="27" t="s">
        <v>37</v>
      </c>
      <c r="Z31" s="27" t="s">
        <v>37</v>
      </c>
      <c r="AA31" s="27" t="s">
        <v>37</v>
      </c>
      <c r="AB31" s="27">
        <v>16.670000000000002</v>
      </c>
      <c r="AC31" s="28" t="s">
        <v>37</v>
      </c>
      <c r="AD31" s="176"/>
      <c r="AE31" s="132"/>
      <c r="AF31" s="27">
        <v>9</v>
      </c>
      <c r="AG31" s="27">
        <v>0</v>
      </c>
      <c r="AH31" s="27"/>
      <c r="AI31" s="174"/>
      <c r="AJ31" s="181">
        <f t="shared" si="5"/>
        <v>9</v>
      </c>
    </row>
    <row r="32" spans="1:36" x14ac:dyDescent="0.25">
      <c r="A32" s="20" t="s">
        <v>63</v>
      </c>
      <c r="B32" s="40" t="s">
        <v>37</v>
      </c>
      <c r="C32" s="116" t="s">
        <v>37</v>
      </c>
      <c r="D32" s="139" t="s">
        <v>37</v>
      </c>
      <c r="E32" s="185">
        <f t="shared" si="3"/>
        <v>0</v>
      </c>
      <c r="F32" s="186" t="s">
        <v>37</v>
      </c>
      <c r="G32" s="187" t="s">
        <v>37</v>
      </c>
      <c r="H32" s="129">
        <f>'Juicer Stats'!M32</f>
        <v>77.55</v>
      </c>
      <c r="I32" s="21"/>
      <c r="J32" s="22"/>
      <c r="K32" s="143"/>
      <c r="L32" s="34"/>
      <c r="M32" s="35">
        <f t="shared" si="6"/>
        <v>100</v>
      </c>
      <c r="N32" s="36">
        <v>100</v>
      </c>
      <c r="O32" s="120"/>
      <c r="P32" s="125" t="s">
        <v>37</v>
      </c>
      <c r="Q32" s="54" t="s">
        <v>37</v>
      </c>
      <c r="R32" s="54" t="s">
        <v>37</v>
      </c>
      <c r="S32" s="54"/>
      <c r="T32" s="59"/>
      <c r="U32" s="59"/>
      <c r="V32" s="59"/>
      <c r="W32" s="99"/>
      <c r="X32" s="132">
        <v>10</v>
      </c>
      <c r="Y32" s="27" t="s">
        <v>37</v>
      </c>
      <c r="Z32" s="27" t="s">
        <v>37</v>
      </c>
      <c r="AA32" s="27" t="s">
        <v>37</v>
      </c>
      <c r="AB32" s="27">
        <v>0.33</v>
      </c>
      <c r="AC32" s="28" t="s">
        <v>37</v>
      </c>
      <c r="AD32" s="176"/>
      <c r="AE32" s="132"/>
      <c r="AF32" s="27"/>
      <c r="AG32" s="27"/>
      <c r="AH32" s="27"/>
      <c r="AI32" s="174"/>
      <c r="AJ32" s="181">
        <f t="shared" si="5"/>
        <v>0</v>
      </c>
    </row>
    <row r="33" spans="1:36" x14ac:dyDescent="0.25">
      <c r="A33" s="20" t="s">
        <v>64</v>
      </c>
      <c r="B33" s="40" t="s">
        <v>37</v>
      </c>
      <c r="C33" s="116" t="s">
        <v>37</v>
      </c>
      <c r="D33" s="139" t="s">
        <v>37</v>
      </c>
      <c r="E33" s="185">
        <f t="shared" si="3"/>
        <v>4</v>
      </c>
      <c r="F33" s="186" t="s">
        <v>37</v>
      </c>
      <c r="G33" s="187" t="s">
        <v>37</v>
      </c>
      <c r="H33" s="129">
        <f>'Juicer Stats'!M33</f>
        <v>44.725462906130772</v>
      </c>
      <c r="I33" s="21"/>
      <c r="J33" s="22"/>
      <c r="K33" s="143"/>
      <c r="L33" s="33"/>
      <c r="M33" s="32">
        <f t="shared" si="6"/>
        <v>100</v>
      </c>
      <c r="N33" s="28">
        <v>100</v>
      </c>
      <c r="O33" s="15"/>
      <c r="P33" s="125" t="s">
        <v>37</v>
      </c>
      <c r="Q33" s="54" t="s">
        <v>37</v>
      </c>
      <c r="R33" s="54" t="s">
        <v>37</v>
      </c>
      <c r="S33" s="54"/>
      <c r="T33" s="59"/>
      <c r="U33" s="59"/>
      <c r="V33" s="59"/>
      <c r="W33" s="99"/>
      <c r="X33" s="132">
        <v>100</v>
      </c>
      <c r="Y33" s="27" t="s">
        <v>37</v>
      </c>
      <c r="Z33" s="27" t="s">
        <v>37</v>
      </c>
      <c r="AA33" s="27" t="s">
        <v>37</v>
      </c>
      <c r="AB33" s="27">
        <v>10</v>
      </c>
      <c r="AC33" s="28" t="s">
        <v>37</v>
      </c>
      <c r="AD33" s="176"/>
      <c r="AE33" s="132">
        <v>2</v>
      </c>
      <c r="AF33" s="27"/>
      <c r="AG33" s="27"/>
      <c r="AH33" s="27"/>
      <c r="AI33" s="174"/>
      <c r="AJ33" s="181">
        <f t="shared" si="5"/>
        <v>4</v>
      </c>
    </row>
    <row r="34" spans="1:36" x14ac:dyDescent="0.25">
      <c r="A34" s="20" t="s">
        <v>65</v>
      </c>
      <c r="B34" s="40" t="s">
        <v>37</v>
      </c>
      <c r="C34" s="116" t="s">
        <v>37</v>
      </c>
      <c r="D34" s="139" t="s">
        <v>37</v>
      </c>
      <c r="E34" s="185">
        <f t="shared" si="3"/>
        <v>34.666666666666664</v>
      </c>
      <c r="F34" s="186" t="s">
        <v>37</v>
      </c>
      <c r="G34" s="187" t="s">
        <v>37</v>
      </c>
      <c r="H34" s="129">
        <f>'Juicer Stats'!M34</f>
        <v>53.597145469395613</v>
      </c>
      <c r="I34" s="21"/>
      <c r="J34" s="22"/>
      <c r="K34" s="143"/>
      <c r="L34" s="34"/>
      <c r="M34" s="35">
        <f t="shared" si="6"/>
        <v>100</v>
      </c>
      <c r="N34" s="36">
        <v>100</v>
      </c>
      <c r="O34" s="120"/>
      <c r="P34" s="125" t="s">
        <v>37</v>
      </c>
      <c r="Q34" s="54" t="s">
        <v>37</v>
      </c>
      <c r="R34" s="54" t="s">
        <v>37</v>
      </c>
      <c r="S34" s="54"/>
      <c r="T34" s="59"/>
      <c r="U34" s="59"/>
      <c r="V34" s="59"/>
      <c r="W34" s="99"/>
      <c r="X34" s="132">
        <v>2</v>
      </c>
      <c r="Y34" s="27" t="s">
        <v>37</v>
      </c>
      <c r="Z34" s="27" t="s">
        <v>37</v>
      </c>
      <c r="AA34" s="27" t="s">
        <v>37</v>
      </c>
      <c r="AB34" s="27" t="s">
        <v>37</v>
      </c>
      <c r="AC34" s="28" t="s">
        <v>37</v>
      </c>
      <c r="AD34" s="176"/>
      <c r="AE34" s="132">
        <v>10</v>
      </c>
      <c r="AF34" s="27">
        <v>13</v>
      </c>
      <c r="AG34" s="27">
        <v>1</v>
      </c>
      <c r="AH34" s="27"/>
      <c r="AI34" s="174">
        <v>2</v>
      </c>
      <c r="AJ34" s="181">
        <f t="shared" si="5"/>
        <v>34.666666666666664</v>
      </c>
    </row>
    <row r="35" spans="1:36" x14ac:dyDescent="0.25">
      <c r="A35" s="20" t="s">
        <v>66</v>
      </c>
      <c r="B35" s="40" t="s">
        <v>37</v>
      </c>
      <c r="C35" s="116" t="s">
        <v>37</v>
      </c>
      <c r="D35" s="139" t="s">
        <v>37</v>
      </c>
      <c r="E35" s="185">
        <f t="shared" si="3"/>
        <v>0</v>
      </c>
      <c r="F35" s="186" t="s">
        <v>37</v>
      </c>
      <c r="G35" s="187" t="s">
        <v>37</v>
      </c>
      <c r="H35" s="129">
        <f>'Juicer Stats'!M35</f>
        <v>0</v>
      </c>
      <c r="I35" s="21"/>
      <c r="J35" s="22"/>
      <c r="K35" s="143"/>
      <c r="L35" s="33"/>
      <c r="M35" s="32">
        <f t="shared" si="6"/>
        <v>100</v>
      </c>
      <c r="N35" s="28">
        <v>100</v>
      </c>
      <c r="O35" s="15"/>
      <c r="P35" s="125" t="s">
        <v>37</v>
      </c>
      <c r="Q35" s="54" t="s">
        <v>37</v>
      </c>
      <c r="R35" s="54" t="s">
        <v>37</v>
      </c>
      <c r="S35" s="54"/>
      <c r="T35" s="59"/>
      <c r="U35" s="59"/>
      <c r="V35" s="59"/>
      <c r="W35" s="99"/>
      <c r="X35" s="132">
        <v>100</v>
      </c>
      <c r="Y35" s="27" t="s">
        <v>37</v>
      </c>
      <c r="Z35" s="27" t="s">
        <v>37</v>
      </c>
      <c r="AA35" s="27" t="s">
        <v>37</v>
      </c>
      <c r="AB35" s="27" t="s">
        <v>37</v>
      </c>
      <c r="AC35" s="28" t="s">
        <v>37</v>
      </c>
      <c r="AD35" s="176"/>
      <c r="AE35" s="132"/>
      <c r="AF35" s="27"/>
      <c r="AG35" s="27"/>
      <c r="AH35" s="27"/>
      <c r="AI35" s="174"/>
      <c r="AJ35" s="181">
        <f t="shared" si="5"/>
        <v>0</v>
      </c>
    </row>
    <row r="36" spans="1:36" x14ac:dyDescent="0.25">
      <c r="A36" s="20" t="s">
        <v>67</v>
      </c>
      <c r="B36" s="40" t="s">
        <v>37</v>
      </c>
      <c r="C36" s="116" t="s">
        <v>37</v>
      </c>
      <c r="D36" s="139" t="s">
        <v>37</v>
      </c>
      <c r="E36" s="185">
        <f t="shared" si="3"/>
        <v>26</v>
      </c>
      <c r="F36" s="186" t="s">
        <v>37</v>
      </c>
      <c r="G36" s="187" t="s">
        <v>37</v>
      </c>
      <c r="H36" s="129">
        <f>'Juicer Stats'!M36</f>
        <v>93.467184854395612</v>
      </c>
      <c r="I36" s="21"/>
      <c r="J36" s="22"/>
      <c r="K36" s="143"/>
      <c r="L36" s="33"/>
      <c r="M36" s="32">
        <f t="shared" si="6"/>
        <v>100</v>
      </c>
      <c r="N36" s="28">
        <v>100</v>
      </c>
      <c r="O36" s="15"/>
      <c r="P36" s="125" t="s">
        <v>37</v>
      </c>
      <c r="Q36" s="54" t="s">
        <v>37</v>
      </c>
      <c r="R36" s="54" t="s">
        <v>37</v>
      </c>
      <c r="S36" s="54"/>
      <c r="T36" s="59"/>
      <c r="U36" s="59"/>
      <c r="V36" s="59"/>
      <c r="W36" s="99"/>
      <c r="X36" s="132">
        <v>13</v>
      </c>
      <c r="Y36" s="27">
        <f>250/400*100</f>
        <v>62.5</v>
      </c>
      <c r="Z36" s="27" t="s">
        <v>37</v>
      </c>
      <c r="AA36" s="27" t="s">
        <v>37</v>
      </c>
      <c r="AB36" s="27" t="s">
        <v>37</v>
      </c>
      <c r="AC36" s="28" t="s">
        <v>37</v>
      </c>
      <c r="AD36" s="176"/>
      <c r="AE36" s="132">
        <v>10</v>
      </c>
      <c r="AF36" s="27">
        <v>4</v>
      </c>
      <c r="AG36" s="27">
        <v>1</v>
      </c>
      <c r="AH36" s="27"/>
      <c r="AI36" s="174">
        <v>3</v>
      </c>
      <c r="AJ36" s="181">
        <f t="shared" si="5"/>
        <v>26</v>
      </c>
    </row>
    <row r="37" spans="1:36" ht="15.75" thickBot="1" x14ac:dyDescent="0.3">
      <c r="A37" s="46" t="s">
        <v>68</v>
      </c>
      <c r="B37" s="47" t="s">
        <v>37</v>
      </c>
      <c r="C37" s="117" t="s">
        <v>37</v>
      </c>
      <c r="D37" s="140" t="s">
        <v>37</v>
      </c>
      <c r="E37" s="191">
        <f t="shared" si="3"/>
        <v>52</v>
      </c>
      <c r="F37" s="192" t="s">
        <v>37</v>
      </c>
      <c r="G37" s="193" t="s">
        <v>37</v>
      </c>
      <c r="H37" s="130">
        <f>'Juicer Stats'!M37</f>
        <v>134.57979508099999</v>
      </c>
      <c r="I37" s="48"/>
      <c r="J37" s="49"/>
      <c r="K37" s="144"/>
      <c r="L37" s="50"/>
      <c r="M37" s="51">
        <f t="shared" si="6"/>
        <v>100</v>
      </c>
      <c r="N37" s="52">
        <v>100</v>
      </c>
      <c r="O37" s="15"/>
      <c r="P37" s="125" t="s">
        <v>37</v>
      </c>
      <c r="Q37" s="54" t="s">
        <v>37</v>
      </c>
      <c r="R37" s="54" t="s">
        <v>37</v>
      </c>
      <c r="S37" s="54"/>
      <c r="T37" s="59"/>
      <c r="U37" s="59"/>
      <c r="V37" s="59"/>
      <c r="W37" s="99"/>
      <c r="X37" s="133">
        <v>79</v>
      </c>
      <c r="Y37" s="134" t="s">
        <v>37</v>
      </c>
      <c r="Z37" s="134" t="s">
        <v>37</v>
      </c>
      <c r="AA37" s="134" t="s">
        <v>37</v>
      </c>
      <c r="AB37" s="134" t="s">
        <v>37</v>
      </c>
      <c r="AC37" s="52" t="s">
        <v>37</v>
      </c>
      <c r="AD37" s="176"/>
      <c r="AE37" s="133">
        <v>20</v>
      </c>
      <c r="AF37" s="134">
        <v>11</v>
      </c>
      <c r="AG37" s="134">
        <v>1</v>
      </c>
      <c r="AH37" s="134"/>
      <c r="AI37" s="175"/>
      <c r="AJ37" s="181">
        <f t="shared" si="5"/>
        <v>52</v>
      </c>
    </row>
    <row r="38" spans="1:36" ht="15.75" thickBot="1" x14ac:dyDescent="0.3">
      <c r="A38" s="53"/>
      <c r="I38" s="54"/>
      <c r="J38" s="54"/>
      <c r="K38" s="54"/>
      <c r="L38" s="163" t="s">
        <v>69</v>
      </c>
      <c r="M38" s="164"/>
      <c r="N38" s="165"/>
      <c r="O38" s="119"/>
      <c r="P38" s="125" t="s">
        <v>37</v>
      </c>
      <c r="Q38" s="54"/>
      <c r="R38" s="54"/>
      <c r="W38" s="97"/>
      <c r="X38" s="54" t="s">
        <v>192</v>
      </c>
      <c r="AC38" s="54" t="s">
        <v>37</v>
      </c>
      <c r="AD38" s="87"/>
      <c r="AE38" t="s">
        <v>187</v>
      </c>
    </row>
    <row r="39" spans="1:36" x14ac:dyDescent="0.25">
      <c r="A39" s="103" t="s">
        <v>134</v>
      </c>
      <c r="B39" s="104" t="s">
        <v>135</v>
      </c>
      <c r="C39" s="104"/>
      <c r="I39" s="54"/>
      <c r="J39" s="54"/>
      <c r="K39" s="54"/>
      <c r="L39" s="54"/>
      <c r="M39" s="54"/>
      <c r="N39" s="54"/>
      <c r="O39" s="54"/>
      <c r="Q39" s="54"/>
      <c r="R39" s="54"/>
      <c r="S39" s="98"/>
      <c r="AD39" s="87"/>
    </row>
    <row r="40" spans="1:36" x14ac:dyDescent="0.25">
      <c r="A40" s="103" t="s">
        <v>136</v>
      </c>
      <c r="B40" s="104" t="s">
        <v>137</v>
      </c>
      <c r="C40" s="104"/>
      <c r="I40" s="54"/>
      <c r="J40" s="54"/>
      <c r="K40" s="54"/>
      <c r="L40" s="54"/>
      <c r="M40" s="54"/>
      <c r="N40" s="54"/>
      <c r="O40" s="54"/>
      <c r="P40" s="127" t="s">
        <v>180</v>
      </c>
      <c r="Q40" s="54"/>
      <c r="R40" s="54"/>
      <c r="AD40" s="87"/>
      <c r="AE40" t="s">
        <v>198</v>
      </c>
      <c r="AF40" t="s">
        <v>196</v>
      </c>
      <c r="AG40" t="s">
        <v>194</v>
      </c>
      <c r="AH40" t="s">
        <v>199</v>
      </c>
      <c r="AI40" t="s">
        <v>201</v>
      </c>
      <c r="AJ40" s="82" t="s">
        <v>102</v>
      </c>
    </row>
    <row r="41" spans="1:36" x14ac:dyDescent="0.25">
      <c r="A41" s="105" t="s">
        <v>136</v>
      </c>
      <c r="B41" s="106" t="s">
        <v>138</v>
      </c>
      <c r="C41" s="106"/>
      <c r="I41" s="54"/>
      <c r="J41" s="54"/>
      <c r="K41" s="54"/>
      <c r="L41" s="54"/>
      <c r="M41" s="54"/>
      <c r="N41" s="54"/>
      <c r="O41" s="54"/>
      <c r="P41" s="124" t="s">
        <v>177</v>
      </c>
      <c r="Q41" t="s">
        <v>102</v>
      </c>
      <c r="R41" t="s">
        <v>182</v>
      </c>
      <c r="S41" t="s">
        <v>102</v>
      </c>
    </row>
    <row r="42" spans="1:36" x14ac:dyDescent="0.25">
      <c r="I42" s="54"/>
      <c r="J42" s="54"/>
      <c r="K42" s="54"/>
      <c r="L42" s="54"/>
      <c r="M42" s="54"/>
      <c r="N42" s="54"/>
      <c r="O42" s="54"/>
    </row>
    <row r="43" spans="1:36" x14ac:dyDescent="0.25">
      <c r="A43" s="102" t="s">
        <v>153</v>
      </c>
      <c r="I43" s="54"/>
      <c r="J43" s="54"/>
      <c r="K43" s="54"/>
      <c r="L43" s="54"/>
      <c r="M43" s="54"/>
      <c r="N43" s="54"/>
      <c r="O43" s="54"/>
    </row>
    <row r="44" spans="1:36" x14ac:dyDescent="0.25">
      <c r="B44" t="s">
        <v>155</v>
      </c>
      <c r="I44" s="54"/>
    </row>
    <row r="45" spans="1:36" x14ac:dyDescent="0.25">
      <c r="B45" t="s">
        <v>154</v>
      </c>
      <c r="I45" s="54"/>
    </row>
    <row r="46" spans="1:36" x14ac:dyDescent="0.25">
      <c r="B46" t="s">
        <v>156</v>
      </c>
      <c r="I46" s="54"/>
      <c r="J46" s="54"/>
      <c r="K46" s="107" t="s">
        <v>172</v>
      </c>
      <c r="L46" s="108"/>
      <c r="M46" s="108"/>
      <c r="N46" s="54"/>
      <c r="O46" s="54"/>
    </row>
    <row r="47" spans="1:36" x14ac:dyDescent="0.25">
      <c r="B47" t="s">
        <v>157</v>
      </c>
      <c r="I47" s="54"/>
      <c r="J47" s="54" t="s">
        <v>139</v>
      </c>
      <c r="K47" t="s">
        <v>140</v>
      </c>
      <c r="L47" s="54"/>
      <c r="M47" s="54"/>
      <c r="N47" s="54"/>
      <c r="O47" s="54"/>
    </row>
    <row r="48" spans="1:36" x14ac:dyDescent="0.25">
      <c r="J48" s="54" t="s">
        <v>141</v>
      </c>
      <c r="K48" t="s">
        <v>142</v>
      </c>
      <c r="L48" s="54"/>
      <c r="M48" s="54"/>
      <c r="N48" s="54"/>
      <c r="O48" s="54"/>
    </row>
    <row r="49" spans="1:30" x14ac:dyDescent="0.25">
      <c r="A49" s="102" t="s">
        <v>158</v>
      </c>
      <c r="J49" s="54" t="s">
        <v>143</v>
      </c>
      <c r="K49" t="s">
        <v>144</v>
      </c>
      <c r="L49" s="54"/>
      <c r="M49" s="54"/>
      <c r="N49" s="54"/>
      <c r="O49" s="54"/>
    </row>
    <row r="50" spans="1:30" x14ac:dyDescent="0.25">
      <c r="A50" s="102"/>
      <c r="B50" t="s">
        <v>159</v>
      </c>
      <c r="J50" s="54" t="s">
        <v>145</v>
      </c>
      <c r="K50" t="s">
        <v>146</v>
      </c>
    </row>
    <row r="51" spans="1:30" x14ac:dyDescent="0.25">
      <c r="A51" s="102"/>
      <c r="B51" t="s">
        <v>28</v>
      </c>
      <c r="J51" s="54" t="s">
        <v>147</v>
      </c>
      <c r="K51" t="s">
        <v>148</v>
      </c>
      <c r="Z51" s="54">
        <f>1.9*28.3495</f>
        <v>53.864049999999999</v>
      </c>
      <c r="AC51" s="54" t="s">
        <v>103</v>
      </c>
      <c r="AD51" t="s">
        <v>200</v>
      </c>
    </row>
    <row r="52" spans="1:30" x14ac:dyDescent="0.25">
      <c r="A52" s="102"/>
      <c r="B52" t="s">
        <v>160</v>
      </c>
    </row>
    <row r="53" spans="1:30" x14ac:dyDescent="0.25">
      <c r="A53" s="102"/>
    </row>
    <row r="54" spans="1:30" x14ac:dyDescent="0.25">
      <c r="A54" s="102" t="s">
        <v>161</v>
      </c>
    </row>
    <row r="55" spans="1:30" x14ac:dyDescent="0.25">
      <c r="A55" s="102"/>
      <c r="B55" t="s">
        <v>162</v>
      </c>
      <c r="X55" s="125"/>
    </row>
    <row r="56" spans="1:30" x14ac:dyDescent="0.25">
      <c r="A56" s="102"/>
      <c r="B56" t="s">
        <v>163</v>
      </c>
      <c r="X56" s="125"/>
    </row>
    <row r="57" spans="1:30" x14ac:dyDescent="0.25">
      <c r="A57" s="102"/>
      <c r="X57" s="125"/>
    </row>
    <row r="58" spans="1:30" x14ac:dyDescent="0.25">
      <c r="A58" s="102" t="s">
        <v>171</v>
      </c>
      <c r="X58" s="125"/>
    </row>
    <row r="59" spans="1:30" x14ac:dyDescent="0.25">
      <c r="A59" s="102"/>
      <c r="B59" t="s">
        <v>132</v>
      </c>
      <c r="X59" s="125"/>
    </row>
    <row r="60" spans="1:30" x14ac:dyDescent="0.25">
      <c r="A60" s="102"/>
      <c r="X60" s="125"/>
    </row>
    <row r="61" spans="1:30" x14ac:dyDescent="0.25">
      <c r="A61" s="102" t="s">
        <v>164</v>
      </c>
      <c r="X61" s="125"/>
    </row>
    <row r="62" spans="1:30" x14ac:dyDescent="0.25">
      <c r="A62" s="102"/>
      <c r="B62" t="s">
        <v>165</v>
      </c>
      <c r="X62" s="125"/>
    </row>
    <row r="63" spans="1:30" x14ac:dyDescent="0.25">
      <c r="A63" s="102"/>
      <c r="B63" t="s">
        <v>166</v>
      </c>
      <c r="X63" s="125"/>
    </row>
    <row r="64" spans="1:30" x14ac:dyDescent="0.25">
      <c r="A64" s="102"/>
      <c r="B64" t="s">
        <v>167</v>
      </c>
      <c r="X64" s="125"/>
    </row>
    <row r="65" spans="1:2" x14ac:dyDescent="0.25">
      <c r="A65" s="102"/>
      <c r="B65" t="s">
        <v>28</v>
      </c>
    </row>
    <row r="66" spans="1:2" x14ac:dyDescent="0.25">
      <c r="A66" s="102"/>
    </row>
    <row r="67" spans="1:2" x14ac:dyDescent="0.25">
      <c r="A67" s="102" t="s">
        <v>168</v>
      </c>
    </row>
    <row r="68" spans="1:2" x14ac:dyDescent="0.25">
      <c r="A68" s="102"/>
      <c r="B68" t="s">
        <v>169</v>
      </c>
    </row>
    <row r="69" spans="1:2" x14ac:dyDescent="0.25">
      <c r="A69" s="102"/>
      <c r="B69" t="s">
        <v>152</v>
      </c>
    </row>
    <row r="70" spans="1:2" x14ac:dyDescent="0.25">
      <c r="A70" s="102"/>
      <c r="B70" t="s">
        <v>150</v>
      </c>
    </row>
    <row r="71" spans="1:2" x14ac:dyDescent="0.25">
      <c r="A71" s="102"/>
      <c r="B71" t="s">
        <v>170</v>
      </c>
    </row>
    <row r="72" spans="1:2" x14ac:dyDescent="0.25">
      <c r="B72" t="s">
        <v>149</v>
      </c>
    </row>
    <row r="73" spans="1:2" x14ac:dyDescent="0.25">
      <c r="B73" t="s">
        <v>151</v>
      </c>
    </row>
  </sheetData>
  <mergeCells count="5">
    <mergeCell ref="L3:N3"/>
    <mergeCell ref="B18:D18"/>
    <mergeCell ref="E18:G18"/>
    <mergeCell ref="I18:K18"/>
    <mergeCell ref="L38:N38"/>
  </mergeCells>
  <hyperlinks>
    <hyperlink ref="X1" r:id="rId1"/>
  </hyperlinks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zoomScale="115" zoomScaleNormal="115" workbookViewId="0">
      <selection activeCell="V39" sqref="V39"/>
    </sheetView>
  </sheetViews>
  <sheetFormatPr defaultRowHeight="15" x14ac:dyDescent="0.25"/>
  <cols>
    <col min="1" max="1" width="18" bestFit="1" customWidth="1"/>
    <col min="17" max="17" width="18" bestFit="1" customWidth="1"/>
  </cols>
  <sheetData>
    <row r="1" spans="1:29" ht="15.75" thickBot="1" x14ac:dyDescent="0.3">
      <c r="A1" s="61"/>
      <c r="B1" s="3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73" t="s">
        <v>89</v>
      </c>
      <c r="L1" s="3" t="s">
        <v>29</v>
      </c>
      <c r="M1" s="4" t="s">
        <v>132</v>
      </c>
      <c r="Q1" s="2" t="s">
        <v>90</v>
      </c>
      <c r="R1" s="3" t="s">
        <v>80</v>
      </c>
      <c r="S1" s="6" t="s">
        <v>81</v>
      </c>
      <c r="T1" s="6" t="s">
        <v>82</v>
      </c>
      <c r="U1" s="6" t="s">
        <v>83</v>
      </c>
      <c r="V1" s="6" t="s">
        <v>84</v>
      </c>
      <c r="W1" s="6" t="s">
        <v>85</v>
      </c>
      <c r="X1" s="6" t="s">
        <v>86</v>
      </c>
      <c r="Y1" s="6" t="s">
        <v>87</v>
      </c>
      <c r="Z1" s="6" t="s">
        <v>88</v>
      </c>
      <c r="AA1" s="73" t="s">
        <v>89</v>
      </c>
      <c r="AB1" s="55" t="s">
        <v>29</v>
      </c>
    </row>
    <row r="2" spans="1:29" ht="15.75" thickBot="1" x14ac:dyDescent="0.3">
      <c r="A2" s="65" t="s">
        <v>119</v>
      </c>
      <c r="B2" s="70" t="s">
        <v>120</v>
      </c>
      <c r="C2" s="71" t="s">
        <v>122</v>
      </c>
      <c r="D2" s="71" t="s">
        <v>123</v>
      </c>
      <c r="E2" s="71" t="s">
        <v>100</v>
      </c>
      <c r="F2" s="71" t="s">
        <v>124</v>
      </c>
      <c r="G2" s="71" t="s">
        <v>125</v>
      </c>
      <c r="H2" s="72" t="s">
        <v>126</v>
      </c>
      <c r="I2" s="72" t="s">
        <v>127</v>
      </c>
      <c r="J2" s="72" t="s">
        <v>128</v>
      </c>
      <c r="K2" s="74" t="s">
        <v>129</v>
      </c>
      <c r="L2" s="70"/>
      <c r="M2" s="109">
        <f>66/100</f>
        <v>0.66</v>
      </c>
      <c r="Q2" s="65" t="s">
        <v>91</v>
      </c>
      <c r="R2" s="70" t="s">
        <v>34</v>
      </c>
      <c r="S2" s="71" t="s">
        <v>95</v>
      </c>
      <c r="T2" s="71" t="s">
        <v>96</v>
      </c>
      <c r="U2" s="71" t="s">
        <v>99</v>
      </c>
      <c r="V2" s="71" t="s">
        <v>103</v>
      </c>
      <c r="W2" s="71" t="s">
        <v>107</v>
      </c>
      <c r="X2" s="72" t="s">
        <v>109</v>
      </c>
      <c r="Y2" s="72" t="s">
        <v>113</v>
      </c>
      <c r="Z2" s="72" t="s">
        <v>113</v>
      </c>
      <c r="AA2" s="74" t="s">
        <v>113</v>
      </c>
      <c r="AB2" s="78"/>
    </row>
    <row r="3" spans="1:29" x14ac:dyDescent="0.25">
      <c r="A3" s="16" t="s">
        <v>121</v>
      </c>
      <c r="B3" s="86">
        <f>19.4/8</f>
        <v>2.4249999999999998</v>
      </c>
      <c r="C3" s="81">
        <f>(3.65*28.3495)/100</f>
        <v>1.0347567499999999</v>
      </c>
      <c r="D3" s="81">
        <f>1/2</f>
        <v>0.5</v>
      </c>
      <c r="E3" s="81">
        <f>6.7/6.7</f>
        <v>1</v>
      </c>
      <c r="F3" s="81">
        <f>2/1</f>
        <v>2</v>
      </c>
      <c r="G3" s="81">
        <f>(4.4*28.3495)/182</f>
        <v>0.68537252747252753</v>
      </c>
      <c r="H3" s="89">
        <f>(2.8*28.3495)/80</f>
        <v>0.99223249999999985</v>
      </c>
      <c r="I3" s="89">
        <f>(0.65*28.3495)/30</f>
        <v>0.61423916666666656</v>
      </c>
      <c r="J3" s="89">
        <f>(0.3*28.3495)/30</f>
        <v>0.283495</v>
      </c>
      <c r="K3" s="90">
        <f>1.5/1</f>
        <v>1.5</v>
      </c>
      <c r="L3" s="62"/>
      <c r="M3" s="110"/>
      <c r="Q3" s="16"/>
      <c r="R3" s="62"/>
      <c r="S3" s="44"/>
      <c r="T3" s="44" t="s">
        <v>97</v>
      </c>
      <c r="U3" s="44" t="s">
        <v>100</v>
      </c>
      <c r="V3" s="44" t="s">
        <v>104</v>
      </c>
      <c r="W3" s="44" t="s">
        <v>108</v>
      </c>
      <c r="X3" s="66" t="s">
        <v>104</v>
      </c>
      <c r="Y3" s="66" t="s">
        <v>114</v>
      </c>
      <c r="Z3" s="66" t="s">
        <v>116</v>
      </c>
      <c r="AA3" s="75" t="s">
        <v>117</v>
      </c>
      <c r="AB3" s="79"/>
    </row>
    <row r="4" spans="1:29" x14ac:dyDescent="0.25">
      <c r="A4" s="20" t="s">
        <v>35</v>
      </c>
      <c r="B4" s="62">
        <f>R4*$B$3</f>
        <v>109.12499999999999</v>
      </c>
      <c r="C4" s="44">
        <f>S4*C$3</f>
        <v>92.093350749999985</v>
      </c>
      <c r="D4" s="44">
        <f t="shared" ref="D4:F4" si="0">T4*D$3</f>
        <v>22.5</v>
      </c>
      <c r="E4" s="44">
        <f t="shared" si="0"/>
        <v>0</v>
      </c>
      <c r="F4" s="44">
        <f t="shared" si="0"/>
        <v>532.79999999999995</v>
      </c>
      <c r="G4" s="44">
        <f t="shared" ref="G4" si="1">W4*G$3</f>
        <v>64.836241098901098</v>
      </c>
      <c r="H4" s="44">
        <f t="shared" ref="H4:I4" si="2">X4*H$3</f>
        <v>12.700575999999998</v>
      </c>
      <c r="I4" s="44">
        <f t="shared" si="2"/>
        <v>4.2382502499999992</v>
      </c>
      <c r="J4" s="44">
        <f t="shared" ref="J4" si="3">Z4*J$3</f>
        <v>9.2986359999999983</v>
      </c>
      <c r="K4" s="76">
        <f t="shared" ref="K4" si="4">AA4*K$3</f>
        <v>120</v>
      </c>
      <c r="L4" s="33">
        <f>SUM(B4:K4)</f>
        <v>967.59205409890092</v>
      </c>
      <c r="M4" s="111">
        <f>L4*$M$2</f>
        <v>638.61075570527464</v>
      </c>
      <c r="Q4" s="20" t="s">
        <v>35</v>
      </c>
      <c r="R4" s="62">
        <v>45</v>
      </c>
      <c r="S4" s="44">
        <v>89</v>
      </c>
      <c r="T4" s="44">
        <v>45</v>
      </c>
      <c r="U4" s="44">
        <v>0</v>
      </c>
      <c r="V4" s="44">
        <v>266.39999999999998</v>
      </c>
      <c r="W4" s="67">
        <v>94.6</v>
      </c>
      <c r="X4" s="44">
        <v>12.8</v>
      </c>
      <c r="Y4" s="44">
        <v>6.9</v>
      </c>
      <c r="Z4" s="44">
        <v>32.799999999999997</v>
      </c>
      <c r="AA4" s="76">
        <v>80</v>
      </c>
      <c r="AB4" s="56"/>
      <c r="AC4" s="88"/>
    </row>
    <row r="5" spans="1:29" x14ac:dyDescent="0.25">
      <c r="A5" s="20" t="s">
        <v>36</v>
      </c>
      <c r="B5" s="62">
        <v>0</v>
      </c>
      <c r="C5" s="44">
        <f t="shared" ref="C5:C17" si="5">S5*C$3</f>
        <v>4.1390269999999996</v>
      </c>
      <c r="D5" s="44">
        <f t="shared" ref="D5:D17" si="6">T5*D$3</f>
        <v>0</v>
      </c>
      <c r="E5" s="44">
        <f t="shared" ref="E5:E17" si="7">U5*E$3</f>
        <v>0</v>
      </c>
      <c r="F5" s="44">
        <f t="shared" ref="F5:F17" si="8">V5*F$3</f>
        <v>37.200000000000003</v>
      </c>
      <c r="G5" s="44">
        <f t="shared" ref="G5:G17" si="9">W5*G$3</f>
        <v>1.9190430769230769</v>
      </c>
      <c r="H5" s="44">
        <f t="shared" ref="H5:H17" si="10">X5*H$3</f>
        <v>1.1906789999999998</v>
      </c>
      <c r="I5" s="44">
        <f t="shared" ref="I5:I17" si="11">Y5*I$3</f>
        <v>0.67566308333333325</v>
      </c>
      <c r="J5" s="44">
        <f t="shared" ref="J5:J17" si="12">Z5*J$3</f>
        <v>1.587572</v>
      </c>
      <c r="K5" s="76">
        <f t="shared" ref="K5:K17" si="13">AA5*K$3</f>
        <v>0</v>
      </c>
      <c r="L5" s="33">
        <f t="shared" ref="L5:L17" si="14">SUM(B5:K5)</f>
        <v>46.711984160256414</v>
      </c>
      <c r="M5" s="111">
        <f t="shared" ref="M5:M37" si="15">L5*$M$2</f>
        <v>30.829909545769233</v>
      </c>
      <c r="Q5" s="20" t="s">
        <v>36</v>
      </c>
      <c r="R5" s="62" t="s">
        <v>37</v>
      </c>
      <c r="S5" s="44">
        <v>4</v>
      </c>
      <c r="T5" s="44">
        <v>0</v>
      </c>
      <c r="U5" s="44">
        <v>0</v>
      </c>
      <c r="V5" s="44">
        <v>18.600000000000001</v>
      </c>
      <c r="W5" s="67">
        <v>2.8</v>
      </c>
      <c r="X5" s="44">
        <v>1.2</v>
      </c>
      <c r="Y5" s="44">
        <v>1.1000000000000001</v>
      </c>
      <c r="Z5" s="44">
        <v>5.6</v>
      </c>
      <c r="AA5" s="76">
        <v>0</v>
      </c>
      <c r="AB5" s="56"/>
      <c r="AC5" s="88"/>
    </row>
    <row r="6" spans="1:29" x14ac:dyDescent="0.25">
      <c r="A6" s="20" t="s">
        <v>38</v>
      </c>
      <c r="B6" s="62">
        <f t="shared" ref="B6:B17" si="16">R6*$B$3</f>
        <v>0</v>
      </c>
      <c r="C6" s="44">
        <f t="shared" si="5"/>
        <v>0.34146972749999999</v>
      </c>
      <c r="D6" s="44">
        <f t="shared" si="6"/>
        <v>0</v>
      </c>
      <c r="E6" s="44">
        <f t="shared" si="7"/>
        <v>0</v>
      </c>
      <c r="F6" s="44">
        <f t="shared" si="8"/>
        <v>4.2</v>
      </c>
      <c r="G6" s="44">
        <f t="shared" si="9"/>
        <v>0.20561175824175826</v>
      </c>
      <c r="H6" s="44">
        <f t="shared" si="10"/>
        <v>9.9223249999999985E-2</v>
      </c>
      <c r="I6" s="44">
        <f t="shared" si="11"/>
        <v>6.1423916666666661E-2</v>
      </c>
      <c r="J6" s="44">
        <f t="shared" si="12"/>
        <v>0.170097</v>
      </c>
      <c r="K6" s="76">
        <f t="shared" si="13"/>
        <v>0</v>
      </c>
      <c r="L6" s="33">
        <f t="shared" si="14"/>
        <v>5.0778256524084249</v>
      </c>
      <c r="M6" s="111">
        <f t="shared" si="15"/>
        <v>3.3513649305895608</v>
      </c>
      <c r="Q6" s="20" t="s">
        <v>38</v>
      </c>
      <c r="R6" s="62">
        <v>0</v>
      </c>
      <c r="S6" s="44">
        <v>0.33</v>
      </c>
      <c r="T6" s="44">
        <v>0</v>
      </c>
      <c r="U6" s="44">
        <v>0</v>
      </c>
      <c r="V6" s="44">
        <v>2.1</v>
      </c>
      <c r="W6" s="67">
        <v>0.3</v>
      </c>
      <c r="X6" s="44">
        <v>0.1</v>
      </c>
      <c r="Y6" s="44">
        <v>0.1</v>
      </c>
      <c r="Z6" s="44">
        <v>0.6</v>
      </c>
      <c r="AA6" s="76">
        <v>0</v>
      </c>
      <c r="AB6" s="56"/>
      <c r="AC6" s="88"/>
    </row>
    <row r="7" spans="1:29" x14ac:dyDescent="0.25">
      <c r="A7" s="20" t="s">
        <v>39</v>
      </c>
      <c r="B7" s="62">
        <f t="shared" si="16"/>
        <v>0</v>
      </c>
      <c r="C7" s="44">
        <f t="shared" si="5"/>
        <v>8.278054E-2</v>
      </c>
      <c r="D7" s="44">
        <f t="shared" si="6"/>
        <v>0</v>
      </c>
      <c r="E7" s="44">
        <f t="shared" si="7"/>
        <v>0</v>
      </c>
      <c r="F7" s="44">
        <f t="shared" si="8"/>
        <v>0.8</v>
      </c>
      <c r="G7" s="44">
        <f t="shared" si="9"/>
        <v>6.8537252747252753E-2</v>
      </c>
      <c r="H7" s="44">
        <f t="shared" si="10"/>
        <v>0</v>
      </c>
      <c r="I7" s="44">
        <f t="shared" si="11"/>
        <v>0</v>
      </c>
      <c r="J7" s="44">
        <f t="shared" si="12"/>
        <v>2.83495E-2</v>
      </c>
      <c r="K7" s="76">
        <f t="shared" si="13"/>
        <v>0</v>
      </c>
      <c r="L7" s="33">
        <f t="shared" si="14"/>
        <v>0.97966729274725284</v>
      </c>
      <c r="M7" s="111">
        <f t="shared" si="15"/>
        <v>0.64658041321318693</v>
      </c>
      <c r="Q7" s="20" t="s">
        <v>39</v>
      </c>
      <c r="R7" s="62">
        <v>0</v>
      </c>
      <c r="S7" s="44">
        <v>0.08</v>
      </c>
      <c r="T7" s="44">
        <v>0</v>
      </c>
      <c r="U7" s="44">
        <v>0</v>
      </c>
      <c r="V7" s="44">
        <v>0.4</v>
      </c>
      <c r="W7" s="67">
        <v>0.1</v>
      </c>
      <c r="X7" s="44">
        <v>0</v>
      </c>
      <c r="Y7" s="44">
        <v>0</v>
      </c>
      <c r="Z7" s="44">
        <v>0.1</v>
      </c>
      <c r="AA7" s="76">
        <v>0</v>
      </c>
      <c r="AB7" s="56"/>
      <c r="AC7" s="88"/>
    </row>
    <row r="8" spans="1:29" x14ac:dyDescent="0.25">
      <c r="A8" s="20" t="s">
        <v>40</v>
      </c>
      <c r="B8" s="62">
        <f t="shared" si="16"/>
        <v>0</v>
      </c>
      <c r="C8" s="44">
        <v>0</v>
      </c>
      <c r="D8" s="44">
        <f t="shared" si="6"/>
        <v>0</v>
      </c>
      <c r="E8" s="44">
        <f t="shared" si="7"/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76">
        <f t="shared" si="13"/>
        <v>0</v>
      </c>
      <c r="L8" s="33">
        <f t="shared" si="14"/>
        <v>0</v>
      </c>
      <c r="M8" s="111">
        <f t="shared" si="15"/>
        <v>0</v>
      </c>
      <c r="Q8" s="20" t="s">
        <v>40</v>
      </c>
      <c r="R8" s="62">
        <v>0</v>
      </c>
      <c r="S8" s="44" t="s">
        <v>37</v>
      </c>
      <c r="T8" s="44">
        <v>0</v>
      </c>
      <c r="U8" s="44">
        <v>0</v>
      </c>
      <c r="V8" s="44" t="s">
        <v>37</v>
      </c>
      <c r="W8" s="67" t="s">
        <v>37</v>
      </c>
      <c r="X8" s="44" t="s">
        <v>37</v>
      </c>
      <c r="Y8" s="44" t="s">
        <v>37</v>
      </c>
      <c r="Z8" s="44" t="s">
        <v>37</v>
      </c>
      <c r="AA8" s="76">
        <v>0</v>
      </c>
      <c r="AB8" s="56"/>
      <c r="AC8" s="88"/>
    </row>
    <row r="9" spans="1:29" x14ac:dyDescent="0.25">
      <c r="A9" s="20" t="s">
        <v>41</v>
      </c>
      <c r="B9" s="62">
        <f t="shared" si="16"/>
        <v>0</v>
      </c>
      <c r="C9" s="44">
        <f t="shared" si="5"/>
        <v>8.278054E-2</v>
      </c>
      <c r="D9" s="44">
        <f t="shared" si="6"/>
        <v>0</v>
      </c>
      <c r="E9" s="44">
        <f t="shared" si="7"/>
        <v>0</v>
      </c>
      <c r="F9" s="44">
        <f t="shared" si="8"/>
        <v>2</v>
      </c>
      <c r="G9" s="44">
        <f t="shared" si="9"/>
        <v>6.8537252747252753E-2</v>
      </c>
      <c r="H9" s="44">
        <f t="shared" si="10"/>
        <v>9.9223249999999985E-2</v>
      </c>
      <c r="I9" s="44">
        <v>0</v>
      </c>
      <c r="J9" s="44">
        <f t="shared" si="12"/>
        <v>5.6698999999999999E-2</v>
      </c>
      <c r="K9" s="76">
        <f t="shared" si="13"/>
        <v>0</v>
      </c>
      <c r="L9" s="33">
        <f t="shared" si="14"/>
        <v>2.3072400427472526</v>
      </c>
      <c r="M9" s="111">
        <f t="shared" si="15"/>
        <v>1.5227784282131869</v>
      </c>
      <c r="Q9" s="20" t="s">
        <v>41</v>
      </c>
      <c r="R9" s="62">
        <v>0</v>
      </c>
      <c r="S9" s="44">
        <v>0.08</v>
      </c>
      <c r="T9" s="44">
        <v>0</v>
      </c>
      <c r="U9" s="44">
        <v>0</v>
      </c>
      <c r="V9" s="44">
        <v>1</v>
      </c>
      <c r="W9" s="67">
        <v>0.1</v>
      </c>
      <c r="X9" s="44">
        <v>0.1</v>
      </c>
      <c r="Y9" s="44" t="s">
        <v>37</v>
      </c>
      <c r="Z9" s="44">
        <v>0.2</v>
      </c>
      <c r="AA9" s="76">
        <v>0</v>
      </c>
      <c r="AB9" s="56"/>
      <c r="AC9" s="88"/>
    </row>
    <row r="10" spans="1:29" x14ac:dyDescent="0.25">
      <c r="A10" s="20" t="s">
        <v>42</v>
      </c>
      <c r="B10" s="62">
        <f t="shared" si="16"/>
        <v>0</v>
      </c>
      <c r="C10" s="44">
        <f t="shared" si="5"/>
        <v>0</v>
      </c>
      <c r="D10" s="44">
        <f t="shared" si="6"/>
        <v>0</v>
      </c>
      <c r="E10" s="44">
        <f t="shared" si="7"/>
        <v>0</v>
      </c>
      <c r="F10" s="44">
        <f t="shared" si="8"/>
        <v>1</v>
      </c>
      <c r="G10" s="44">
        <f t="shared" si="9"/>
        <v>0</v>
      </c>
      <c r="H10" s="44">
        <f t="shared" si="10"/>
        <v>0</v>
      </c>
      <c r="I10" s="44">
        <v>0</v>
      </c>
      <c r="J10" s="44">
        <f t="shared" si="12"/>
        <v>0</v>
      </c>
      <c r="K10" s="76">
        <f t="shared" si="13"/>
        <v>0</v>
      </c>
      <c r="L10" s="33">
        <f t="shared" si="14"/>
        <v>1</v>
      </c>
      <c r="M10" s="111">
        <f t="shared" si="15"/>
        <v>0.66</v>
      </c>
      <c r="Q10" s="20" t="s">
        <v>42</v>
      </c>
      <c r="R10" s="62">
        <v>0</v>
      </c>
      <c r="S10" s="44">
        <v>0</v>
      </c>
      <c r="T10" s="44">
        <v>0</v>
      </c>
      <c r="U10" s="44">
        <v>0</v>
      </c>
      <c r="V10" s="44">
        <v>0.5</v>
      </c>
      <c r="W10" s="67">
        <v>0</v>
      </c>
      <c r="X10" s="44">
        <v>0</v>
      </c>
      <c r="Y10" s="44" t="s">
        <v>37</v>
      </c>
      <c r="Z10" s="44">
        <v>0</v>
      </c>
      <c r="AA10" s="76">
        <v>0</v>
      </c>
      <c r="AB10" s="56"/>
      <c r="AC10" s="88"/>
    </row>
    <row r="11" spans="1:29" x14ac:dyDescent="0.25">
      <c r="A11" s="20" t="s">
        <v>43</v>
      </c>
      <c r="B11" s="62">
        <f t="shared" si="16"/>
        <v>0</v>
      </c>
      <c r="C11" s="44">
        <f t="shared" si="5"/>
        <v>0</v>
      </c>
      <c r="D11" s="44">
        <f t="shared" si="6"/>
        <v>0</v>
      </c>
      <c r="E11" s="44">
        <f t="shared" si="7"/>
        <v>0</v>
      </c>
      <c r="F11" s="44">
        <v>0</v>
      </c>
      <c r="G11" s="44">
        <f t="shared" si="9"/>
        <v>0</v>
      </c>
      <c r="H11" s="44">
        <f t="shared" si="10"/>
        <v>0</v>
      </c>
      <c r="I11" s="44">
        <v>0</v>
      </c>
      <c r="J11" s="44">
        <v>0</v>
      </c>
      <c r="K11" s="76">
        <f t="shared" si="13"/>
        <v>0</v>
      </c>
      <c r="L11" s="33">
        <f t="shared" si="14"/>
        <v>0</v>
      </c>
      <c r="M11" s="111">
        <f t="shared" si="15"/>
        <v>0</v>
      </c>
      <c r="Q11" s="20" t="s">
        <v>43</v>
      </c>
      <c r="R11" s="62">
        <v>0</v>
      </c>
      <c r="S11" s="44">
        <v>0</v>
      </c>
      <c r="T11" s="44">
        <v>0</v>
      </c>
      <c r="U11" s="44">
        <v>0</v>
      </c>
      <c r="V11" s="44" t="s">
        <v>37</v>
      </c>
      <c r="W11" s="67">
        <v>0</v>
      </c>
      <c r="X11" s="44">
        <v>0</v>
      </c>
      <c r="Y11" s="44" t="s">
        <v>37</v>
      </c>
      <c r="Z11" s="44" t="s">
        <v>37</v>
      </c>
      <c r="AA11" s="76">
        <v>0</v>
      </c>
      <c r="AB11" s="56"/>
      <c r="AC11" s="88"/>
    </row>
    <row r="12" spans="1:29" x14ac:dyDescent="0.25">
      <c r="A12" s="20" t="s">
        <v>44</v>
      </c>
      <c r="B12" s="62">
        <f t="shared" si="16"/>
        <v>60.624999999999993</v>
      </c>
      <c r="C12" s="44">
        <f t="shared" si="5"/>
        <v>1.0347567499999999</v>
      </c>
      <c r="D12" s="44">
        <f t="shared" si="6"/>
        <v>70</v>
      </c>
      <c r="E12" s="44">
        <f t="shared" si="7"/>
        <v>0</v>
      </c>
      <c r="F12" s="44">
        <f t="shared" si="8"/>
        <v>4.8</v>
      </c>
      <c r="G12" s="44">
        <f t="shared" si="9"/>
        <v>1.2336705494505495</v>
      </c>
      <c r="H12" s="44">
        <f t="shared" si="10"/>
        <v>63.50287999999999</v>
      </c>
      <c r="I12" s="44">
        <f t="shared" si="11"/>
        <v>14.557468249999998</v>
      </c>
      <c r="J12" s="44">
        <f t="shared" si="12"/>
        <v>7.2291224999999999</v>
      </c>
      <c r="K12" s="76">
        <f t="shared" si="13"/>
        <v>0</v>
      </c>
      <c r="L12" s="33">
        <f t="shared" si="14"/>
        <v>222.98289804945054</v>
      </c>
      <c r="M12" s="111">
        <f t="shared" si="15"/>
        <v>147.16871271263736</v>
      </c>
      <c r="Q12" s="20" t="s">
        <v>44</v>
      </c>
      <c r="R12" s="62">
        <v>25</v>
      </c>
      <c r="S12" s="44">
        <v>1</v>
      </c>
      <c r="T12" s="44">
        <v>140</v>
      </c>
      <c r="U12" s="44">
        <v>0</v>
      </c>
      <c r="V12" s="44">
        <v>2.4</v>
      </c>
      <c r="W12" s="67">
        <v>1.8</v>
      </c>
      <c r="X12" s="44">
        <v>64</v>
      </c>
      <c r="Y12" s="44">
        <v>23.7</v>
      </c>
      <c r="Z12" s="44">
        <v>25.5</v>
      </c>
      <c r="AA12" s="76">
        <v>0</v>
      </c>
      <c r="AB12" s="56"/>
      <c r="AC12" s="88"/>
    </row>
    <row r="13" spans="1:29" x14ac:dyDescent="0.25">
      <c r="A13" s="20" t="s">
        <v>45</v>
      </c>
      <c r="B13" s="62">
        <f t="shared" si="16"/>
        <v>1139.75</v>
      </c>
      <c r="C13" s="44">
        <f t="shared" si="5"/>
        <v>370.44291649999997</v>
      </c>
      <c r="D13" s="44">
        <v>0</v>
      </c>
      <c r="E13" s="44">
        <f t="shared" si="7"/>
        <v>0</v>
      </c>
      <c r="F13" s="44">
        <f t="shared" si="8"/>
        <v>657.6</v>
      </c>
      <c r="G13" s="44">
        <f t="shared" si="9"/>
        <v>133.44203109890111</v>
      </c>
      <c r="H13" s="44">
        <f t="shared" si="10"/>
        <v>206.38435999999996</v>
      </c>
      <c r="I13" s="44">
        <f t="shared" si="11"/>
        <v>102.82363649999999</v>
      </c>
      <c r="J13" s="44">
        <f t="shared" si="12"/>
        <v>93.269854999999993</v>
      </c>
      <c r="K13" s="76">
        <v>0</v>
      </c>
      <c r="L13" s="33">
        <f t="shared" si="14"/>
        <v>2703.7127990989011</v>
      </c>
      <c r="M13" s="111">
        <f t="shared" si="15"/>
        <v>1784.4504474052749</v>
      </c>
      <c r="Q13" s="20" t="s">
        <v>45</v>
      </c>
      <c r="R13" s="62">
        <v>470</v>
      </c>
      <c r="S13" s="44">
        <v>358</v>
      </c>
      <c r="T13" s="44" t="s">
        <v>37</v>
      </c>
      <c r="U13" s="44">
        <v>0</v>
      </c>
      <c r="V13" s="44">
        <v>328.8</v>
      </c>
      <c r="W13" s="67">
        <v>194.7</v>
      </c>
      <c r="X13" s="44">
        <v>208</v>
      </c>
      <c r="Y13" s="44">
        <v>167.4</v>
      </c>
      <c r="Z13" s="44">
        <v>329</v>
      </c>
      <c r="AA13" s="76" t="s">
        <v>37</v>
      </c>
      <c r="AB13" s="56"/>
      <c r="AC13" s="88"/>
    </row>
    <row r="14" spans="1:29" x14ac:dyDescent="0.25">
      <c r="A14" s="20" t="s">
        <v>46</v>
      </c>
      <c r="B14" s="62">
        <f t="shared" si="16"/>
        <v>26.674999999999997</v>
      </c>
      <c r="C14" s="44">
        <f t="shared" si="5"/>
        <v>23.633844169999996</v>
      </c>
      <c r="D14" s="44">
        <f t="shared" si="6"/>
        <v>2.5</v>
      </c>
      <c r="E14" s="44">
        <f t="shared" si="7"/>
        <v>0</v>
      </c>
      <c r="F14" s="44">
        <f t="shared" si="8"/>
        <v>117.6</v>
      </c>
      <c r="G14" s="44">
        <f t="shared" si="9"/>
        <v>17.202850439560443</v>
      </c>
      <c r="H14" s="44">
        <f t="shared" si="10"/>
        <v>2.3813579999999996</v>
      </c>
      <c r="I14" s="44">
        <f t="shared" si="11"/>
        <v>0.67566308333333325</v>
      </c>
      <c r="J14" s="44">
        <f t="shared" si="12"/>
        <v>1.6726205000000001</v>
      </c>
      <c r="K14" s="76">
        <f t="shared" si="13"/>
        <v>31.5</v>
      </c>
      <c r="L14" s="33">
        <f t="shared" si="14"/>
        <v>223.84133619289378</v>
      </c>
      <c r="M14" s="111">
        <f t="shared" si="15"/>
        <v>147.7352818873099</v>
      </c>
      <c r="Q14" s="20" t="s">
        <v>46</v>
      </c>
      <c r="R14" s="62">
        <v>11</v>
      </c>
      <c r="S14" s="44">
        <v>22.84</v>
      </c>
      <c r="T14" s="44">
        <v>5</v>
      </c>
      <c r="U14" s="44">
        <v>0</v>
      </c>
      <c r="V14" s="44">
        <v>58.8</v>
      </c>
      <c r="W14" s="67">
        <v>25.1</v>
      </c>
      <c r="X14" s="44">
        <v>2.4</v>
      </c>
      <c r="Y14" s="44">
        <v>1.1000000000000001</v>
      </c>
      <c r="Z14" s="44">
        <v>5.9</v>
      </c>
      <c r="AA14" s="76">
        <v>21</v>
      </c>
      <c r="AB14" s="56"/>
      <c r="AC14" s="88"/>
    </row>
    <row r="15" spans="1:29" x14ac:dyDescent="0.25">
      <c r="A15" s="20" t="s">
        <v>47</v>
      </c>
      <c r="B15" s="62">
        <v>0</v>
      </c>
      <c r="C15" s="44">
        <f t="shared" si="5"/>
        <v>2.6903675499999999</v>
      </c>
      <c r="D15" s="44">
        <f t="shared" si="6"/>
        <v>0.5</v>
      </c>
      <c r="E15" s="44">
        <f t="shared" si="7"/>
        <v>0</v>
      </c>
      <c r="F15" s="44">
        <f t="shared" si="8"/>
        <v>19.2</v>
      </c>
      <c r="G15" s="44">
        <f t="shared" si="9"/>
        <v>3.0156391208791216</v>
      </c>
      <c r="H15" s="44">
        <f t="shared" si="10"/>
        <v>1.2899022499999999</v>
      </c>
      <c r="I15" s="44">
        <f t="shared" si="11"/>
        <v>0.42996741666666655</v>
      </c>
      <c r="J15" s="44">
        <f t="shared" si="12"/>
        <v>0.68038799999999999</v>
      </c>
      <c r="K15" s="76">
        <f t="shared" si="13"/>
        <v>13.5</v>
      </c>
      <c r="L15" s="33">
        <f t="shared" si="14"/>
        <v>41.306264337545791</v>
      </c>
      <c r="M15" s="111">
        <f t="shared" si="15"/>
        <v>27.262134462780224</v>
      </c>
      <c r="Q15" s="20" t="s">
        <v>105</v>
      </c>
      <c r="R15" s="62" t="s">
        <v>37</v>
      </c>
      <c r="S15" s="44">
        <v>2.6</v>
      </c>
      <c r="T15" s="44">
        <v>1</v>
      </c>
      <c r="U15" s="44">
        <v>0</v>
      </c>
      <c r="V15" s="44">
        <v>9.6</v>
      </c>
      <c r="W15" s="67">
        <v>4.4000000000000004</v>
      </c>
      <c r="X15" s="44">
        <v>1.3</v>
      </c>
      <c r="Y15" s="44">
        <v>0.7</v>
      </c>
      <c r="Z15" s="44">
        <v>2.4</v>
      </c>
      <c r="AA15" s="76">
        <v>9</v>
      </c>
      <c r="AB15" s="56"/>
      <c r="AC15" s="88"/>
    </row>
    <row r="16" spans="1:29" x14ac:dyDescent="0.25">
      <c r="A16" s="20" t="s">
        <v>48</v>
      </c>
      <c r="B16" s="62">
        <f t="shared" si="16"/>
        <v>26.674999999999997</v>
      </c>
      <c r="C16" s="44">
        <f t="shared" si="5"/>
        <v>12.655075052499999</v>
      </c>
      <c r="D16" s="44">
        <f t="shared" si="6"/>
        <v>1</v>
      </c>
      <c r="E16" s="44">
        <f t="shared" si="7"/>
        <v>0</v>
      </c>
      <c r="F16" s="44">
        <v>0</v>
      </c>
      <c r="G16" s="44">
        <f t="shared" si="9"/>
        <v>12.95354076923077</v>
      </c>
      <c r="H16" s="44">
        <f t="shared" si="10"/>
        <v>1.0914557499999999</v>
      </c>
      <c r="I16" s="44">
        <f t="shared" si="11"/>
        <v>6.1423916666666661E-2</v>
      </c>
      <c r="J16" s="44">
        <f t="shared" si="12"/>
        <v>0.42524249999999997</v>
      </c>
      <c r="K16" s="76">
        <f t="shared" si="13"/>
        <v>13.5</v>
      </c>
      <c r="L16" s="33">
        <f t="shared" si="14"/>
        <v>68.361737988397437</v>
      </c>
      <c r="M16" s="111">
        <f t="shared" si="15"/>
        <v>45.118747072342309</v>
      </c>
      <c r="Q16" s="20" t="s">
        <v>48</v>
      </c>
      <c r="R16" s="62">
        <v>11</v>
      </c>
      <c r="S16" s="44">
        <v>12.23</v>
      </c>
      <c r="T16" s="44">
        <v>2</v>
      </c>
      <c r="U16" s="44">
        <v>0</v>
      </c>
      <c r="V16" s="44" t="s">
        <v>37</v>
      </c>
      <c r="W16" s="67">
        <v>18.899999999999999</v>
      </c>
      <c r="X16" s="44">
        <v>1.1000000000000001</v>
      </c>
      <c r="Y16" s="44">
        <v>0.1</v>
      </c>
      <c r="Z16" s="44">
        <v>1.5</v>
      </c>
      <c r="AA16" s="76">
        <v>9</v>
      </c>
      <c r="AB16" s="56"/>
      <c r="AC16" s="88"/>
    </row>
    <row r="17" spans="1:29" x14ac:dyDescent="0.25">
      <c r="A17" s="20" t="s">
        <v>49</v>
      </c>
      <c r="B17" s="62">
        <f t="shared" si="16"/>
        <v>0</v>
      </c>
      <c r="C17" s="44">
        <f t="shared" si="5"/>
        <v>1.1278848575</v>
      </c>
      <c r="D17" s="44">
        <f t="shared" si="6"/>
        <v>3</v>
      </c>
      <c r="E17" s="44">
        <f t="shared" si="7"/>
        <v>0</v>
      </c>
      <c r="F17" s="44">
        <f t="shared" si="8"/>
        <v>18</v>
      </c>
      <c r="G17" s="44">
        <f t="shared" si="9"/>
        <v>0.34268626373626376</v>
      </c>
      <c r="H17" s="44">
        <f t="shared" si="10"/>
        <v>0.59533949999999991</v>
      </c>
      <c r="I17" s="44">
        <f t="shared" si="11"/>
        <v>0.55281524999999987</v>
      </c>
      <c r="J17" s="44">
        <f t="shared" si="12"/>
        <v>0.82213550000000002</v>
      </c>
      <c r="K17" s="76">
        <f t="shared" si="13"/>
        <v>1.5</v>
      </c>
      <c r="L17" s="33">
        <f t="shared" si="14"/>
        <v>25.940861371236267</v>
      </c>
      <c r="M17" s="111">
        <f t="shared" si="15"/>
        <v>17.120968505015938</v>
      </c>
      <c r="Q17" s="20" t="s">
        <v>49</v>
      </c>
      <c r="R17" s="62">
        <v>0</v>
      </c>
      <c r="S17" s="44">
        <v>1.0900000000000001</v>
      </c>
      <c r="T17" s="44">
        <v>6</v>
      </c>
      <c r="U17" s="44">
        <v>0</v>
      </c>
      <c r="V17" s="44">
        <v>9</v>
      </c>
      <c r="W17" s="67">
        <v>0.5</v>
      </c>
      <c r="X17" s="44">
        <v>0.6</v>
      </c>
      <c r="Y17" s="44">
        <v>0.9</v>
      </c>
      <c r="Z17" s="44">
        <v>2.9</v>
      </c>
      <c r="AA17" s="76">
        <v>1</v>
      </c>
      <c r="AB17" s="56"/>
      <c r="AC17" s="88"/>
    </row>
    <row r="18" spans="1:29" x14ac:dyDescent="0.25">
      <c r="A18" s="20"/>
      <c r="B18" s="169"/>
      <c r="C18" s="170"/>
      <c r="D18" s="170"/>
      <c r="E18" s="170"/>
      <c r="F18" s="170"/>
      <c r="G18" s="170"/>
      <c r="H18" s="170"/>
      <c r="I18" s="170"/>
      <c r="J18" s="170"/>
      <c r="K18" s="171"/>
      <c r="L18" s="41"/>
      <c r="M18" s="111"/>
      <c r="Q18" s="20"/>
      <c r="R18" s="166"/>
      <c r="S18" s="167"/>
      <c r="T18" s="167"/>
      <c r="U18" s="167"/>
      <c r="V18" s="167"/>
      <c r="W18" s="167"/>
      <c r="X18" s="167"/>
      <c r="Y18" s="167"/>
      <c r="Z18" s="167"/>
      <c r="AA18" s="168"/>
      <c r="AB18" s="57"/>
      <c r="AC18" s="88"/>
    </row>
    <row r="19" spans="1:29" x14ac:dyDescent="0.25">
      <c r="A19" s="20" t="s">
        <v>50</v>
      </c>
      <c r="B19" s="62">
        <v>0</v>
      </c>
      <c r="C19" s="44">
        <f t="shared" ref="C19:K19" si="17">C$3*S19</f>
        <v>7.3582702222222213E-2</v>
      </c>
      <c r="D19" s="44">
        <f t="shared" si="17"/>
        <v>17.5</v>
      </c>
      <c r="E19" s="44">
        <f t="shared" si="17"/>
        <v>100</v>
      </c>
      <c r="F19" s="44">
        <f t="shared" si="17"/>
        <v>2</v>
      </c>
      <c r="G19" s="44">
        <f t="shared" si="17"/>
        <v>0.68537252747252753</v>
      </c>
      <c r="H19" s="44">
        <f t="shared" si="17"/>
        <v>1.9844649999999997</v>
      </c>
      <c r="I19" s="44">
        <f t="shared" si="17"/>
        <v>9.8278266666666649</v>
      </c>
      <c r="J19" s="44">
        <f t="shared" si="17"/>
        <v>10.77281</v>
      </c>
      <c r="K19" s="76">
        <f t="shared" si="17"/>
        <v>3</v>
      </c>
      <c r="L19" s="33">
        <f>SUM(B19:K19)</f>
        <v>145.84405689636139</v>
      </c>
      <c r="M19" s="111">
        <f t="shared" si="15"/>
        <v>96.257077551598528</v>
      </c>
      <c r="Q19" s="20" t="s">
        <v>50</v>
      </c>
      <c r="R19" s="62" t="s">
        <v>37</v>
      </c>
      <c r="S19" s="84">
        <f>64/900</f>
        <v>7.1111111111111111E-2</v>
      </c>
      <c r="T19" s="44">
        <v>35</v>
      </c>
      <c r="U19" s="44">
        <v>100</v>
      </c>
      <c r="V19" s="44">
        <v>1</v>
      </c>
      <c r="W19" s="67">
        <v>1</v>
      </c>
      <c r="X19" s="44">
        <v>2</v>
      </c>
      <c r="Y19" s="44">
        <v>16</v>
      </c>
      <c r="Z19" s="44">
        <v>38</v>
      </c>
      <c r="AA19" s="76">
        <v>2</v>
      </c>
      <c r="AB19" s="56"/>
      <c r="AC19" s="88"/>
    </row>
    <row r="20" spans="1:29" x14ac:dyDescent="0.25">
      <c r="A20" s="20" t="s">
        <v>51</v>
      </c>
      <c r="B20" s="62">
        <f t="shared" ref="B20:B36" si="18">B$3*R20</f>
        <v>242.49999999999997</v>
      </c>
      <c r="C20" s="44">
        <f t="shared" ref="C20:C37" si="19">C$3*S20</f>
        <v>0.10347567499999999</v>
      </c>
      <c r="D20" s="44">
        <f t="shared" ref="D20:D37" si="20">D$3*T20</f>
        <v>5</v>
      </c>
      <c r="E20" s="44">
        <f t="shared" ref="E20:E37" si="21">E$3*U20</f>
        <v>100</v>
      </c>
      <c r="F20" s="44">
        <f t="shared" ref="F20:F37" si="22">F$3*V20</f>
        <v>0</v>
      </c>
      <c r="G20" s="44">
        <f t="shared" ref="G20:G36" si="23">G$3*W20</f>
        <v>9.5952153846153863</v>
      </c>
      <c r="H20" s="44">
        <f t="shared" ref="H20:H37" si="24">H$3*X20</f>
        <v>4.9611624999999995</v>
      </c>
      <c r="I20" s="44">
        <f t="shared" ref="I20:I37" si="25">I$3*Y20</f>
        <v>9.2135874999999992</v>
      </c>
      <c r="J20" s="44">
        <f t="shared" ref="J20:J37" si="26">J$3*Z20</f>
        <v>37.988329999999998</v>
      </c>
      <c r="K20" s="76">
        <f t="shared" ref="K20:K22" si="27">K$3*AA20</f>
        <v>3</v>
      </c>
      <c r="L20" s="33">
        <f t="shared" ref="L20:L37" si="28">SUM(B20:K20)</f>
        <v>412.36177105961542</v>
      </c>
      <c r="M20" s="111">
        <f t="shared" si="15"/>
        <v>272.15876889934617</v>
      </c>
      <c r="Q20" s="20" t="s">
        <v>51</v>
      </c>
      <c r="R20" s="62">
        <v>100</v>
      </c>
      <c r="S20" s="81">
        <v>0.1</v>
      </c>
      <c r="T20" s="44">
        <v>10</v>
      </c>
      <c r="U20" s="44">
        <v>100</v>
      </c>
      <c r="V20" s="44">
        <v>0</v>
      </c>
      <c r="W20" s="67">
        <v>14</v>
      </c>
      <c r="X20" s="44">
        <v>5</v>
      </c>
      <c r="Y20" s="44">
        <v>15</v>
      </c>
      <c r="Z20" s="44">
        <v>134</v>
      </c>
      <c r="AA20" s="76">
        <v>2</v>
      </c>
      <c r="AB20" s="56"/>
      <c r="AC20" s="88"/>
    </row>
    <row r="21" spans="1:29" x14ac:dyDescent="0.25">
      <c r="A21" s="20" t="s">
        <v>52</v>
      </c>
      <c r="B21" s="62">
        <f t="shared" si="18"/>
        <v>9.6999999999999993</v>
      </c>
      <c r="C21" s="44">
        <f t="shared" si="19"/>
        <v>5.17378375E-3</v>
      </c>
      <c r="D21" s="44">
        <f t="shared" si="20"/>
        <v>3</v>
      </c>
      <c r="E21" s="44">
        <v>0</v>
      </c>
      <c r="F21" s="44">
        <f t="shared" si="22"/>
        <v>6</v>
      </c>
      <c r="G21" s="44">
        <f t="shared" si="23"/>
        <v>1.3707450549450551</v>
      </c>
      <c r="H21" s="44">
        <f t="shared" si="24"/>
        <v>3.9689299999999994</v>
      </c>
      <c r="I21" s="44">
        <f t="shared" si="25"/>
        <v>1.8427174999999996</v>
      </c>
      <c r="J21" s="44">
        <f t="shared" si="26"/>
        <v>3.1184449999999999</v>
      </c>
      <c r="K21" s="76">
        <f t="shared" si="27"/>
        <v>6</v>
      </c>
      <c r="L21" s="33">
        <f t="shared" si="28"/>
        <v>35.006011338695053</v>
      </c>
      <c r="M21" s="111">
        <f t="shared" si="15"/>
        <v>23.103967483538735</v>
      </c>
      <c r="Q21" s="20" t="s">
        <v>52</v>
      </c>
      <c r="R21" s="62">
        <v>4</v>
      </c>
      <c r="S21" s="84">
        <f>5/1000</f>
        <v>5.0000000000000001E-3</v>
      </c>
      <c r="T21" s="44">
        <v>6</v>
      </c>
      <c r="U21" s="44" t="s">
        <v>37</v>
      </c>
      <c r="V21" s="44">
        <v>3</v>
      </c>
      <c r="W21" s="67">
        <v>2</v>
      </c>
      <c r="X21" s="44">
        <v>4</v>
      </c>
      <c r="Y21" s="44">
        <v>3</v>
      </c>
      <c r="Z21" s="44">
        <v>11</v>
      </c>
      <c r="AA21" s="76">
        <v>4</v>
      </c>
      <c r="AB21" s="56"/>
      <c r="AC21" s="88"/>
    </row>
    <row r="22" spans="1:29" x14ac:dyDescent="0.25">
      <c r="A22" s="20" t="s">
        <v>53</v>
      </c>
      <c r="B22" s="62">
        <v>0</v>
      </c>
      <c r="C22" s="44">
        <f t="shared" si="19"/>
        <v>2.0695134999999998</v>
      </c>
      <c r="D22" s="44">
        <f t="shared" si="20"/>
        <v>3</v>
      </c>
      <c r="E22" s="44">
        <v>0</v>
      </c>
      <c r="F22" s="44">
        <f t="shared" si="22"/>
        <v>60</v>
      </c>
      <c r="G22" s="44">
        <f t="shared" si="23"/>
        <v>2.0561175824175826</v>
      </c>
      <c r="H22" s="44">
        <f t="shared" si="24"/>
        <v>2.9766974999999993</v>
      </c>
      <c r="I22" s="44">
        <f t="shared" si="25"/>
        <v>6.7566308333333325</v>
      </c>
      <c r="J22" s="44">
        <f t="shared" si="26"/>
        <v>3.685435</v>
      </c>
      <c r="K22" s="76">
        <f t="shared" si="27"/>
        <v>6</v>
      </c>
      <c r="L22" s="33">
        <f t="shared" si="28"/>
        <v>86.544394415750915</v>
      </c>
      <c r="M22" s="111">
        <f t="shared" si="15"/>
        <v>57.119300314395609</v>
      </c>
      <c r="Q22" s="20" t="s">
        <v>53</v>
      </c>
      <c r="R22" s="62" t="s">
        <v>37</v>
      </c>
      <c r="S22" s="44">
        <v>2</v>
      </c>
      <c r="T22" s="44">
        <v>6</v>
      </c>
      <c r="U22" s="44" t="s">
        <v>37</v>
      </c>
      <c r="V22" s="44">
        <v>30</v>
      </c>
      <c r="W22" s="67">
        <v>3</v>
      </c>
      <c r="X22" s="44">
        <v>3</v>
      </c>
      <c r="Y22" s="44">
        <v>11</v>
      </c>
      <c r="Z22" s="44">
        <v>13</v>
      </c>
      <c r="AA22" s="76">
        <v>4</v>
      </c>
      <c r="AB22" s="56"/>
      <c r="AC22" s="88"/>
    </row>
    <row r="23" spans="1:29" x14ac:dyDescent="0.25">
      <c r="A23" s="20" t="s">
        <v>54</v>
      </c>
      <c r="B23" s="62">
        <v>0</v>
      </c>
      <c r="C23" s="44">
        <f t="shared" si="19"/>
        <v>0</v>
      </c>
      <c r="D23" s="44">
        <f t="shared" si="20"/>
        <v>17.5</v>
      </c>
      <c r="E23" s="44">
        <f t="shared" si="21"/>
        <v>100</v>
      </c>
      <c r="F23" s="44">
        <f t="shared" si="22"/>
        <v>0</v>
      </c>
      <c r="G23" s="44">
        <v>0</v>
      </c>
      <c r="H23" s="44">
        <v>0</v>
      </c>
      <c r="I23" s="44">
        <f t="shared" si="25"/>
        <v>0</v>
      </c>
      <c r="J23" s="44">
        <f t="shared" si="26"/>
        <v>0</v>
      </c>
      <c r="K23" s="76">
        <v>0</v>
      </c>
      <c r="L23" s="33">
        <f t="shared" si="28"/>
        <v>117.5</v>
      </c>
      <c r="M23" s="111">
        <f t="shared" si="15"/>
        <v>77.55</v>
      </c>
      <c r="Q23" s="20" t="s">
        <v>54</v>
      </c>
      <c r="R23" s="62" t="s">
        <v>37</v>
      </c>
      <c r="S23" s="44">
        <v>0</v>
      </c>
      <c r="T23" s="44">
        <v>35</v>
      </c>
      <c r="U23" s="44">
        <v>100</v>
      </c>
      <c r="V23" s="44">
        <v>0</v>
      </c>
      <c r="W23" s="67" t="s">
        <v>37</v>
      </c>
      <c r="X23" s="44" t="s">
        <v>37</v>
      </c>
      <c r="Y23" s="44">
        <v>0</v>
      </c>
      <c r="Z23" s="44">
        <v>0</v>
      </c>
      <c r="AA23" s="76" t="s">
        <v>37</v>
      </c>
      <c r="AB23" s="56"/>
      <c r="AC23" s="88"/>
    </row>
    <row r="24" spans="1:29" x14ac:dyDescent="0.25">
      <c r="A24" s="20" t="s">
        <v>55</v>
      </c>
      <c r="B24" s="62">
        <v>0</v>
      </c>
      <c r="C24" s="44">
        <f t="shared" si="19"/>
        <v>1.3796756666666667E-2</v>
      </c>
      <c r="D24" s="44">
        <f t="shared" si="20"/>
        <v>17.5</v>
      </c>
      <c r="E24" s="44">
        <f t="shared" si="21"/>
        <v>100</v>
      </c>
      <c r="F24" s="44">
        <f t="shared" si="22"/>
        <v>10</v>
      </c>
      <c r="G24" s="44">
        <f t="shared" si="23"/>
        <v>2.0561175824175826</v>
      </c>
      <c r="H24" s="44">
        <f t="shared" si="24"/>
        <v>1.9844649999999997</v>
      </c>
      <c r="I24" s="44">
        <f t="shared" si="25"/>
        <v>3.0711958333333329</v>
      </c>
      <c r="J24" s="44">
        <f t="shared" si="26"/>
        <v>1.9844649999999999</v>
      </c>
      <c r="K24" s="76">
        <v>0</v>
      </c>
      <c r="L24" s="33">
        <f t="shared" si="28"/>
        <v>136.61004017241757</v>
      </c>
      <c r="M24" s="111">
        <f t="shared" si="15"/>
        <v>90.162626513795601</v>
      </c>
      <c r="Q24" s="20" t="s">
        <v>55</v>
      </c>
      <c r="R24" s="62" t="s">
        <v>37</v>
      </c>
      <c r="S24" s="84">
        <f>0.2/15</f>
        <v>1.3333333333333334E-2</v>
      </c>
      <c r="T24" s="44">
        <v>35</v>
      </c>
      <c r="U24" s="44">
        <v>100</v>
      </c>
      <c r="V24" s="44">
        <v>5</v>
      </c>
      <c r="W24" s="67">
        <v>3</v>
      </c>
      <c r="X24" s="44">
        <v>2</v>
      </c>
      <c r="Y24" s="44">
        <v>5</v>
      </c>
      <c r="Z24" s="44">
        <v>7</v>
      </c>
      <c r="AA24" s="76" t="s">
        <v>37</v>
      </c>
      <c r="AB24" s="56"/>
      <c r="AC24" s="88"/>
    </row>
    <row r="25" spans="1:29" x14ac:dyDescent="0.25">
      <c r="A25" s="20" t="s">
        <v>56</v>
      </c>
      <c r="B25" s="62">
        <v>0</v>
      </c>
      <c r="C25" s="44">
        <f t="shared" si="19"/>
        <v>4.3114864583333329E-3</v>
      </c>
      <c r="D25" s="44">
        <f t="shared" si="20"/>
        <v>17.5</v>
      </c>
      <c r="E25" s="44">
        <f t="shared" si="21"/>
        <v>75</v>
      </c>
      <c r="F25" s="44">
        <f t="shared" si="22"/>
        <v>6</v>
      </c>
      <c r="G25" s="44">
        <f t="shared" si="23"/>
        <v>2.7414901098901101</v>
      </c>
      <c r="H25" s="44">
        <f t="shared" si="24"/>
        <v>19.844649999999998</v>
      </c>
      <c r="I25" s="44">
        <f t="shared" si="25"/>
        <v>74.322939166666657</v>
      </c>
      <c r="J25" s="44">
        <f t="shared" si="26"/>
        <v>111.69703</v>
      </c>
      <c r="K25" s="76">
        <v>0</v>
      </c>
      <c r="L25" s="33">
        <f t="shared" si="28"/>
        <v>307.1104207630151</v>
      </c>
      <c r="M25" s="111">
        <f t="shared" si="15"/>
        <v>202.69287770358997</v>
      </c>
      <c r="Q25" s="20" t="s">
        <v>56</v>
      </c>
      <c r="R25" s="62" t="s">
        <v>37</v>
      </c>
      <c r="S25" s="84">
        <f>0.5/120</f>
        <v>4.1666666666666666E-3</v>
      </c>
      <c r="T25" s="44">
        <v>35</v>
      </c>
      <c r="U25" s="44">
        <v>75</v>
      </c>
      <c r="V25" s="44">
        <v>3</v>
      </c>
      <c r="W25" s="67">
        <v>4</v>
      </c>
      <c r="X25" s="44">
        <v>20</v>
      </c>
      <c r="Y25" s="44">
        <v>121</v>
      </c>
      <c r="Z25" s="44">
        <v>394</v>
      </c>
      <c r="AA25" s="76" t="s">
        <v>37</v>
      </c>
      <c r="AB25" s="56"/>
      <c r="AC25" s="88"/>
    </row>
    <row r="26" spans="1:29" x14ac:dyDescent="0.25">
      <c r="A26" s="20" t="s">
        <v>57</v>
      </c>
      <c r="B26" s="62">
        <v>0</v>
      </c>
      <c r="C26" s="44">
        <f t="shared" si="19"/>
        <v>3.1042702499999999</v>
      </c>
      <c r="D26" s="44">
        <f t="shared" si="20"/>
        <v>50</v>
      </c>
      <c r="E26" s="44">
        <f t="shared" si="21"/>
        <v>50</v>
      </c>
      <c r="F26" s="44">
        <f t="shared" si="22"/>
        <v>32</v>
      </c>
      <c r="G26" s="44">
        <f t="shared" si="23"/>
        <v>2.0561175824175826</v>
      </c>
      <c r="H26" s="44">
        <f t="shared" si="24"/>
        <v>1.9844649999999997</v>
      </c>
      <c r="I26" s="44">
        <f t="shared" si="25"/>
        <v>1.2284783333333331</v>
      </c>
      <c r="J26" s="44">
        <f t="shared" si="26"/>
        <v>2.5514549999999998</v>
      </c>
      <c r="K26" s="76">
        <v>0</v>
      </c>
      <c r="L26" s="33">
        <f t="shared" si="28"/>
        <v>142.92478616575093</v>
      </c>
      <c r="M26" s="111">
        <f t="shared" si="15"/>
        <v>94.330358869395624</v>
      </c>
      <c r="Q26" s="20" t="s">
        <v>57</v>
      </c>
      <c r="R26" s="62" t="s">
        <v>37</v>
      </c>
      <c r="S26" s="44">
        <v>3</v>
      </c>
      <c r="T26" s="44">
        <v>100</v>
      </c>
      <c r="U26" s="44">
        <v>50</v>
      </c>
      <c r="V26" s="44">
        <v>16</v>
      </c>
      <c r="W26" s="67">
        <v>3</v>
      </c>
      <c r="X26" s="44">
        <v>2</v>
      </c>
      <c r="Y26" s="44">
        <v>2</v>
      </c>
      <c r="Z26" s="44">
        <v>9</v>
      </c>
      <c r="AA26" s="76" t="s">
        <v>37</v>
      </c>
      <c r="AB26" s="56"/>
      <c r="AC26" s="88"/>
    </row>
    <row r="27" spans="1:29" x14ac:dyDescent="0.25">
      <c r="A27" s="20" t="s">
        <v>58</v>
      </c>
      <c r="B27" s="62">
        <v>0</v>
      </c>
      <c r="C27" s="44">
        <f t="shared" si="19"/>
        <v>6.2085404999999998</v>
      </c>
      <c r="D27" s="44">
        <f t="shared" si="20"/>
        <v>50</v>
      </c>
      <c r="E27" s="44">
        <f t="shared" si="21"/>
        <v>50</v>
      </c>
      <c r="F27" s="44">
        <f t="shared" si="22"/>
        <v>14</v>
      </c>
      <c r="G27" s="44">
        <f t="shared" si="23"/>
        <v>2.7414901098901101</v>
      </c>
      <c r="H27" s="44">
        <f t="shared" si="24"/>
        <v>2.9766974999999993</v>
      </c>
      <c r="I27" s="44">
        <f t="shared" si="25"/>
        <v>2.4569566666666662</v>
      </c>
      <c r="J27" s="44">
        <f t="shared" si="26"/>
        <v>1.7009699999999999</v>
      </c>
      <c r="K27" s="76">
        <v>0</v>
      </c>
      <c r="L27" s="33">
        <f t="shared" si="28"/>
        <v>130.08465477655679</v>
      </c>
      <c r="M27" s="111">
        <f t="shared" si="15"/>
        <v>85.855872152527482</v>
      </c>
      <c r="Q27" s="20" t="s">
        <v>58</v>
      </c>
      <c r="R27" s="62" t="s">
        <v>37</v>
      </c>
      <c r="S27" s="44">
        <v>6</v>
      </c>
      <c r="T27" s="44">
        <v>100</v>
      </c>
      <c r="U27" s="44">
        <v>50</v>
      </c>
      <c r="V27" s="44">
        <v>7</v>
      </c>
      <c r="W27" s="67">
        <v>4</v>
      </c>
      <c r="X27" s="44">
        <v>3</v>
      </c>
      <c r="Y27" s="44">
        <v>4</v>
      </c>
      <c r="Z27" s="44">
        <v>6</v>
      </c>
      <c r="AA27" s="76" t="s">
        <v>37</v>
      </c>
      <c r="AB27" s="56"/>
      <c r="AC27" s="88"/>
    </row>
    <row r="28" spans="1:29" x14ac:dyDescent="0.25">
      <c r="A28" s="20" t="s">
        <v>59</v>
      </c>
      <c r="B28" s="62">
        <v>0</v>
      </c>
      <c r="C28" s="44">
        <f t="shared" si="19"/>
        <v>4.1390269999999996</v>
      </c>
      <c r="D28" s="44">
        <f t="shared" si="20"/>
        <v>15</v>
      </c>
      <c r="E28" s="44">
        <f t="shared" si="21"/>
        <v>25</v>
      </c>
      <c r="F28" s="44">
        <f t="shared" si="22"/>
        <v>30</v>
      </c>
      <c r="G28" s="44">
        <f t="shared" si="23"/>
        <v>0.68537252747252753</v>
      </c>
      <c r="H28" s="44">
        <f t="shared" si="24"/>
        <v>1.9844649999999997</v>
      </c>
      <c r="I28" s="44">
        <f t="shared" si="25"/>
        <v>1.2284783333333331</v>
      </c>
      <c r="J28" s="44">
        <f t="shared" si="26"/>
        <v>1.13398</v>
      </c>
      <c r="K28" s="76">
        <v>0</v>
      </c>
      <c r="L28" s="33">
        <f t="shared" si="28"/>
        <v>79.171322860805844</v>
      </c>
      <c r="M28" s="111">
        <f t="shared" si="15"/>
        <v>52.253073088131863</v>
      </c>
      <c r="Q28" s="20" t="s">
        <v>59</v>
      </c>
      <c r="R28" s="62" t="s">
        <v>37</v>
      </c>
      <c r="S28" s="44">
        <v>4</v>
      </c>
      <c r="T28" s="44">
        <v>30</v>
      </c>
      <c r="U28" s="44">
        <v>25</v>
      </c>
      <c r="V28" s="44">
        <v>15</v>
      </c>
      <c r="W28" s="67">
        <v>1</v>
      </c>
      <c r="X28" s="68">
        <v>2</v>
      </c>
      <c r="Y28" s="44">
        <v>2</v>
      </c>
      <c r="Z28" s="44">
        <v>4</v>
      </c>
      <c r="AA28" s="76" t="s">
        <v>37</v>
      </c>
      <c r="AB28" s="56"/>
      <c r="AC28" s="88"/>
    </row>
    <row r="29" spans="1:29" x14ac:dyDescent="0.25">
      <c r="A29" s="20" t="s">
        <v>60</v>
      </c>
      <c r="B29" s="62">
        <v>0</v>
      </c>
      <c r="C29" s="44">
        <f t="shared" si="19"/>
        <v>32.077459249999997</v>
      </c>
      <c r="D29" s="44">
        <f t="shared" si="20"/>
        <v>50</v>
      </c>
      <c r="E29" s="44">
        <f t="shared" si="21"/>
        <v>50</v>
      </c>
      <c r="F29" s="44">
        <f t="shared" si="22"/>
        <v>30</v>
      </c>
      <c r="G29" s="44">
        <f t="shared" si="23"/>
        <v>4.1122351648351652</v>
      </c>
      <c r="H29" s="44">
        <f t="shared" si="24"/>
        <v>4.9611624999999995</v>
      </c>
      <c r="I29" s="44">
        <f t="shared" si="25"/>
        <v>3.0711958333333329</v>
      </c>
      <c r="J29" s="44">
        <f t="shared" si="26"/>
        <v>3.9689299999999998</v>
      </c>
      <c r="K29" s="76">
        <v>0</v>
      </c>
      <c r="L29" s="33">
        <f t="shared" si="28"/>
        <v>178.19098274816849</v>
      </c>
      <c r="M29" s="111">
        <f t="shared" si="15"/>
        <v>117.60604861379122</v>
      </c>
      <c r="Q29" s="20" t="s">
        <v>60</v>
      </c>
      <c r="R29" s="62" t="s">
        <v>37</v>
      </c>
      <c r="S29" s="44">
        <v>31</v>
      </c>
      <c r="T29" s="44">
        <v>100</v>
      </c>
      <c r="U29" s="44">
        <v>50</v>
      </c>
      <c r="V29" s="44">
        <v>15</v>
      </c>
      <c r="W29" s="67">
        <v>6</v>
      </c>
      <c r="X29" s="44">
        <v>5</v>
      </c>
      <c r="Y29" s="44">
        <v>5</v>
      </c>
      <c r="Z29" s="44">
        <v>14</v>
      </c>
      <c r="AA29" s="76" t="s">
        <v>37</v>
      </c>
      <c r="AB29" s="56"/>
      <c r="AC29" s="88"/>
    </row>
    <row r="30" spans="1:29" x14ac:dyDescent="0.25">
      <c r="A30" s="20" t="s">
        <v>61</v>
      </c>
      <c r="B30" s="62">
        <v>0</v>
      </c>
      <c r="C30" s="44">
        <f t="shared" si="19"/>
        <v>5.1737837499999992</v>
      </c>
      <c r="D30" s="44">
        <f t="shared" si="20"/>
        <v>22.5</v>
      </c>
      <c r="E30" s="44">
        <f t="shared" si="21"/>
        <v>50</v>
      </c>
      <c r="F30" s="44">
        <f t="shared" si="22"/>
        <v>12</v>
      </c>
      <c r="G30" s="44">
        <f t="shared" si="23"/>
        <v>1.3707450549450551</v>
      </c>
      <c r="H30" s="44">
        <f t="shared" si="24"/>
        <v>7.9378599999999988</v>
      </c>
      <c r="I30" s="44">
        <f t="shared" si="25"/>
        <v>9.2135874999999992</v>
      </c>
      <c r="J30" s="44">
        <v>0</v>
      </c>
      <c r="K30" s="76">
        <v>0</v>
      </c>
      <c r="L30" s="33">
        <f t="shared" si="28"/>
        <v>108.19597630494506</v>
      </c>
      <c r="M30" s="111">
        <f t="shared" si="15"/>
        <v>71.409344361263749</v>
      </c>
      <c r="Q30" s="20" t="s">
        <v>61</v>
      </c>
      <c r="R30" s="62" t="s">
        <v>37</v>
      </c>
      <c r="S30" s="44">
        <v>5</v>
      </c>
      <c r="T30" s="44">
        <v>45</v>
      </c>
      <c r="U30" s="44">
        <v>50</v>
      </c>
      <c r="V30" s="44">
        <v>6</v>
      </c>
      <c r="W30" s="67">
        <v>2</v>
      </c>
      <c r="X30" s="44">
        <v>8</v>
      </c>
      <c r="Y30" s="44">
        <v>15</v>
      </c>
      <c r="Z30" s="44" t="s">
        <v>37</v>
      </c>
      <c r="AA30" s="76" t="s">
        <v>37</v>
      </c>
      <c r="AB30" s="56"/>
      <c r="AC30" s="88"/>
    </row>
    <row r="31" spans="1:29" x14ac:dyDescent="0.25">
      <c r="A31" s="20" t="s">
        <v>62</v>
      </c>
      <c r="B31" s="62">
        <v>0</v>
      </c>
      <c r="C31" s="44">
        <f t="shared" si="19"/>
        <v>0</v>
      </c>
      <c r="D31" s="44">
        <f t="shared" si="20"/>
        <v>50</v>
      </c>
      <c r="E31" s="44">
        <f t="shared" si="21"/>
        <v>100</v>
      </c>
      <c r="F31" s="44">
        <f t="shared" si="22"/>
        <v>0</v>
      </c>
      <c r="G31" s="44">
        <v>0</v>
      </c>
      <c r="H31" s="44">
        <v>0</v>
      </c>
      <c r="I31" s="44">
        <v>0</v>
      </c>
      <c r="J31" s="44">
        <f t="shared" si="26"/>
        <v>0</v>
      </c>
      <c r="K31" s="76">
        <v>0</v>
      </c>
      <c r="L31" s="33">
        <f t="shared" si="28"/>
        <v>150</v>
      </c>
      <c r="M31" s="111">
        <f t="shared" si="15"/>
        <v>99</v>
      </c>
      <c r="Q31" s="20" t="s">
        <v>62</v>
      </c>
      <c r="R31" s="62" t="s">
        <v>37</v>
      </c>
      <c r="S31" s="44"/>
      <c r="T31" s="44">
        <v>100</v>
      </c>
      <c r="U31" s="44">
        <v>100</v>
      </c>
      <c r="V31" s="44">
        <v>0</v>
      </c>
      <c r="W31" s="67" t="s">
        <v>37</v>
      </c>
      <c r="X31" s="44" t="s">
        <v>37</v>
      </c>
      <c r="Y31" s="44" t="s">
        <v>37</v>
      </c>
      <c r="Z31" s="44">
        <v>0</v>
      </c>
      <c r="AA31" s="76" t="s">
        <v>37</v>
      </c>
      <c r="AB31" s="56"/>
      <c r="AC31" s="88"/>
    </row>
    <row r="32" spans="1:29" x14ac:dyDescent="0.25">
      <c r="A32" s="20" t="s">
        <v>63</v>
      </c>
      <c r="B32" s="62">
        <v>0</v>
      </c>
      <c r="C32" s="44">
        <v>0</v>
      </c>
      <c r="D32" s="44">
        <f t="shared" si="20"/>
        <v>17.5</v>
      </c>
      <c r="E32" s="44">
        <f t="shared" si="21"/>
        <v>100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76">
        <v>0</v>
      </c>
      <c r="L32" s="33">
        <f t="shared" si="28"/>
        <v>117.5</v>
      </c>
      <c r="M32" s="111">
        <f t="shared" si="15"/>
        <v>77.55</v>
      </c>
      <c r="Q32" s="20" t="s">
        <v>63</v>
      </c>
      <c r="R32" s="62" t="s">
        <v>37</v>
      </c>
      <c r="S32" s="44" t="s">
        <v>37</v>
      </c>
      <c r="T32" s="44">
        <v>35</v>
      </c>
      <c r="U32" s="44">
        <v>100</v>
      </c>
      <c r="V32" s="44" t="s">
        <v>37</v>
      </c>
      <c r="W32" s="67" t="s">
        <v>37</v>
      </c>
      <c r="X32" s="44" t="s">
        <v>37</v>
      </c>
      <c r="Y32" s="44" t="s">
        <v>37</v>
      </c>
      <c r="Z32" s="44" t="s">
        <v>37</v>
      </c>
      <c r="AA32" s="76" t="s">
        <v>37</v>
      </c>
      <c r="AB32" s="56"/>
      <c r="AC32" s="88"/>
    </row>
    <row r="33" spans="1:29" x14ac:dyDescent="0.25">
      <c r="A33" s="20" t="s">
        <v>64</v>
      </c>
      <c r="B33" s="62">
        <v>0</v>
      </c>
      <c r="C33" s="44">
        <f t="shared" si="19"/>
        <v>0.26585288807692303</v>
      </c>
      <c r="D33" s="44">
        <f t="shared" si="20"/>
        <v>17.5</v>
      </c>
      <c r="E33" s="44">
        <f t="shared" si="21"/>
        <v>50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76">
        <v>0</v>
      </c>
      <c r="L33" s="33">
        <f t="shared" si="28"/>
        <v>67.765852888076921</v>
      </c>
      <c r="M33" s="111">
        <f t="shared" si="15"/>
        <v>44.725462906130772</v>
      </c>
      <c r="Q33" s="20" t="s">
        <v>64</v>
      </c>
      <c r="R33" s="62" t="s">
        <v>37</v>
      </c>
      <c r="S33" s="84">
        <f>0.334/1.3</f>
        <v>0.25692307692307692</v>
      </c>
      <c r="T33" s="44">
        <v>35</v>
      </c>
      <c r="U33" s="44">
        <v>50</v>
      </c>
      <c r="V33" s="44" t="s">
        <v>37</v>
      </c>
      <c r="W33" s="67" t="s">
        <v>37</v>
      </c>
      <c r="X33" s="44" t="s">
        <v>37</v>
      </c>
      <c r="Y33" s="44" t="s">
        <v>37</v>
      </c>
      <c r="Z33" s="44" t="s">
        <v>37</v>
      </c>
      <c r="AA33" s="76" t="s">
        <v>37</v>
      </c>
      <c r="AB33" s="56"/>
      <c r="AC33" s="88"/>
    </row>
    <row r="34" spans="1:29" x14ac:dyDescent="0.25">
      <c r="A34" s="20" t="s">
        <v>65</v>
      </c>
      <c r="B34" s="62">
        <f t="shared" si="18"/>
        <v>4.8499999999999996</v>
      </c>
      <c r="C34" s="44">
        <f t="shared" si="19"/>
        <v>3.1042702499999999</v>
      </c>
      <c r="D34" s="44">
        <f t="shared" si="20"/>
        <v>0</v>
      </c>
      <c r="E34" s="44">
        <f t="shared" si="21"/>
        <v>10</v>
      </c>
      <c r="F34" s="44">
        <f t="shared" si="22"/>
        <v>56</v>
      </c>
      <c r="G34" s="44">
        <f t="shared" si="23"/>
        <v>2.0561175824175826</v>
      </c>
      <c r="H34" s="44">
        <f t="shared" si="24"/>
        <v>1.9844649999999997</v>
      </c>
      <c r="I34" s="44">
        <f t="shared" si="25"/>
        <v>1.2284783333333331</v>
      </c>
      <c r="J34" s="44">
        <f t="shared" si="26"/>
        <v>1.9844649999999999</v>
      </c>
      <c r="K34" s="76">
        <v>0</v>
      </c>
      <c r="L34" s="33">
        <f t="shared" si="28"/>
        <v>81.207796165750921</v>
      </c>
      <c r="M34" s="111">
        <f t="shared" si="15"/>
        <v>53.597145469395613</v>
      </c>
      <c r="Q34" s="20" t="s">
        <v>65</v>
      </c>
      <c r="R34" s="62">
        <v>2</v>
      </c>
      <c r="S34" s="44">
        <v>3</v>
      </c>
      <c r="T34" s="44">
        <v>0</v>
      </c>
      <c r="U34" s="44">
        <v>10</v>
      </c>
      <c r="V34" s="44">
        <v>28</v>
      </c>
      <c r="W34" s="67">
        <v>3</v>
      </c>
      <c r="X34" s="44">
        <v>2</v>
      </c>
      <c r="Y34" s="44">
        <v>2</v>
      </c>
      <c r="Z34" s="44">
        <v>7</v>
      </c>
      <c r="AA34" s="76" t="s">
        <v>37</v>
      </c>
      <c r="AB34" s="56"/>
      <c r="AC34" s="88"/>
    </row>
    <row r="35" spans="1:29" x14ac:dyDescent="0.25">
      <c r="A35" s="20" t="s">
        <v>66</v>
      </c>
      <c r="B35" s="62">
        <v>0</v>
      </c>
      <c r="C35" s="44">
        <v>0</v>
      </c>
      <c r="D35" s="44">
        <f t="shared" si="20"/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76">
        <v>0</v>
      </c>
      <c r="L35" s="33">
        <f t="shared" si="28"/>
        <v>0</v>
      </c>
      <c r="M35" s="111">
        <f t="shared" si="15"/>
        <v>0</v>
      </c>
      <c r="Q35" s="20" t="s">
        <v>66</v>
      </c>
      <c r="R35" s="62" t="s">
        <v>37</v>
      </c>
      <c r="S35" s="44" t="s">
        <v>37</v>
      </c>
      <c r="T35" s="44">
        <v>0</v>
      </c>
      <c r="U35" s="44" t="s">
        <v>37</v>
      </c>
      <c r="V35" s="44" t="s">
        <v>37</v>
      </c>
      <c r="W35" s="67" t="s">
        <v>37</v>
      </c>
      <c r="X35" s="44" t="s">
        <v>37</v>
      </c>
      <c r="Y35" s="44" t="s">
        <v>37</v>
      </c>
      <c r="Z35" s="44" t="s">
        <v>37</v>
      </c>
      <c r="AA35" s="76" t="s">
        <v>37</v>
      </c>
      <c r="AB35" s="56"/>
      <c r="AC35" s="88"/>
    </row>
    <row r="36" spans="1:29" x14ac:dyDescent="0.25">
      <c r="A36" s="20" t="s">
        <v>67</v>
      </c>
      <c r="B36" s="62">
        <f t="shared" si="18"/>
        <v>9.6999999999999993</v>
      </c>
      <c r="C36" s="44">
        <f t="shared" si="19"/>
        <v>8.2780539999999991</v>
      </c>
      <c r="D36" s="44">
        <f t="shared" si="20"/>
        <v>2</v>
      </c>
      <c r="E36" s="44">
        <f t="shared" si="21"/>
        <v>50</v>
      </c>
      <c r="F36" s="44">
        <f t="shared" si="22"/>
        <v>54</v>
      </c>
      <c r="G36" s="44">
        <f t="shared" si="23"/>
        <v>2.0561175824175826</v>
      </c>
      <c r="H36" s="44">
        <f t="shared" si="24"/>
        <v>8.7316459999999996</v>
      </c>
      <c r="I36" s="44">
        <f t="shared" si="25"/>
        <v>4.2996741666666658</v>
      </c>
      <c r="J36" s="44">
        <f t="shared" si="26"/>
        <v>2.5514549999999998</v>
      </c>
      <c r="K36" s="76">
        <v>0</v>
      </c>
      <c r="L36" s="33">
        <f t="shared" si="28"/>
        <v>141.61694674908426</v>
      </c>
      <c r="M36" s="111">
        <f t="shared" si="15"/>
        <v>93.467184854395612</v>
      </c>
      <c r="Q36" s="20" t="s">
        <v>67</v>
      </c>
      <c r="R36" s="62">
        <v>4</v>
      </c>
      <c r="S36" s="44">
        <v>8</v>
      </c>
      <c r="T36" s="44">
        <v>4</v>
      </c>
      <c r="U36" s="44">
        <v>50</v>
      </c>
      <c r="V36" s="44">
        <v>27</v>
      </c>
      <c r="W36" s="67">
        <v>3</v>
      </c>
      <c r="X36" s="44">
        <v>8.8000000000000007</v>
      </c>
      <c r="Y36" s="44">
        <v>7</v>
      </c>
      <c r="Z36" s="44">
        <v>9</v>
      </c>
      <c r="AA36" s="76" t="s">
        <v>37</v>
      </c>
      <c r="AB36" s="56"/>
      <c r="AC36" s="88"/>
    </row>
    <row r="37" spans="1:29" ht="15.75" thickBot="1" x14ac:dyDescent="0.3">
      <c r="A37" s="46" t="s">
        <v>68</v>
      </c>
      <c r="B37" s="63">
        <v>0</v>
      </c>
      <c r="C37" s="64">
        <f t="shared" si="19"/>
        <v>1.8813759090909089E-2</v>
      </c>
      <c r="D37" s="64">
        <f t="shared" si="20"/>
        <v>0</v>
      </c>
      <c r="E37" s="64">
        <f t="shared" si="21"/>
        <v>100</v>
      </c>
      <c r="F37" s="64">
        <f t="shared" si="22"/>
        <v>102</v>
      </c>
      <c r="G37" s="64">
        <v>0</v>
      </c>
      <c r="H37" s="64">
        <f t="shared" si="24"/>
        <v>0.99223249999999985</v>
      </c>
      <c r="I37" s="64">
        <f t="shared" si="25"/>
        <v>0.61423916666666656</v>
      </c>
      <c r="J37" s="64">
        <f t="shared" si="26"/>
        <v>0.283495</v>
      </c>
      <c r="K37" s="77">
        <v>0</v>
      </c>
      <c r="L37" s="50">
        <f t="shared" si="28"/>
        <v>203.90878042575756</v>
      </c>
      <c r="M37" s="112">
        <f t="shared" si="15"/>
        <v>134.57979508099999</v>
      </c>
      <c r="Q37" s="46" t="s">
        <v>68</v>
      </c>
      <c r="R37" s="63" t="s">
        <v>37</v>
      </c>
      <c r="S37" s="85">
        <f>1/55</f>
        <v>1.8181818181818181E-2</v>
      </c>
      <c r="T37" s="64">
        <v>0</v>
      </c>
      <c r="U37" s="64">
        <v>100</v>
      </c>
      <c r="V37" s="64">
        <v>51</v>
      </c>
      <c r="W37" s="69" t="s">
        <v>37</v>
      </c>
      <c r="X37" s="64">
        <v>1</v>
      </c>
      <c r="Y37" s="64">
        <v>1</v>
      </c>
      <c r="Z37" s="64">
        <v>1</v>
      </c>
      <c r="AA37" s="77" t="s">
        <v>37</v>
      </c>
      <c r="AB37" s="58"/>
      <c r="AC37" s="88"/>
    </row>
    <row r="38" spans="1:29" x14ac:dyDescent="0.25">
      <c r="A38" s="53"/>
      <c r="H38" s="54"/>
      <c r="I38" s="54"/>
      <c r="J38" s="54"/>
      <c r="K38" s="15"/>
      <c r="L38" s="59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</row>
    <row r="39" spans="1:29" ht="15.75" thickBot="1" x14ac:dyDescent="0.3">
      <c r="A39" s="88" t="s">
        <v>106</v>
      </c>
      <c r="K39" s="60"/>
      <c r="L39" s="60"/>
      <c r="Q39" s="80" t="s">
        <v>92</v>
      </c>
      <c r="R39" s="60" t="s">
        <v>93</v>
      </c>
      <c r="S39" s="60" t="s">
        <v>94</v>
      </c>
      <c r="T39" s="60" t="s">
        <v>98</v>
      </c>
      <c r="U39" s="60" t="s">
        <v>101</v>
      </c>
      <c r="V39" s="87" t="s">
        <v>111</v>
      </c>
      <c r="W39" s="87" t="s">
        <v>112</v>
      </c>
      <c r="X39" s="87" t="s">
        <v>110</v>
      </c>
      <c r="Y39" s="87" t="s">
        <v>110</v>
      </c>
      <c r="Z39" s="87" t="s">
        <v>115</v>
      </c>
      <c r="AA39" s="87" t="s">
        <v>118</v>
      </c>
      <c r="AB39" s="87" t="s">
        <v>102</v>
      </c>
    </row>
    <row r="40" spans="1:29" x14ac:dyDescent="0.25">
      <c r="I40" s="91">
        <v>1</v>
      </c>
      <c r="J40" s="92" t="s">
        <v>131</v>
      </c>
      <c r="R40" s="60"/>
      <c r="S40" s="60"/>
      <c r="T40" s="60"/>
      <c r="U40" s="60"/>
      <c r="V40" s="60"/>
      <c r="W40" s="60"/>
      <c r="X40" s="60"/>
      <c r="Y40" s="60"/>
      <c r="Z40" s="60"/>
      <c r="AA40" s="60" t="s">
        <v>102</v>
      </c>
      <c r="AB40" s="60"/>
    </row>
    <row r="41" spans="1:29" ht="15.75" thickBot="1" x14ac:dyDescent="0.3">
      <c r="A41" t="s">
        <v>70</v>
      </c>
      <c r="B41">
        <v>19.399999999999999</v>
      </c>
      <c r="C41" t="s">
        <v>3</v>
      </c>
      <c r="I41" s="93">
        <v>28.349499999999999</v>
      </c>
      <c r="J41" s="94" t="s">
        <v>130</v>
      </c>
    </row>
    <row r="42" spans="1:29" x14ac:dyDescent="0.25">
      <c r="A42" t="s">
        <v>71</v>
      </c>
      <c r="B42">
        <v>3.65</v>
      </c>
      <c r="C42" t="s">
        <v>3</v>
      </c>
    </row>
    <row r="43" spans="1:29" x14ac:dyDescent="0.25">
      <c r="A43" t="s">
        <v>72</v>
      </c>
      <c r="B43">
        <v>1</v>
      </c>
      <c r="C43" t="s">
        <v>24</v>
      </c>
    </row>
    <row r="44" spans="1:29" x14ac:dyDescent="0.25">
      <c r="A44" t="s">
        <v>73</v>
      </c>
      <c r="B44">
        <v>6.7</v>
      </c>
      <c r="C44" t="s">
        <v>25</v>
      </c>
      <c r="U44" s="82"/>
    </row>
    <row r="45" spans="1:29" x14ac:dyDescent="0.25">
      <c r="A45" t="s">
        <v>74</v>
      </c>
      <c r="B45">
        <v>2</v>
      </c>
      <c r="C45" t="s">
        <v>26</v>
      </c>
      <c r="U45" s="83"/>
    </row>
    <row r="46" spans="1:29" x14ac:dyDescent="0.25">
      <c r="A46" t="s">
        <v>75</v>
      </c>
      <c r="B46">
        <v>4.4000000000000004</v>
      </c>
      <c r="C46" t="s">
        <v>3</v>
      </c>
      <c r="U46" s="83"/>
    </row>
    <row r="47" spans="1:29" x14ac:dyDescent="0.25">
      <c r="A47" t="s">
        <v>76</v>
      </c>
      <c r="B47">
        <v>2.8</v>
      </c>
      <c r="C47" t="s">
        <v>3</v>
      </c>
      <c r="U47" s="83"/>
    </row>
    <row r="48" spans="1:29" x14ac:dyDescent="0.25">
      <c r="A48" t="s">
        <v>77</v>
      </c>
      <c r="B48">
        <v>0.65</v>
      </c>
      <c r="C48" t="s">
        <v>3</v>
      </c>
      <c r="U48" s="82"/>
    </row>
    <row r="49" spans="1:3" x14ac:dyDescent="0.25">
      <c r="A49" t="s">
        <v>78</v>
      </c>
      <c r="B49">
        <v>0.3</v>
      </c>
      <c r="C49" t="s">
        <v>3</v>
      </c>
    </row>
    <row r="50" spans="1:3" x14ac:dyDescent="0.25">
      <c r="A50" t="s">
        <v>79</v>
      </c>
      <c r="B50">
        <v>1.5</v>
      </c>
      <c r="C50" t="s">
        <v>27</v>
      </c>
    </row>
  </sheetData>
  <mergeCells count="2">
    <mergeCell ref="R18:AA18"/>
    <mergeCell ref="B18:K18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4" sqref="C24"/>
    </sheetView>
  </sheetViews>
  <sheetFormatPr defaultRowHeight="15" x14ac:dyDescent="0.25"/>
  <cols>
    <col min="2" max="2" width="21.42578125" bestFit="1" customWidth="1"/>
  </cols>
  <sheetData>
    <row r="1" spans="1:6" x14ac:dyDescent="0.25">
      <c r="A1" t="s">
        <v>0</v>
      </c>
    </row>
    <row r="2" spans="1:6" x14ac:dyDescent="0.25">
      <c r="B2" t="s">
        <v>1</v>
      </c>
      <c r="C2">
        <v>10.8</v>
      </c>
      <c r="D2" t="s">
        <v>3</v>
      </c>
    </row>
    <row r="3" spans="1:6" x14ac:dyDescent="0.25">
      <c r="B3" t="s">
        <v>2</v>
      </c>
      <c r="C3">
        <v>64.75</v>
      </c>
      <c r="D3" t="s">
        <v>3</v>
      </c>
    </row>
    <row r="4" spans="1:6" x14ac:dyDescent="0.25">
      <c r="B4" t="s">
        <v>17</v>
      </c>
      <c r="C4">
        <v>50.65</v>
      </c>
      <c r="D4" t="s">
        <v>3</v>
      </c>
    </row>
    <row r="5" spans="1:6" x14ac:dyDescent="0.25">
      <c r="B5" t="s">
        <v>20</v>
      </c>
      <c r="C5">
        <v>22.35</v>
      </c>
      <c r="D5" t="s">
        <v>3</v>
      </c>
    </row>
    <row r="7" spans="1:6" x14ac:dyDescent="0.25">
      <c r="A7" t="s">
        <v>18</v>
      </c>
    </row>
    <row r="8" spans="1:6" x14ac:dyDescent="0.25">
      <c r="B8" t="s">
        <v>1</v>
      </c>
      <c r="C8">
        <v>5.25</v>
      </c>
      <c r="D8" t="s">
        <v>3</v>
      </c>
    </row>
    <row r="9" spans="1:6" x14ac:dyDescent="0.25">
      <c r="B9" t="s">
        <v>19</v>
      </c>
      <c r="C9">
        <v>31.55</v>
      </c>
      <c r="D9" t="s">
        <v>3</v>
      </c>
    </row>
    <row r="11" spans="1:6" x14ac:dyDescent="0.25">
      <c r="A11" t="s">
        <v>4</v>
      </c>
    </row>
    <row r="12" spans="1:6" x14ac:dyDescent="0.25">
      <c r="B12" t="s">
        <v>5</v>
      </c>
      <c r="C12">
        <v>19.399999999999999</v>
      </c>
      <c r="D12" t="s">
        <v>3</v>
      </c>
    </row>
    <row r="13" spans="1:6" x14ac:dyDescent="0.25">
      <c r="B13" t="s">
        <v>6</v>
      </c>
      <c r="C13">
        <v>3.65</v>
      </c>
      <c r="D13" t="s">
        <v>3</v>
      </c>
    </row>
    <row r="14" spans="1:6" x14ac:dyDescent="0.25">
      <c r="B14" t="s">
        <v>7</v>
      </c>
      <c r="C14">
        <v>1</v>
      </c>
      <c r="D14" t="s">
        <v>24</v>
      </c>
    </row>
    <row r="15" spans="1:6" x14ac:dyDescent="0.25">
      <c r="B15" t="s">
        <v>8</v>
      </c>
      <c r="C15">
        <v>6.7</v>
      </c>
      <c r="D15" t="s">
        <v>25</v>
      </c>
      <c r="F15" t="s">
        <v>9</v>
      </c>
    </row>
    <row r="16" spans="1:6" x14ac:dyDescent="0.25">
      <c r="B16" t="s">
        <v>10</v>
      </c>
      <c r="C16">
        <v>2</v>
      </c>
      <c r="D16" t="s">
        <v>26</v>
      </c>
    </row>
    <row r="17" spans="1:6" x14ac:dyDescent="0.25">
      <c r="B17" t="s">
        <v>11</v>
      </c>
      <c r="C17">
        <v>4.4000000000000004</v>
      </c>
      <c r="D17" t="s">
        <v>3</v>
      </c>
    </row>
    <row r="18" spans="1:6" x14ac:dyDescent="0.25">
      <c r="B18" t="s">
        <v>12</v>
      </c>
      <c r="C18">
        <v>2.8</v>
      </c>
      <c r="D18" t="s">
        <v>3</v>
      </c>
    </row>
    <row r="19" spans="1:6" x14ac:dyDescent="0.25">
      <c r="B19" t="s">
        <v>13</v>
      </c>
      <c r="C19">
        <v>0.65</v>
      </c>
      <c r="D19" t="s">
        <v>3</v>
      </c>
    </row>
    <row r="20" spans="1:6" x14ac:dyDescent="0.25">
      <c r="B20" t="s">
        <v>14</v>
      </c>
      <c r="C20">
        <v>0.3</v>
      </c>
      <c r="D20" t="s">
        <v>3</v>
      </c>
    </row>
    <row r="21" spans="1:6" x14ac:dyDescent="0.25">
      <c r="B21" t="s">
        <v>15</v>
      </c>
      <c r="C21">
        <v>1.5</v>
      </c>
      <c r="D21" t="s">
        <v>27</v>
      </c>
      <c r="F21" t="s">
        <v>16</v>
      </c>
    </row>
    <row r="24" spans="1:6" x14ac:dyDescent="0.25">
      <c r="A24" t="s">
        <v>21</v>
      </c>
    </row>
    <row r="25" spans="1:6" x14ac:dyDescent="0.25">
      <c r="B25">
        <f>C4-C2</f>
        <v>39.849999999999994</v>
      </c>
      <c r="C25" t="s">
        <v>3</v>
      </c>
    </row>
    <row r="27" spans="1:6" x14ac:dyDescent="0.25">
      <c r="A27" t="s">
        <v>22</v>
      </c>
    </row>
    <row r="28" spans="1:6" x14ac:dyDescent="0.25">
      <c r="B28">
        <f>C9-C8</f>
        <v>26.3</v>
      </c>
      <c r="C28" t="s">
        <v>3</v>
      </c>
    </row>
    <row r="30" spans="1:6" x14ac:dyDescent="0.25">
      <c r="A30" t="s">
        <v>23</v>
      </c>
    </row>
    <row r="31" spans="1:6" x14ac:dyDescent="0.25">
      <c r="B31" s="1">
        <f>B28/B25</f>
        <v>0.65997490589711427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Meal Stats</vt:lpstr>
      <vt:lpstr>Juicer Stats</vt:lpstr>
      <vt:lpstr>Juicer Contents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2017-05-21T04:19:11Z</dcterms:modified>
</cp:coreProperties>
</file>