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28800" windowHeight="12795" activeTab="4"/>
  </bookViews>
  <sheets>
    <sheet name="Dec Plan '16 - r0" sheetId="2" r:id="rId1"/>
    <sheet name="Dec '16 Log" sheetId="3" r:id="rId2"/>
    <sheet name="BB Check" sheetId="4" r:id="rId3"/>
    <sheet name="Legs Check" sheetId="5" r:id="rId4"/>
    <sheet name="ShTr Check" sheetId="7" r:id="rId5"/>
  </sheets>
  <definedNames>
    <definedName name="_xlnm.Print_Area" localSheetId="2">'BB Check'!$A$1:$D$45</definedName>
    <definedName name="_xlnm.Print_Area" localSheetId="3">'Legs Check'!$A$1:$D$24</definedName>
    <definedName name="_xlnm.Print_Area" localSheetId="4">'ShTr Check'!$A$1:$D$38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7" l="1"/>
  <c r="C37" i="7" s="1"/>
  <c r="D37" i="7" s="1"/>
  <c r="C35" i="7"/>
  <c r="C34" i="7"/>
  <c r="C31" i="7"/>
  <c r="C30" i="7"/>
  <c r="C26" i="7"/>
  <c r="C27" i="7" s="1"/>
  <c r="D27" i="7" s="1"/>
  <c r="C25" i="7"/>
  <c r="C21" i="7"/>
  <c r="C22" i="7" s="1"/>
  <c r="D22" i="7" s="1"/>
  <c r="C20" i="7"/>
  <c r="C16" i="7"/>
  <c r="C15" i="7"/>
  <c r="C14" i="7"/>
  <c r="C11" i="7"/>
  <c r="C12" i="7" s="1"/>
  <c r="D12" i="7" s="1"/>
  <c r="C10" i="7"/>
  <c r="C6" i="7"/>
  <c r="C7" i="7" s="1"/>
  <c r="D7" i="7" s="1"/>
  <c r="C5" i="7"/>
  <c r="C4" i="7"/>
  <c r="D32" i="7"/>
  <c r="C17" i="7" l="1"/>
  <c r="D17" i="7" s="1"/>
  <c r="D22" i="5"/>
  <c r="D17" i="5"/>
  <c r="D12" i="5"/>
  <c r="D7" i="5"/>
  <c r="C17" i="5"/>
  <c r="C12" i="5"/>
  <c r="C7" i="5"/>
  <c r="R21" i="3"/>
  <c r="R16" i="3"/>
  <c r="R11" i="3"/>
  <c r="R6" i="3"/>
  <c r="R20" i="3"/>
  <c r="R19" i="3"/>
  <c r="R18" i="3"/>
  <c r="R15" i="3"/>
  <c r="R14" i="3"/>
  <c r="R13" i="3"/>
  <c r="R10" i="3"/>
  <c r="R9" i="3"/>
  <c r="R5" i="3"/>
  <c r="R4" i="3"/>
  <c r="R3" i="3"/>
  <c r="C22" i="5" l="1"/>
  <c r="D44" i="4"/>
  <c r="D38" i="4"/>
  <c r="D32" i="4"/>
  <c r="D26" i="4"/>
  <c r="D20" i="4"/>
  <c r="D14" i="4"/>
  <c r="D8" i="4"/>
  <c r="C25" i="4"/>
  <c r="C20" i="4"/>
  <c r="C19" i="4"/>
  <c r="C14" i="4"/>
  <c r="C8" i="4"/>
  <c r="C13" i="4"/>
  <c r="C7" i="4"/>
  <c r="N21" i="3" l="1"/>
  <c r="N16" i="3"/>
  <c r="N11" i="3"/>
  <c r="N6" i="3"/>
  <c r="N20" i="3"/>
  <c r="N19" i="3"/>
  <c r="N18" i="3"/>
  <c r="N15" i="3"/>
  <c r="N14" i="3"/>
  <c r="N13" i="3"/>
  <c r="N9" i="3"/>
  <c r="N8" i="3"/>
  <c r="N10" i="3"/>
  <c r="N5" i="3"/>
  <c r="N4" i="3"/>
  <c r="N3" i="3"/>
  <c r="C4" i="4" l="1"/>
  <c r="C5" i="4"/>
  <c r="C6" i="4"/>
  <c r="C10" i="4"/>
  <c r="C11" i="4"/>
  <c r="C12" i="4"/>
  <c r="C16" i="4"/>
  <c r="C17" i="4"/>
  <c r="C18" i="4"/>
  <c r="C22" i="4"/>
  <c r="C23" i="4"/>
  <c r="C24" i="4"/>
  <c r="C26" i="4" s="1"/>
  <c r="C28" i="4"/>
  <c r="C29" i="4"/>
  <c r="C30" i="4"/>
  <c r="C32" i="4"/>
  <c r="C34" i="4"/>
  <c r="C35" i="4"/>
  <c r="C36" i="4"/>
  <c r="C38" i="4"/>
  <c r="C40" i="4"/>
  <c r="C41" i="4"/>
  <c r="C42" i="4"/>
  <c r="C44" i="4" s="1"/>
  <c r="F3" i="3"/>
  <c r="J3" i="3"/>
  <c r="J6" i="3" s="1"/>
  <c r="F4" i="3"/>
  <c r="J4" i="3"/>
  <c r="F5" i="3"/>
  <c r="J5" i="3"/>
  <c r="F6" i="3"/>
  <c r="F8" i="3"/>
  <c r="J8" i="3"/>
  <c r="F9" i="3"/>
  <c r="J9" i="3"/>
  <c r="F10" i="3"/>
  <c r="J10" i="3"/>
  <c r="F11" i="3"/>
  <c r="J11" i="3"/>
  <c r="F13" i="3"/>
  <c r="J13" i="3"/>
  <c r="F14" i="3"/>
  <c r="J14" i="3"/>
  <c r="F15" i="3"/>
  <c r="J15" i="3"/>
  <c r="J16" i="3" s="1"/>
  <c r="F16" i="3"/>
  <c r="F18" i="3"/>
  <c r="F19" i="3"/>
  <c r="J19" i="3"/>
  <c r="F20" i="3"/>
  <c r="F21" i="3" s="1"/>
  <c r="J20" i="3"/>
  <c r="J21" i="3"/>
  <c r="F23" i="3"/>
  <c r="F24" i="3"/>
  <c r="F25" i="3"/>
  <c r="F26" i="3"/>
  <c r="F28" i="3"/>
  <c r="F29" i="3"/>
  <c r="F30" i="3"/>
  <c r="F31" i="3"/>
  <c r="F33" i="3"/>
  <c r="F36" i="3" s="1"/>
  <c r="F34" i="3"/>
  <c r="F35" i="3"/>
</calcChain>
</file>

<file path=xl/sharedStrings.xml><?xml version="1.0" encoding="utf-8"?>
<sst xmlns="http://schemas.openxmlformats.org/spreadsheetml/2006/main" count="304" uniqueCount="130">
  <si>
    <t>Day 1</t>
  </si>
  <si>
    <t>Day 2</t>
  </si>
  <si>
    <t>Day 3</t>
  </si>
  <si>
    <t>Day 4</t>
  </si>
  <si>
    <t>Lateral Raise</t>
  </si>
  <si>
    <t>Crunches</t>
  </si>
  <si>
    <t>Plan</t>
  </si>
  <si>
    <t>Goal</t>
  </si>
  <si>
    <t>Start</t>
  </si>
  <si>
    <t>Style</t>
  </si>
  <si>
    <t>Get started with trainer's routine</t>
  </si>
  <si>
    <t>Shoulders/Triceps ()</t>
  </si>
  <si>
    <t>Back/Biceps ()</t>
  </si>
  <si>
    <t>Chest/Abs ()</t>
  </si>
  <si>
    <t>Legs ()</t>
  </si>
  <si>
    <t>Lateral Pulldown</t>
  </si>
  <si>
    <t>Seated Hammer Strength Rows</t>
  </si>
  <si>
    <t>Close Grip Pulldown</t>
  </si>
  <si>
    <t>*(Wide, Overhand, Narrow)</t>
  </si>
  <si>
    <t>Individual Incline Dumbbell Curls</t>
  </si>
  <si>
    <t>Alternating Individual Dumbbell Bicep Curls</t>
  </si>
  <si>
    <t>Seated Individual Single Arm Cable Rows</t>
  </si>
  <si>
    <t>Inclline Dumbbell Press</t>
  </si>
  <si>
    <t>Flat Bench Dumbbell Press</t>
  </si>
  <si>
    <t>Individual Single Leg Extension</t>
  </si>
  <si>
    <t>Individual Weighted Step-Ups</t>
  </si>
  <si>
    <t>Seated Hamstring Curls</t>
  </si>
  <si>
    <t>Individual Leg Hamstring Curls</t>
  </si>
  <si>
    <t>Dumbbell Front Raise</t>
  </si>
  <si>
    <t>Seated Dumbbell Shoulder Press</t>
  </si>
  <si>
    <t>Cable Face Pulls</t>
  </si>
  <si>
    <t>Cable Rope Pushdowns</t>
  </si>
  <si>
    <t>Close-Grip Bench Push-Ups</t>
  </si>
  <si>
    <t>Seated Dip Machine</t>
  </si>
  <si>
    <t>4x15</t>
  </si>
  <si>
    <t>4x12</t>
  </si>
  <si>
    <t>4x10</t>
  </si>
  <si>
    <t>4x8</t>
  </si>
  <si>
    <t>1 min</t>
  </si>
  <si>
    <t>Flutter Kicks</t>
  </si>
  <si>
    <t>Ab Circuit</t>
  </si>
  <si>
    <t>Leg Lifts</t>
  </si>
  <si>
    <t>Plank</t>
  </si>
  <si>
    <t>Russian Twists</t>
  </si>
  <si>
    <t>3x12</t>
  </si>
  <si>
    <t>3x10</t>
  </si>
  <si>
    <t>3x8</t>
  </si>
  <si>
    <t>3x16</t>
  </si>
  <si>
    <t>4xFail</t>
  </si>
  <si>
    <t>4 Days Lift, 1 Day Cardio, 1 Day Rest</t>
  </si>
  <si>
    <t>Pre</t>
  </si>
  <si>
    <t>Super-sets of two-lifts</t>
  </si>
  <si>
    <t>Post</t>
  </si>
  <si>
    <t>4x15 ea.</t>
  </si>
  <si>
    <t>Machine Butterfly</t>
  </si>
  <si>
    <t>Cable Crossover Fly</t>
  </si>
  <si>
    <t>Lunges</t>
  </si>
  <si>
    <t>Single Leg No-Weight Calf Raise</t>
  </si>
  <si>
    <t>15 min Elliptical (15/15)</t>
  </si>
  <si>
    <t>10 min warm-up walk</t>
  </si>
  <si>
    <t>Always use weak leg's strength</t>
  </si>
  <si>
    <t>Life Fitness Buddy Names</t>
  </si>
  <si>
    <t>(12/7/16) r2</t>
  </si>
  <si>
    <t>(Lateral Pulldown)</t>
  </si>
  <si>
    <t>(Seated Hammer Strength Rows)</t>
  </si>
  <si>
    <t>(Close Grip Pulldown)</t>
  </si>
  <si>
    <t>(Seated Individual Arm Cable Rows)</t>
  </si>
  <si>
    <t>(Alternating Individual Dumbbell Bicep Curls)</t>
  </si>
  <si>
    <t>(Barbbell Preacher Curls)</t>
  </si>
  <si>
    <t>Barbbell Preacher Curls</t>
  </si>
  <si>
    <t>(Individual Incline Dumbbell Curls)</t>
  </si>
  <si>
    <t>(Dumbbell Bench Press - Incline)</t>
  </si>
  <si>
    <t>(Dumbbell Bench Press - Flat)</t>
  </si>
  <si>
    <t>(Cable Crossover - High)</t>
  </si>
  <si>
    <t>(Selectorized Fly)</t>
  </si>
  <si>
    <t>(Bodyweight Crunch)</t>
  </si>
  <si>
    <t>(Bodyweight Leg Raise)</t>
  </si>
  <si>
    <t>(Bodyweight Plank)</t>
  </si>
  <si>
    <t>(Bodyweight Twist - Russian)</t>
  </si>
  <si>
    <t>(Flutter Kick)</t>
  </si>
  <si>
    <t>(Selectorized Individual Leg Extension)</t>
  </si>
  <si>
    <t>(Dumbbell Step Up - Platform)</t>
  </si>
  <si>
    <t>(Selectorized Leg Curl)</t>
  </si>
  <si>
    <t>(Selectorized Individual Leg Curl)</t>
  </si>
  <si>
    <t>(Bodyweight Lunge)</t>
  </si>
  <si>
    <t>(Stair Bodyweight Calf Raise)</t>
  </si>
  <si>
    <t>(Dumbbell Raise - Front)</t>
  </si>
  <si>
    <t>(Dumbbell Raise - Lateral)</t>
  </si>
  <si>
    <t>(Selectorized Shoulder Press - Overhand)</t>
  </si>
  <si>
    <t>(Cable Face Pull)</t>
  </si>
  <si>
    <t>(Cable Pushdown - Overhand)</t>
  </si>
  <si>
    <t>(Close-Grip Bench Push-Ups)</t>
  </si>
  <si>
    <t>(Seated Dip)</t>
  </si>
  <si>
    <t>finish day 1!</t>
  </si>
  <si>
    <t>draw up all columns</t>
  </si>
  <si>
    <t>(+0)</t>
  </si>
  <si>
    <t>Incline Dumbbell Curls</t>
  </si>
  <si>
    <t>(+5)</t>
  </si>
  <si>
    <t>Single Leg Calf Raise</t>
  </si>
  <si>
    <t>Barbell Preacher Curls</t>
  </si>
  <si>
    <t>(+2)</t>
  </si>
  <si>
    <t>Shoulders/Triceps</t>
  </si>
  <si>
    <t>-</t>
  </si>
  <si>
    <t>Individual Dumbbell Bicep Curls</t>
  </si>
  <si>
    <t>(+20)</t>
  </si>
  <si>
    <t>(+10)</t>
  </si>
  <si>
    <t>Weighted Step-Ups</t>
  </si>
  <si>
    <t>Single Leg Extension</t>
  </si>
  <si>
    <t>Legs</t>
  </si>
  <si>
    <t>Selectorized Fly</t>
  </si>
  <si>
    <t>Seated Single Arm Cable Rows</t>
  </si>
  <si>
    <t>(-2.5)</t>
  </si>
  <si>
    <t>Incline Bench Dumbbell Press</t>
  </si>
  <si>
    <t>Chest/Abs</t>
  </si>
  <si>
    <t>(+30)</t>
  </si>
  <si>
    <t>Back/Biceps</t>
  </si>
  <si>
    <t>Avg(max reps)</t>
  </si>
  <si>
    <t>Max</t>
  </si>
  <si>
    <t>*</t>
  </si>
  <si>
    <t>Avg</t>
  </si>
  <si>
    <t>12/9</t>
  </si>
  <si>
    <t>12/15</t>
  </si>
  <si>
    <t>12/19</t>
  </si>
  <si>
    <t>()</t>
  </si>
  <si>
    <t>(12/24/16)</t>
  </si>
  <si>
    <t>(+25)</t>
  </si>
  <si>
    <t>(+40)</t>
  </si>
  <si>
    <t>(12/26/16)</t>
  </si>
  <si>
    <t>(12/29/16)</t>
  </si>
  <si>
    <t>Machine Shoulder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</si>
</sst>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/>
    <xf numFmtId="0" fontId="0" fillId="0" borderId="0" xfId="0" applyBorder="1"/>
    <xf numFmtId="0" fontId="4" fillId="0" borderId="1" xfId="0" applyFont="1" applyFill="1" applyBorder="1" applyAlignment="1">
      <alignment horizontal="right"/>
    </xf>
    <xf numFmtId="0" fontId="5" fillId="0" borderId="0" xfId="0" applyFont="1"/>
    <xf numFmtId="164" fontId="0" fillId="0" borderId="0" xfId="0" applyNumberForma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0" fillId="0" borderId="0" xfId="0" applyNumberFormat="1" applyFont="1"/>
    <xf numFmtId="165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/>
    <xf numFmtId="165" fontId="6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165" fontId="6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2" fontId="0" fillId="0" borderId="0" xfId="0" applyNumberFormat="1" applyFont="1"/>
    <xf numFmtId="165" fontId="0" fillId="0" borderId="0" xfId="0" applyNumberFormat="1" applyFont="1"/>
    <xf numFmtId="165" fontId="7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5" fillId="2" borderId="4" xfId="0" applyNumberFormat="1" applyFont="1" applyFill="1" applyBorder="1" applyAlignment="1">
      <alignment horizontal="right"/>
    </xf>
    <xf numFmtId="165" fontId="7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5" fillId="2" borderId="7" xfId="0" applyNumberFormat="1" applyFont="1" applyFill="1" applyBorder="1" applyAlignment="1">
      <alignment horizontal="right"/>
    </xf>
    <xf numFmtId="165" fontId="7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5" fillId="2" borderId="10" xfId="0" applyNumberFormat="1" applyFont="1" applyFill="1" applyBorder="1" applyAlignment="1">
      <alignment horizontal="right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6" fontId="0" fillId="0" borderId="0" xfId="0" applyNumberFormat="1"/>
    <xf numFmtId="9" fontId="10" fillId="0" borderId="0" xfId="0" applyNumberFormat="1" applyFont="1"/>
    <xf numFmtId="16" fontId="0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F62" sqref="F62"/>
    </sheetView>
  </sheetViews>
  <sheetFormatPr defaultRowHeight="15" x14ac:dyDescent="0.25"/>
  <cols>
    <col min="2" max="2" width="5" customWidth="1"/>
    <col min="4" max="4" width="25.7109375" customWidth="1"/>
    <col min="5" max="5" width="6.140625" style="17" bestFit="1" customWidth="1"/>
    <col min="6" max="6" width="1.5703125" style="17" customWidth="1"/>
    <col min="9" max="9" width="8.7109375" customWidth="1"/>
    <col min="10" max="10" width="11.42578125" customWidth="1"/>
  </cols>
  <sheetData>
    <row r="1" spans="1:12" ht="17.25" x14ac:dyDescent="0.3">
      <c r="A1" s="1" t="s">
        <v>6</v>
      </c>
      <c r="B1" t="s">
        <v>49</v>
      </c>
      <c r="C1" s="1"/>
      <c r="D1" s="1"/>
      <c r="E1" s="16"/>
      <c r="F1" s="16"/>
      <c r="G1" s="1" t="s">
        <v>7</v>
      </c>
      <c r="H1" t="s">
        <v>10</v>
      </c>
    </row>
    <row r="2" spans="1:12" ht="17.25" x14ac:dyDescent="0.3">
      <c r="A2" s="1" t="s">
        <v>8</v>
      </c>
      <c r="B2" s="60">
        <v>42711</v>
      </c>
      <c r="C2" s="60"/>
      <c r="D2" s="1"/>
      <c r="E2" s="16"/>
      <c r="F2" s="16"/>
      <c r="G2" s="1" t="s">
        <v>9</v>
      </c>
      <c r="H2" t="s">
        <v>51</v>
      </c>
    </row>
    <row r="3" spans="1:12" ht="17.25" x14ac:dyDescent="0.3">
      <c r="A3" s="1" t="s">
        <v>50</v>
      </c>
      <c r="B3" s="8" t="s">
        <v>59</v>
      </c>
      <c r="C3" s="1"/>
      <c r="D3" s="1"/>
      <c r="E3" s="16"/>
      <c r="F3" s="16"/>
      <c r="G3" s="1" t="s">
        <v>52</v>
      </c>
      <c r="H3" t="s">
        <v>58</v>
      </c>
      <c r="K3" s="21"/>
      <c r="L3" s="21"/>
    </row>
    <row r="4" spans="1:12" x14ac:dyDescent="0.25">
      <c r="A4" s="2"/>
      <c r="B4" s="2"/>
      <c r="C4" s="2"/>
      <c r="K4" s="21"/>
      <c r="L4" s="21"/>
    </row>
    <row r="5" spans="1:12" ht="17.25" x14ac:dyDescent="0.3">
      <c r="A5" s="4" t="s">
        <v>0</v>
      </c>
      <c r="B5" s="5" t="s">
        <v>12</v>
      </c>
      <c r="C5" s="5"/>
      <c r="D5" s="6"/>
      <c r="E5" s="18"/>
      <c r="F5" s="19"/>
      <c r="G5" s="4" t="s">
        <v>2</v>
      </c>
      <c r="H5" s="5" t="s">
        <v>14</v>
      </c>
      <c r="I5" s="4"/>
      <c r="J5" s="7"/>
      <c r="K5" s="22" t="s">
        <v>60</v>
      </c>
      <c r="L5" s="21"/>
    </row>
    <row r="6" spans="1:12" ht="17.25" x14ac:dyDescent="0.3">
      <c r="A6" s="2"/>
      <c r="B6" s="2" t="s">
        <v>15</v>
      </c>
      <c r="C6" s="2"/>
      <c r="E6" s="15" t="s">
        <v>34</v>
      </c>
      <c r="F6" s="15"/>
      <c r="H6" s="2" t="s">
        <v>24</v>
      </c>
      <c r="J6" s="10"/>
      <c r="K6" s="15" t="s">
        <v>44</v>
      </c>
    </row>
    <row r="7" spans="1:12" x14ac:dyDescent="0.25">
      <c r="A7" s="2"/>
      <c r="B7" s="2" t="s">
        <v>16</v>
      </c>
      <c r="C7" s="2"/>
      <c r="E7" s="9" t="s">
        <v>53</v>
      </c>
      <c r="F7" s="15"/>
      <c r="G7" s="2"/>
      <c r="H7" t="s">
        <v>25</v>
      </c>
      <c r="J7" s="11"/>
      <c r="K7" s="15" t="s">
        <v>45</v>
      </c>
    </row>
    <row r="8" spans="1:12" x14ac:dyDescent="0.25">
      <c r="A8" s="2"/>
      <c r="B8" s="2"/>
      <c r="C8" s="2" t="s">
        <v>18</v>
      </c>
      <c r="E8" s="15"/>
      <c r="F8" s="15"/>
      <c r="G8" s="2"/>
      <c r="H8" t="s">
        <v>26</v>
      </c>
      <c r="K8" s="15" t="s">
        <v>34</v>
      </c>
    </row>
    <row r="9" spans="1:12" x14ac:dyDescent="0.25">
      <c r="A9" s="2"/>
      <c r="B9" s="2" t="s">
        <v>17</v>
      </c>
      <c r="C9" s="2"/>
      <c r="E9" s="15" t="s">
        <v>35</v>
      </c>
      <c r="F9" s="15"/>
      <c r="G9" s="2"/>
      <c r="H9" s="2" t="s">
        <v>27</v>
      </c>
      <c r="J9" s="11"/>
      <c r="K9" s="15" t="s">
        <v>46</v>
      </c>
    </row>
    <row r="10" spans="1:12" x14ac:dyDescent="0.25">
      <c r="A10" s="2"/>
      <c r="B10" s="2" t="s">
        <v>21</v>
      </c>
      <c r="C10" s="2"/>
      <c r="E10" s="15" t="s">
        <v>36</v>
      </c>
      <c r="F10" s="15"/>
      <c r="G10" s="2"/>
      <c r="H10" s="2" t="s">
        <v>56</v>
      </c>
      <c r="I10" s="2"/>
      <c r="J10" s="11"/>
      <c r="K10" s="15" t="s">
        <v>47</v>
      </c>
    </row>
    <row r="11" spans="1:12" x14ac:dyDescent="0.25">
      <c r="A11" s="2"/>
      <c r="B11" s="2" t="s">
        <v>20</v>
      </c>
      <c r="C11" s="2"/>
      <c r="E11" s="15" t="s">
        <v>36</v>
      </c>
      <c r="F11" s="15"/>
      <c r="G11" s="2"/>
      <c r="H11" s="2" t="s">
        <v>57</v>
      </c>
      <c r="K11" s="15" t="s">
        <v>44</v>
      </c>
    </row>
    <row r="12" spans="1:12" x14ac:dyDescent="0.25">
      <c r="A12" s="2"/>
      <c r="B12" s="2" t="s">
        <v>69</v>
      </c>
      <c r="C12" s="2"/>
      <c r="E12" s="15" t="s">
        <v>35</v>
      </c>
      <c r="F12" s="15"/>
      <c r="G12" s="2"/>
      <c r="H12" s="2"/>
    </row>
    <row r="13" spans="1:12" x14ac:dyDescent="0.25">
      <c r="A13" s="2"/>
      <c r="B13" s="20" t="s">
        <v>19</v>
      </c>
      <c r="C13" s="2"/>
      <c r="E13" s="15" t="s">
        <v>37</v>
      </c>
      <c r="F13" s="15"/>
      <c r="K13" s="15"/>
    </row>
    <row r="14" spans="1:12" ht="17.25" x14ac:dyDescent="0.3">
      <c r="A14" s="3"/>
      <c r="B14" s="13"/>
      <c r="C14" s="2"/>
      <c r="E14" s="15"/>
      <c r="F14" s="15"/>
    </row>
    <row r="15" spans="1:12" ht="17.25" x14ac:dyDescent="0.3">
      <c r="A15" s="4" t="s">
        <v>1</v>
      </c>
      <c r="B15" s="5" t="s">
        <v>13</v>
      </c>
      <c r="C15" s="5"/>
      <c r="D15" s="6"/>
      <c r="E15" s="18"/>
      <c r="F15" s="19"/>
      <c r="G15" s="4" t="s">
        <v>3</v>
      </c>
      <c r="H15" s="5" t="s">
        <v>11</v>
      </c>
      <c r="I15" s="4"/>
      <c r="J15" s="7"/>
      <c r="K15" s="18"/>
    </row>
    <row r="16" spans="1:12" x14ac:dyDescent="0.25">
      <c r="A16" s="2"/>
      <c r="B16" s="14" t="s">
        <v>22</v>
      </c>
      <c r="C16" s="2"/>
      <c r="E16" s="15" t="s">
        <v>35</v>
      </c>
      <c r="F16" s="15"/>
      <c r="H16" s="14" t="s">
        <v>28</v>
      </c>
      <c r="K16" s="15" t="s">
        <v>36</v>
      </c>
    </row>
    <row r="17" spans="1:18" x14ac:dyDescent="0.25">
      <c r="A17" s="2"/>
      <c r="B17" s="14" t="s">
        <v>23</v>
      </c>
      <c r="C17" s="2"/>
      <c r="E17" s="15" t="s">
        <v>36</v>
      </c>
      <c r="F17" s="15"/>
      <c r="H17" s="14" t="s">
        <v>4</v>
      </c>
      <c r="K17" s="15" t="s">
        <v>48</v>
      </c>
    </row>
    <row r="18" spans="1:18" x14ac:dyDescent="0.25">
      <c r="A18" s="2"/>
      <c r="B18" s="14" t="s">
        <v>55</v>
      </c>
      <c r="C18" s="2"/>
      <c r="E18" s="15" t="s">
        <v>34</v>
      </c>
      <c r="F18" s="15"/>
      <c r="H18" s="14" t="s">
        <v>29</v>
      </c>
      <c r="K18" s="15" t="s">
        <v>37</v>
      </c>
    </row>
    <row r="19" spans="1:18" x14ac:dyDescent="0.25">
      <c r="A19" s="2"/>
      <c r="B19" s="14" t="s">
        <v>54</v>
      </c>
      <c r="D19" s="2"/>
      <c r="E19" s="15" t="s">
        <v>36</v>
      </c>
      <c r="F19" s="15"/>
      <c r="H19" s="14" t="s">
        <v>30</v>
      </c>
      <c r="K19" s="15" t="s">
        <v>34</v>
      </c>
    </row>
    <row r="20" spans="1:18" x14ac:dyDescent="0.25">
      <c r="A20" s="2"/>
      <c r="B20" s="14" t="s">
        <v>40</v>
      </c>
      <c r="C20" s="2"/>
      <c r="E20" s="15">
        <v>5</v>
      </c>
      <c r="F20" s="15"/>
      <c r="H20" s="14" t="s">
        <v>31</v>
      </c>
      <c r="K20" s="15" t="s">
        <v>35</v>
      </c>
    </row>
    <row r="21" spans="1:18" x14ac:dyDescent="0.25">
      <c r="A21" s="2"/>
      <c r="B21" s="2"/>
      <c r="C21" s="2" t="s">
        <v>5</v>
      </c>
      <c r="E21" s="15">
        <v>20</v>
      </c>
      <c r="F21" s="15"/>
      <c r="H21" s="14" t="s">
        <v>32</v>
      </c>
      <c r="K21" s="15" t="s">
        <v>48</v>
      </c>
    </row>
    <row r="22" spans="1:18" x14ac:dyDescent="0.25">
      <c r="A22" s="2"/>
      <c r="C22" t="s">
        <v>41</v>
      </c>
      <c r="E22" s="15">
        <v>20</v>
      </c>
      <c r="F22" s="15"/>
      <c r="H22" s="14" t="s">
        <v>33</v>
      </c>
      <c r="K22" s="15" t="s">
        <v>34</v>
      </c>
    </row>
    <row r="23" spans="1:18" x14ac:dyDescent="0.25">
      <c r="A23" s="2"/>
      <c r="B23" s="2"/>
      <c r="C23" s="2" t="s">
        <v>42</v>
      </c>
      <c r="E23" s="15" t="s">
        <v>38</v>
      </c>
      <c r="F23" s="15"/>
      <c r="H23" s="14"/>
      <c r="K23" s="15"/>
      <c r="Q23" s="12"/>
      <c r="R23" s="12"/>
    </row>
    <row r="24" spans="1:18" x14ac:dyDescent="0.25">
      <c r="A24" s="2"/>
      <c r="C24" s="2" t="s">
        <v>43</v>
      </c>
      <c r="E24" s="15">
        <v>40</v>
      </c>
      <c r="F24" s="15"/>
    </row>
    <row r="25" spans="1:18" x14ac:dyDescent="0.25">
      <c r="A25" s="2"/>
      <c r="B25" s="2"/>
      <c r="C25" s="2" t="s">
        <v>39</v>
      </c>
      <c r="E25" s="15">
        <v>40</v>
      </c>
      <c r="F25" s="15"/>
      <c r="G25" s="12"/>
    </row>
    <row r="26" spans="1:18" ht="17.25" x14ac:dyDescent="0.3">
      <c r="A26" s="3"/>
      <c r="B26" s="3"/>
      <c r="C26" s="2"/>
      <c r="E26" s="15"/>
      <c r="F26" s="15"/>
    </row>
    <row r="31" spans="1:18" x14ac:dyDescent="0.25">
      <c r="A31" s="23" t="s">
        <v>61</v>
      </c>
    </row>
    <row r="32" spans="1:18" x14ac:dyDescent="0.25">
      <c r="B32" s="2" t="s">
        <v>15</v>
      </c>
      <c r="F32" s="17" t="s">
        <v>63</v>
      </c>
    </row>
    <row r="33" spans="2:6" x14ac:dyDescent="0.25">
      <c r="B33" s="2" t="s">
        <v>16</v>
      </c>
      <c r="F33" s="17" t="s">
        <v>64</v>
      </c>
    </row>
    <row r="34" spans="2:6" x14ac:dyDescent="0.25">
      <c r="B34" s="2" t="s">
        <v>17</v>
      </c>
      <c r="F34" s="17" t="s">
        <v>65</v>
      </c>
    </row>
    <row r="35" spans="2:6" x14ac:dyDescent="0.25">
      <c r="B35" s="2" t="s">
        <v>21</v>
      </c>
      <c r="F35" s="17" t="s">
        <v>66</v>
      </c>
    </row>
    <row r="36" spans="2:6" x14ac:dyDescent="0.25">
      <c r="B36" s="2" t="s">
        <v>20</v>
      </c>
      <c r="F36" s="17" t="s">
        <v>67</v>
      </c>
    </row>
    <row r="37" spans="2:6" x14ac:dyDescent="0.25">
      <c r="B37" s="2" t="s">
        <v>69</v>
      </c>
      <c r="F37" s="17" t="s">
        <v>68</v>
      </c>
    </row>
    <row r="38" spans="2:6" x14ac:dyDescent="0.25">
      <c r="B38" s="20" t="s">
        <v>19</v>
      </c>
      <c r="F38" s="17" t="s">
        <v>70</v>
      </c>
    </row>
    <row r="39" spans="2:6" x14ac:dyDescent="0.25">
      <c r="B39" s="14" t="s">
        <v>22</v>
      </c>
      <c r="C39" s="2"/>
      <c r="F39" s="17" t="s">
        <v>71</v>
      </c>
    </row>
    <row r="40" spans="2:6" x14ac:dyDescent="0.25">
      <c r="B40" s="14" t="s">
        <v>23</v>
      </c>
      <c r="C40" s="2"/>
      <c r="F40" s="17" t="s">
        <v>72</v>
      </c>
    </row>
    <row r="41" spans="2:6" x14ac:dyDescent="0.25">
      <c r="B41" s="14" t="s">
        <v>55</v>
      </c>
      <c r="C41" s="2"/>
      <c r="F41" s="17" t="s">
        <v>73</v>
      </c>
    </row>
    <row r="42" spans="2:6" x14ac:dyDescent="0.25">
      <c r="B42" s="14" t="s">
        <v>54</v>
      </c>
      <c r="F42" s="17" t="s">
        <v>74</v>
      </c>
    </row>
    <row r="43" spans="2:6" x14ac:dyDescent="0.25">
      <c r="B43" s="14" t="s">
        <v>40</v>
      </c>
      <c r="C43" s="2"/>
    </row>
    <row r="44" spans="2:6" x14ac:dyDescent="0.25">
      <c r="B44" s="2"/>
      <c r="C44" s="2" t="s">
        <v>5</v>
      </c>
      <c r="F44" s="17" t="s">
        <v>75</v>
      </c>
    </row>
    <row r="45" spans="2:6" x14ac:dyDescent="0.25">
      <c r="C45" t="s">
        <v>41</v>
      </c>
      <c r="F45" s="17" t="s">
        <v>76</v>
      </c>
    </row>
    <row r="46" spans="2:6" x14ac:dyDescent="0.25">
      <c r="B46" s="2"/>
      <c r="C46" s="2" t="s">
        <v>42</v>
      </c>
      <c r="F46" s="17" t="s">
        <v>77</v>
      </c>
    </row>
    <row r="47" spans="2:6" x14ac:dyDescent="0.25">
      <c r="C47" s="2" t="s">
        <v>43</v>
      </c>
      <c r="F47" s="17" t="s">
        <v>78</v>
      </c>
    </row>
    <row r="48" spans="2:6" x14ac:dyDescent="0.25">
      <c r="B48" s="2"/>
      <c r="C48" s="2" t="s">
        <v>39</v>
      </c>
      <c r="F48" s="17" t="s">
        <v>79</v>
      </c>
    </row>
    <row r="49" spans="2:10" x14ac:dyDescent="0.25">
      <c r="B49" s="2" t="s">
        <v>24</v>
      </c>
      <c r="F49" s="17" t="s">
        <v>80</v>
      </c>
    </row>
    <row r="50" spans="2:10" x14ac:dyDescent="0.25">
      <c r="B50" t="s">
        <v>25</v>
      </c>
      <c r="F50" s="17" t="s">
        <v>81</v>
      </c>
    </row>
    <row r="51" spans="2:10" x14ac:dyDescent="0.25">
      <c r="B51" t="s">
        <v>26</v>
      </c>
      <c r="F51" s="17" t="s">
        <v>82</v>
      </c>
    </row>
    <row r="52" spans="2:10" x14ac:dyDescent="0.25">
      <c r="B52" s="2" t="s">
        <v>27</v>
      </c>
      <c r="F52" s="17" t="s">
        <v>83</v>
      </c>
    </row>
    <row r="53" spans="2:10" x14ac:dyDescent="0.25">
      <c r="B53" s="2" t="s">
        <v>56</v>
      </c>
      <c r="F53" s="17" t="s">
        <v>84</v>
      </c>
    </row>
    <row r="54" spans="2:10" x14ac:dyDescent="0.25">
      <c r="B54" s="2" t="s">
        <v>57</v>
      </c>
      <c r="F54" s="17" t="s">
        <v>85</v>
      </c>
    </row>
    <row r="55" spans="2:10" x14ac:dyDescent="0.25">
      <c r="B55" s="14" t="s">
        <v>28</v>
      </c>
      <c r="F55" s="17" t="s">
        <v>86</v>
      </c>
    </row>
    <row r="56" spans="2:10" x14ac:dyDescent="0.25">
      <c r="B56" s="14" t="s">
        <v>4</v>
      </c>
      <c r="F56" s="17" t="s">
        <v>87</v>
      </c>
    </row>
    <row r="57" spans="2:10" x14ac:dyDescent="0.25">
      <c r="B57" s="14" t="s">
        <v>29</v>
      </c>
      <c r="F57" s="17" t="s">
        <v>88</v>
      </c>
    </row>
    <row r="58" spans="2:10" x14ac:dyDescent="0.25">
      <c r="B58" s="14" t="s">
        <v>30</v>
      </c>
      <c r="F58" s="17" t="s">
        <v>89</v>
      </c>
    </row>
    <row r="59" spans="2:10" x14ac:dyDescent="0.25">
      <c r="B59" s="14" t="s">
        <v>31</v>
      </c>
      <c r="F59" s="17" t="s">
        <v>90</v>
      </c>
    </row>
    <row r="60" spans="2:10" x14ac:dyDescent="0.25">
      <c r="B60" s="14" t="s">
        <v>32</v>
      </c>
      <c r="F60" s="17" t="s">
        <v>91</v>
      </c>
    </row>
    <row r="61" spans="2:10" x14ac:dyDescent="0.25">
      <c r="B61" s="14" t="s">
        <v>33</v>
      </c>
      <c r="F61" s="17" t="s">
        <v>92</v>
      </c>
    </row>
    <row r="63" spans="2:10" x14ac:dyDescent="0.25">
      <c r="J63" s="9" t="s">
        <v>62</v>
      </c>
    </row>
  </sheetData>
  <mergeCells count="1">
    <mergeCell ref="B2:C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130" zoomScaleNormal="130" workbookViewId="0">
      <selection activeCell="W40" sqref="W40"/>
    </sheetView>
  </sheetViews>
  <sheetFormatPr defaultRowHeight="15" x14ac:dyDescent="0.25"/>
  <cols>
    <col min="1" max="1" width="3" customWidth="1"/>
    <col min="2" max="2" width="30.5703125" customWidth="1"/>
    <col min="4" max="4" width="9.140625" style="24"/>
    <col min="5" max="5" width="13.85546875" customWidth="1"/>
    <col min="6" max="6" width="13.85546875" style="15" customWidth="1"/>
    <col min="7" max="7" width="1.85546875" style="15" customWidth="1"/>
    <col min="10" max="10" width="13.7109375" customWidth="1"/>
    <col min="11" max="11" width="1.85546875" customWidth="1"/>
    <col min="12" max="12" width="9.140625" style="52"/>
    <col min="14" max="14" width="13.5703125" customWidth="1"/>
    <col min="15" max="15" width="1.85546875" customWidth="1"/>
    <col min="17" max="17" width="9.140625" style="15"/>
    <col min="18" max="18" width="13.7109375" style="15" customWidth="1"/>
  </cols>
  <sheetData>
    <row r="1" spans="1:18" x14ac:dyDescent="0.25">
      <c r="E1" s="15" t="s">
        <v>117</v>
      </c>
      <c r="F1" s="17" t="s">
        <v>116</v>
      </c>
      <c r="H1" s="24"/>
      <c r="I1" s="15" t="s">
        <v>117</v>
      </c>
      <c r="J1" s="17" t="s">
        <v>116</v>
      </c>
      <c r="K1" s="17"/>
      <c r="M1" s="15" t="s">
        <v>117</v>
      </c>
      <c r="N1" s="17" t="s">
        <v>116</v>
      </c>
      <c r="O1" s="17"/>
      <c r="Q1" s="15" t="s">
        <v>117</v>
      </c>
      <c r="R1" s="15" t="s">
        <v>116</v>
      </c>
    </row>
    <row r="2" spans="1:18" ht="15" customHeight="1" x14ac:dyDescent="0.35">
      <c r="A2" s="30" t="s">
        <v>115</v>
      </c>
      <c r="E2" s="11" t="s">
        <v>15</v>
      </c>
      <c r="H2" s="24"/>
      <c r="I2" s="11" t="s">
        <v>112</v>
      </c>
      <c r="J2" s="15"/>
      <c r="K2" s="15"/>
      <c r="M2" s="11" t="s">
        <v>107</v>
      </c>
      <c r="Q2" s="29" t="s">
        <v>28</v>
      </c>
    </row>
    <row r="3" spans="1:18" s="11" customFormat="1" ht="15" customHeight="1" x14ac:dyDescent="0.25">
      <c r="A3" s="23"/>
      <c r="B3" s="11" t="s">
        <v>15</v>
      </c>
      <c r="D3" s="27">
        <v>42711</v>
      </c>
      <c r="E3" s="29">
        <v>60</v>
      </c>
      <c r="F3" s="28">
        <f>(60*15+70*45)/60</f>
        <v>67.5</v>
      </c>
      <c r="H3" s="27">
        <v>42712</v>
      </c>
      <c r="I3" s="29">
        <v>25</v>
      </c>
      <c r="J3" s="38">
        <f>(25*36 +20*12)/48</f>
        <v>23.75</v>
      </c>
      <c r="L3" s="53" t="s">
        <v>120</v>
      </c>
      <c r="M3" s="29">
        <v>40</v>
      </c>
      <c r="N3" s="29">
        <f>(40*12+30*12+35*12)/(12+12+12)</f>
        <v>35</v>
      </c>
      <c r="P3" s="59">
        <v>42716</v>
      </c>
      <c r="Q3" s="29">
        <v>10</v>
      </c>
      <c r="R3" s="54">
        <f>(10*27+5*10)/(37)</f>
        <v>8.6486486486486491</v>
      </c>
    </row>
    <row r="4" spans="1:18" s="11" customFormat="1" ht="15" customHeight="1" x14ac:dyDescent="0.25">
      <c r="A4" s="23"/>
      <c r="B4" s="11" t="s">
        <v>16</v>
      </c>
      <c r="D4" s="27">
        <v>42717</v>
      </c>
      <c r="E4" s="29">
        <v>70</v>
      </c>
      <c r="F4" s="28">
        <f>(70*45+80*6)/(45+6)</f>
        <v>71.17647058823529</v>
      </c>
      <c r="H4" s="27">
        <v>42718</v>
      </c>
      <c r="I4" s="29">
        <v>30</v>
      </c>
      <c r="J4" s="38">
        <f>(25*24+30*8+25*10)/(48)</f>
        <v>22.708333333333332</v>
      </c>
      <c r="K4" s="37"/>
      <c r="L4" s="53" t="s">
        <v>121</v>
      </c>
      <c r="M4" s="29">
        <v>40</v>
      </c>
      <c r="N4" s="54">
        <f>(40*12+35*36)/(48)</f>
        <v>36.25</v>
      </c>
      <c r="P4" s="59">
        <v>42720</v>
      </c>
      <c r="Q4" s="29">
        <v>15</v>
      </c>
      <c r="R4" s="54">
        <f>(15*10+10*10+5*10)/(30)</f>
        <v>10</v>
      </c>
    </row>
    <row r="5" spans="1:18" s="11" customFormat="1" ht="15" customHeight="1" x14ac:dyDescent="0.25">
      <c r="A5" s="23"/>
      <c r="B5" s="11" t="s">
        <v>17</v>
      </c>
      <c r="D5" s="27">
        <v>42721</v>
      </c>
      <c r="E5" s="29">
        <v>90</v>
      </c>
      <c r="F5" s="28">
        <f>(90*30+80*22)/(52)</f>
        <v>85.769230769230774</v>
      </c>
      <c r="H5" s="27">
        <v>42722</v>
      </c>
      <c r="I5" s="29">
        <v>30</v>
      </c>
      <c r="J5" s="38">
        <f>(30*26+25*7)/(6+12+8+7)</f>
        <v>28.939393939393938</v>
      </c>
      <c r="K5" s="37"/>
      <c r="L5" s="53" t="s">
        <v>122</v>
      </c>
      <c r="M5" s="29">
        <v>50</v>
      </c>
      <c r="N5" s="54">
        <f>(50*8+40*12+35*12)/(8+12+12)</f>
        <v>40.625</v>
      </c>
      <c r="P5" s="59">
        <v>42725</v>
      </c>
      <c r="Q5" s="29">
        <v>15</v>
      </c>
      <c r="R5" s="54">
        <f>(15*19+10*10)/(29)</f>
        <v>13.275862068965518</v>
      </c>
    </row>
    <row r="6" spans="1:18" s="11" customFormat="1" ht="15" customHeight="1" x14ac:dyDescent="0.25">
      <c r="A6" s="23"/>
      <c r="B6" s="11" t="s">
        <v>110</v>
      </c>
      <c r="D6" s="27"/>
      <c r="E6" s="25" t="s">
        <v>114</v>
      </c>
      <c r="F6" s="26">
        <f>(F5-F3)</f>
        <v>18.269230769230774</v>
      </c>
      <c r="G6" s="29"/>
      <c r="H6" s="27"/>
      <c r="I6" s="25" t="s">
        <v>97</v>
      </c>
      <c r="J6" s="31">
        <f>(J5-J3)</f>
        <v>5.1893939393939377</v>
      </c>
      <c r="K6" s="31"/>
      <c r="L6" s="53"/>
      <c r="M6" s="25" t="s">
        <v>105</v>
      </c>
      <c r="N6" s="26">
        <f>(N5-N3)</f>
        <v>5.625</v>
      </c>
      <c r="Q6" s="25" t="s">
        <v>97</v>
      </c>
      <c r="R6" s="26">
        <f>(R5-R3)</f>
        <v>4.6272134203168687</v>
      </c>
    </row>
    <row r="7" spans="1:18" s="11" customFormat="1" ht="15" customHeight="1" x14ac:dyDescent="0.25">
      <c r="A7" s="23"/>
      <c r="B7" s="11" t="s">
        <v>103</v>
      </c>
      <c r="D7" s="27"/>
      <c r="E7" s="11" t="s">
        <v>16</v>
      </c>
      <c r="F7" s="29"/>
      <c r="G7" s="29"/>
      <c r="H7" s="27"/>
      <c r="I7" s="11" t="s">
        <v>23</v>
      </c>
      <c r="J7" s="29"/>
      <c r="K7" s="29"/>
      <c r="L7" s="53"/>
      <c r="M7" s="11" t="s">
        <v>106</v>
      </c>
      <c r="Q7" s="29" t="s">
        <v>4</v>
      </c>
      <c r="R7" s="29"/>
    </row>
    <row r="8" spans="1:18" s="11" customFormat="1" ht="15" customHeight="1" x14ac:dyDescent="0.25">
      <c r="A8" s="23"/>
      <c r="B8" s="11" t="s">
        <v>99</v>
      </c>
      <c r="D8" s="27">
        <v>42711</v>
      </c>
      <c r="E8" s="29">
        <v>25</v>
      </c>
      <c r="F8" s="28">
        <f>(25*135+27.5*45)/(45*4)</f>
        <v>25.625</v>
      </c>
      <c r="H8" s="27">
        <v>42712</v>
      </c>
      <c r="I8" s="29">
        <v>30</v>
      </c>
      <c r="J8" s="11">
        <f>(30*10+25*20+20*10)/(40)</f>
        <v>25</v>
      </c>
      <c r="L8" s="53" t="s">
        <v>120</v>
      </c>
      <c r="M8" s="29">
        <v>25</v>
      </c>
      <c r="N8" s="54">
        <f>(20*10+25*20)/(30)</f>
        <v>23.333333333333332</v>
      </c>
      <c r="P8" s="59">
        <v>42716</v>
      </c>
      <c r="Q8" s="29">
        <v>5</v>
      </c>
      <c r="R8" s="54">
        <v>5</v>
      </c>
    </row>
    <row r="9" spans="1:18" s="11" customFormat="1" ht="15" customHeight="1" x14ac:dyDescent="0.25">
      <c r="A9" s="23"/>
      <c r="B9" s="11" t="s">
        <v>96</v>
      </c>
      <c r="D9" s="27">
        <v>42717</v>
      </c>
      <c r="E9" s="29">
        <v>35</v>
      </c>
      <c r="F9" s="28">
        <f>(30*45+35*36+30*23+25*45)/(45+36+23+45)</f>
        <v>29.697986577181208</v>
      </c>
      <c r="H9" s="27">
        <v>42718</v>
      </c>
      <c r="I9" s="29">
        <v>30</v>
      </c>
      <c r="J9" s="38">
        <f>(30*10+30*5+25*14)/(29)</f>
        <v>27.586206896551722</v>
      </c>
      <c r="K9" s="37"/>
      <c r="L9" s="53" t="s">
        <v>121</v>
      </c>
      <c r="M9" s="29">
        <v>30</v>
      </c>
      <c r="N9" s="54">
        <f>(25*30+30*10)/(40)</f>
        <v>26.25</v>
      </c>
      <c r="P9" s="59">
        <v>42720</v>
      </c>
      <c r="Q9" s="29">
        <v>10</v>
      </c>
      <c r="R9" s="54">
        <f>(5*40+10*20)/(60)</f>
        <v>6.666666666666667</v>
      </c>
    </row>
    <row r="10" spans="1:18" s="11" customFormat="1" ht="15" customHeight="1" x14ac:dyDescent="0.25">
      <c r="D10" s="27">
        <v>42721</v>
      </c>
      <c r="E10" s="29">
        <v>35</v>
      </c>
      <c r="F10" s="28">
        <f>(35*45+30*45+30*29)/(45+45+29)</f>
        <v>31.890756302521009</v>
      </c>
      <c r="H10" s="27">
        <v>42722</v>
      </c>
      <c r="I10" s="29">
        <v>30</v>
      </c>
      <c r="J10" s="11">
        <f>(30*22+35*6+25*6)/(34)</f>
        <v>30</v>
      </c>
      <c r="L10" s="53" t="s">
        <v>122</v>
      </c>
      <c r="M10" s="29">
        <v>30</v>
      </c>
      <c r="N10" s="29">
        <f>(30*38)/(38)</f>
        <v>30</v>
      </c>
      <c r="P10" s="59">
        <v>42725</v>
      </c>
      <c r="Q10" s="29">
        <v>10</v>
      </c>
      <c r="R10" s="54">
        <f>(10*21+5*40)/(61)</f>
        <v>6.721311475409836</v>
      </c>
    </row>
    <row r="11" spans="1:18" ht="15" customHeight="1" x14ac:dyDescent="0.35">
      <c r="A11" s="30" t="s">
        <v>113</v>
      </c>
      <c r="E11" s="25" t="s">
        <v>105</v>
      </c>
      <c r="F11" s="26">
        <f>(F10-F8)</f>
        <v>6.2657563025210088</v>
      </c>
      <c r="H11" s="24"/>
      <c r="I11" s="25" t="s">
        <v>95</v>
      </c>
      <c r="J11" s="31">
        <f>(J10-J8)</f>
        <v>5</v>
      </c>
      <c r="K11" s="31"/>
      <c r="L11" s="53"/>
      <c r="M11" s="25" t="s">
        <v>97</v>
      </c>
      <c r="N11" s="26">
        <f>(N10-N8)</f>
        <v>6.6666666666666679</v>
      </c>
      <c r="Q11" s="25" t="s">
        <v>97</v>
      </c>
      <c r="R11" s="26">
        <f>(R10-R8)</f>
        <v>1.721311475409836</v>
      </c>
    </row>
    <row r="12" spans="1:18" s="11" customFormat="1" ht="15" customHeight="1" x14ac:dyDescent="0.25">
      <c r="A12" s="23"/>
      <c r="B12" s="11" t="s">
        <v>112</v>
      </c>
      <c r="D12" s="27"/>
      <c r="E12" s="11" t="s">
        <v>17</v>
      </c>
      <c r="F12" s="29"/>
      <c r="G12" s="29"/>
      <c r="H12" s="27"/>
      <c r="I12" s="11" t="s">
        <v>55</v>
      </c>
      <c r="J12" s="29"/>
      <c r="K12" s="29"/>
      <c r="L12" s="53"/>
      <c r="M12" s="11" t="s">
        <v>26</v>
      </c>
      <c r="Q12" s="29" t="s">
        <v>29</v>
      </c>
      <c r="R12" s="15"/>
    </row>
    <row r="13" spans="1:18" s="11" customFormat="1" ht="15" customHeight="1" x14ac:dyDescent="0.25">
      <c r="A13" s="23"/>
      <c r="B13" s="11" t="s">
        <v>23</v>
      </c>
      <c r="D13" s="27">
        <v>42711</v>
      </c>
      <c r="E13" s="29">
        <v>70</v>
      </c>
      <c r="F13" s="28">
        <f>(70*24+60*24)/(48)</f>
        <v>65</v>
      </c>
      <c r="H13" s="27">
        <v>42712</v>
      </c>
      <c r="I13" s="29">
        <v>20</v>
      </c>
      <c r="J13" s="36">
        <f>(20*24+15*26)/(24+26)</f>
        <v>17.399999999999999</v>
      </c>
      <c r="K13" s="29"/>
      <c r="L13" s="53" t="s">
        <v>120</v>
      </c>
      <c r="M13" s="29">
        <v>65</v>
      </c>
      <c r="N13" s="54">
        <f>(50*30+60*6)/(36)</f>
        <v>51.666666666666664</v>
      </c>
      <c r="P13" s="59">
        <v>42716</v>
      </c>
      <c r="Q13" s="29">
        <v>50</v>
      </c>
      <c r="R13" s="54">
        <f>(50*5+40*30)/(35)</f>
        <v>41.428571428571431</v>
      </c>
    </row>
    <row r="14" spans="1:18" s="11" customFormat="1" ht="15" customHeight="1" x14ac:dyDescent="0.25">
      <c r="A14" s="23"/>
      <c r="B14" s="11" t="s">
        <v>55</v>
      </c>
      <c r="D14" s="27">
        <v>42717</v>
      </c>
      <c r="E14" s="29">
        <v>80</v>
      </c>
      <c r="F14" s="28">
        <f>(80*15+70*39)/(15+39)</f>
        <v>72.777777777777771</v>
      </c>
      <c r="H14" s="27">
        <v>42718</v>
      </c>
      <c r="I14" s="29">
        <v>17.5</v>
      </c>
      <c r="J14" s="35">
        <f>(15*24+17.5*25)/(24+25)</f>
        <v>16.275510204081634</v>
      </c>
      <c r="K14" s="29"/>
      <c r="L14" s="53" t="s">
        <v>121</v>
      </c>
      <c r="M14" s="29">
        <v>60</v>
      </c>
      <c r="N14" s="54">
        <f>(50*15+55*30+60*10)/(15+30+10)</f>
        <v>54.545454545454547</v>
      </c>
      <c r="P14" s="59">
        <v>42720</v>
      </c>
      <c r="Q14" s="29">
        <v>50</v>
      </c>
      <c r="R14" s="54">
        <f>(50*18+40*10+45*7)/(18+7+10)</f>
        <v>46.142857142857146</v>
      </c>
    </row>
    <row r="15" spans="1:18" s="11" customFormat="1" ht="15" customHeight="1" x14ac:dyDescent="0.25">
      <c r="A15" s="23"/>
      <c r="B15" s="11" t="s">
        <v>54</v>
      </c>
      <c r="D15" s="27">
        <v>42721</v>
      </c>
      <c r="E15" s="29">
        <v>90</v>
      </c>
      <c r="F15" s="28">
        <f>(90*24+80*24)/(48)</f>
        <v>85</v>
      </c>
      <c r="H15" s="27">
        <v>42722</v>
      </c>
      <c r="I15" s="29">
        <v>17.5</v>
      </c>
      <c r="J15" s="35">
        <f>(17.5*24+15*24)/(24+24)</f>
        <v>16.25</v>
      </c>
      <c r="K15" s="29"/>
      <c r="L15" s="53" t="s">
        <v>122</v>
      </c>
      <c r="M15" s="29">
        <v>70</v>
      </c>
      <c r="N15" s="54">
        <f>(70*9+60*40)/(49)</f>
        <v>61.836734693877553</v>
      </c>
      <c r="P15" s="59">
        <v>42725</v>
      </c>
      <c r="Q15" s="29">
        <v>60</v>
      </c>
      <c r="R15" s="29">
        <f>(60*10+55*16+50*10)/(10+16+10)</f>
        <v>55</v>
      </c>
    </row>
    <row r="16" spans="1:18" s="11" customFormat="1" ht="15" customHeight="1" x14ac:dyDescent="0.25">
      <c r="A16" s="23"/>
      <c r="B16" s="11" t="s">
        <v>40</v>
      </c>
      <c r="D16" s="27"/>
      <c r="E16" s="25" t="s">
        <v>104</v>
      </c>
      <c r="F16" s="26">
        <f>(F15-F13)</f>
        <v>20</v>
      </c>
      <c r="G16" s="29"/>
      <c r="H16" s="27"/>
      <c r="I16" s="25" t="s">
        <v>111</v>
      </c>
      <c r="J16" s="34">
        <f>(J15-J13)</f>
        <v>-1.1499999999999986</v>
      </c>
      <c r="K16" s="29"/>
      <c r="L16" s="53"/>
      <c r="M16" s="25" t="s">
        <v>97</v>
      </c>
      <c r="N16" s="26">
        <f>(N15-N13)</f>
        <v>10.170068027210888</v>
      </c>
      <c r="Q16" s="25" t="s">
        <v>105</v>
      </c>
      <c r="R16" s="26">
        <f>(R15-R13)</f>
        <v>13.571428571428569</v>
      </c>
    </row>
    <row r="17" spans="1:18" s="11" customFormat="1" ht="15" customHeight="1" x14ac:dyDescent="0.25">
      <c r="A17" s="23"/>
      <c r="D17" s="27"/>
      <c r="E17" s="11" t="s">
        <v>110</v>
      </c>
      <c r="F17" s="29"/>
      <c r="G17" s="29"/>
      <c r="H17" s="27"/>
      <c r="I17" s="11" t="s">
        <v>109</v>
      </c>
      <c r="J17" s="29"/>
      <c r="K17" s="29"/>
      <c r="L17" s="53"/>
      <c r="M17" s="11" t="s">
        <v>27</v>
      </c>
      <c r="Q17" s="29" t="s">
        <v>30</v>
      </c>
      <c r="R17" s="29"/>
    </row>
    <row r="18" spans="1:18" ht="15" customHeight="1" x14ac:dyDescent="0.35">
      <c r="A18" s="30" t="s">
        <v>108</v>
      </c>
      <c r="D18" s="27">
        <v>42711</v>
      </c>
      <c r="E18" s="15">
        <v>30</v>
      </c>
      <c r="F18" s="28">
        <f>(30*30+40*2)/(32)</f>
        <v>30.625</v>
      </c>
      <c r="G18"/>
      <c r="H18" s="27">
        <v>42712</v>
      </c>
      <c r="I18" s="15">
        <v>50</v>
      </c>
      <c r="J18" s="9">
        <v>50</v>
      </c>
      <c r="K18" s="15"/>
      <c r="L18" s="53" t="s">
        <v>120</v>
      </c>
      <c r="M18" s="29">
        <v>35</v>
      </c>
      <c r="N18" s="55">
        <f>(30*8+35*16)/(24)</f>
        <v>33.333333333333336</v>
      </c>
      <c r="P18" s="59">
        <v>42716</v>
      </c>
      <c r="Q18" s="29">
        <v>60</v>
      </c>
      <c r="R18" s="15">
        <f>(60*45)/(45)</f>
        <v>60</v>
      </c>
    </row>
    <row r="19" spans="1:18" s="11" customFormat="1" ht="15" customHeight="1" x14ac:dyDescent="0.25">
      <c r="A19" s="23"/>
      <c r="B19" s="11" t="s">
        <v>107</v>
      </c>
      <c r="D19" s="27">
        <v>42717</v>
      </c>
      <c r="E19" s="29">
        <v>30</v>
      </c>
      <c r="F19" s="28">
        <f>(30*32+20*15)/(32+15)</f>
        <v>26.808510638297872</v>
      </c>
      <c r="H19" s="27">
        <v>42718</v>
      </c>
      <c r="I19" s="29">
        <v>70</v>
      </c>
      <c r="J19" s="33">
        <f>(60*36+70*8)/(36+8)</f>
        <v>61.81818181818182</v>
      </c>
      <c r="K19" s="29"/>
      <c r="L19" s="53" t="s">
        <v>121</v>
      </c>
      <c r="M19" s="29">
        <v>35</v>
      </c>
      <c r="N19" s="54">
        <f>(30*15+35*24)/(39)</f>
        <v>33.07692307692308</v>
      </c>
      <c r="P19" s="59">
        <v>42720</v>
      </c>
      <c r="Q19" s="29">
        <v>80</v>
      </c>
      <c r="R19" s="54">
        <f>(60*30+70*15+80*15)/(60)</f>
        <v>67.5</v>
      </c>
    </row>
    <row r="20" spans="1:18" s="11" customFormat="1" ht="15" customHeight="1" x14ac:dyDescent="0.25">
      <c r="A20" s="23"/>
      <c r="B20" s="11" t="s">
        <v>106</v>
      </c>
      <c r="D20" s="27">
        <v>42721</v>
      </c>
      <c r="E20" s="29">
        <v>40</v>
      </c>
      <c r="F20" s="28">
        <f>(40*4+30*30)/(34)</f>
        <v>31.176470588235293</v>
      </c>
      <c r="H20" s="27">
        <v>42722</v>
      </c>
      <c r="I20" s="29">
        <v>70</v>
      </c>
      <c r="J20" s="32">
        <f>(70*39)/(39)</f>
        <v>70</v>
      </c>
      <c r="K20" s="29"/>
      <c r="L20" s="53" t="s">
        <v>122</v>
      </c>
      <c r="M20" s="29">
        <v>40</v>
      </c>
      <c r="N20" s="54">
        <f>(35*24+40*6)/(30)</f>
        <v>36</v>
      </c>
      <c r="P20" s="59">
        <v>42725</v>
      </c>
      <c r="Q20" s="29">
        <v>80</v>
      </c>
      <c r="R20" s="54">
        <f>(80*23+60*15)/(23+15)</f>
        <v>72.10526315789474</v>
      </c>
    </row>
    <row r="21" spans="1:18" s="11" customFormat="1" ht="15" customHeight="1" x14ac:dyDescent="0.25">
      <c r="A21" s="23"/>
      <c r="B21" s="11" t="s">
        <v>26</v>
      </c>
      <c r="D21" s="27"/>
      <c r="E21" s="25" t="s">
        <v>105</v>
      </c>
      <c r="F21" s="26">
        <f>(F20-F18)</f>
        <v>0.55147058823529349</v>
      </c>
      <c r="H21" s="27"/>
      <c r="I21" s="25" t="s">
        <v>104</v>
      </c>
      <c r="J21" s="31">
        <f>(J20-J18)</f>
        <v>20</v>
      </c>
      <c r="K21" s="29"/>
      <c r="L21" s="53"/>
      <c r="M21" s="25" t="s">
        <v>97</v>
      </c>
      <c r="N21" s="26">
        <f>(N20-N18)</f>
        <v>2.6666666666666643</v>
      </c>
      <c r="Q21" s="25" t="s">
        <v>104</v>
      </c>
      <c r="R21" s="26">
        <f>(R20-R18)</f>
        <v>12.10526315789474</v>
      </c>
    </row>
    <row r="22" spans="1:18" s="11" customFormat="1" ht="15" customHeight="1" x14ac:dyDescent="0.25">
      <c r="A22" s="23"/>
      <c r="B22" s="11" t="s">
        <v>27</v>
      </c>
      <c r="D22" s="27"/>
      <c r="E22" s="11" t="s">
        <v>103</v>
      </c>
      <c r="F22" s="29"/>
      <c r="G22" s="29"/>
      <c r="H22" s="27"/>
      <c r="I22" s="11" t="s">
        <v>40</v>
      </c>
      <c r="J22" s="29"/>
      <c r="K22" s="29"/>
      <c r="L22" s="53"/>
      <c r="M22" s="11" t="s">
        <v>56</v>
      </c>
      <c r="Q22" s="29" t="s">
        <v>31</v>
      </c>
      <c r="R22" s="29"/>
    </row>
    <row r="23" spans="1:18" s="11" customFormat="1" ht="15" customHeight="1" x14ac:dyDescent="0.25">
      <c r="A23" s="23"/>
      <c r="B23" s="11" t="s">
        <v>56</v>
      </c>
      <c r="D23" s="27">
        <v>42711</v>
      </c>
      <c r="E23" s="29">
        <v>15</v>
      </c>
      <c r="F23" s="28">
        <f>(15*17)/(17)</f>
        <v>15</v>
      </c>
      <c r="H23" s="27">
        <v>42712</v>
      </c>
      <c r="I23" s="29">
        <v>1</v>
      </c>
      <c r="J23" s="29" t="s">
        <v>102</v>
      </c>
      <c r="K23" s="29"/>
      <c r="L23" s="53" t="s">
        <v>120</v>
      </c>
      <c r="M23" s="29">
        <v>16</v>
      </c>
      <c r="N23" s="29">
        <v>16</v>
      </c>
      <c r="P23" s="59">
        <v>42716</v>
      </c>
      <c r="Q23" s="29"/>
      <c r="R23" s="29"/>
    </row>
    <row r="24" spans="1:18" s="11" customFormat="1" ht="15" customHeight="1" x14ac:dyDescent="0.25">
      <c r="A24" s="23"/>
      <c r="B24" s="11" t="s">
        <v>98</v>
      </c>
      <c r="D24" s="27">
        <v>42717</v>
      </c>
      <c r="E24" s="29">
        <v>20</v>
      </c>
      <c r="F24" s="28">
        <f>(20*9+15*23)/(9+23)</f>
        <v>16.40625</v>
      </c>
      <c r="H24" s="27">
        <v>42718</v>
      </c>
      <c r="I24" s="29">
        <v>2</v>
      </c>
      <c r="J24" s="29" t="s">
        <v>102</v>
      </c>
      <c r="K24" s="29"/>
      <c r="L24" s="53" t="s">
        <v>121</v>
      </c>
      <c r="M24" s="29">
        <v>16</v>
      </c>
      <c r="N24" s="29">
        <v>16</v>
      </c>
      <c r="P24" s="59">
        <v>42720</v>
      </c>
      <c r="Q24" s="29"/>
      <c r="R24" s="29"/>
    </row>
    <row r="25" spans="1:18" s="11" customFormat="1" ht="15" customHeight="1" x14ac:dyDescent="0.25">
      <c r="A25" s="23"/>
      <c r="D25" s="27">
        <v>42721</v>
      </c>
      <c r="E25" s="29">
        <v>20</v>
      </c>
      <c r="F25" s="28">
        <f>(20*15+15*9)/(15+9)</f>
        <v>18.125</v>
      </c>
      <c r="H25" s="27">
        <v>42722</v>
      </c>
      <c r="I25" s="29">
        <v>3</v>
      </c>
      <c r="J25" s="29" t="s">
        <v>102</v>
      </c>
      <c r="K25" s="29"/>
      <c r="L25" s="53" t="s">
        <v>122</v>
      </c>
      <c r="M25" s="29">
        <v>16</v>
      </c>
      <c r="N25" s="29">
        <v>16</v>
      </c>
      <c r="P25" s="59">
        <v>42725</v>
      </c>
      <c r="Q25" s="29"/>
      <c r="R25" s="29"/>
    </row>
    <row r="26" spans="1:18" ht="15" customHeight="1" x14ac:dyDescent="0.35">
      <c r="A26" s="30" t="s">
        <v>101</v>
      </c>
      <c r="E26" s="25" t="s">
        <v>97</v>
      </c>
      <c r="F26" s="26">
        <f>(F25-F23)</f>
        <v>3.125</v>
      </c>
      <c r="H26" s="24"/>
      <c r="I26" s="25" t="s">
        <v>100</v>
      </c>
      <c r="J26" s="29"/>
      <c r="K26" s="15"/>
      <c r="L26" s="53"/>
      <c r="M26" s="25" t="s">
        <v>123</v>
      </c>
      <c r="N26" s="56" t="s">
        <v>102</v>
      </c>
    </row>
    <row r="27" spans="1:18" s="11" customFormat="1" ht="15" customHeight="1" x14ac:dyDescent="0.25">
      <c r="B27" s="11" t="s">
        <v>28</v>
      </c>
      <c r="D27" s="27"/>
      <c r="E27" s="11" t="s">
        <v>99</v>
      </c>
      <c r="F27" s="29"/>
      <c r="G27" s="29"/>
      <c r="H27" s="27"/>
      <c r="J27" s="29"/>
      <c r="K27" s="29"/>
      <c r="L27" s="53"/>
      <c r="M27" s="11" t="s">
        <v>98</v>
      </c>
      <c r="Q27" s="29" t="s">
        <v>32</v>
      </c>
      <c r="R27" s="29"/>
    </row>
    <row r="28" spans="1:18" ht="15" customHeight="1" x14ac:dyDescent="0.25">
      <c r="B28" s="11" t="s">
        <v>4</v>
      </c>
      <c r="D28" s="27">
        <v>42711</v>
      </c>
      <c r="E28" s="15">
        <v>15</v>
      </c>
      <c r="F28" s="28">
        <f>(10*12+15*12)/(24)</f>
        <v>12.5</v>
      </c>
      <c r="G28"/>
      <c r="H28" s="27"/>
      <c r="I28" s="11"/>
      <c r="J28" s="15"/>
      <c r="K28" s="15"/>
      <c r="L28" s="53" t="s">
        <v>120</v>
      </c>
      <c r="M28" s="29">
        <v>12</v>
      </c>
      <c r="N28" s="29">
        <v>12</v>
      </c>
      <c r="P28" s="59">
        <v>42716</v>
      </c>
    </row>
    <row r="29" spans="1:18" ht="15" customHeight="1" x14ac:dyDescent="0.25">
      <c r="B29" s="11" t="s">
        <v>29</v>
      </c>
      <c r="D29" s="27">
        <v>42717</v>
      </c>
      <c r="E29" s="15">
        <v>15</v>
      </c>
      <c r="F29" s="28">
        <f>(10*22+15*4)/(26)</f>
        <v>10.76923076923077</v>
      </c>
      <c r="G29"/>
      <c r="H29" s="27"/>
      <c r="I29" s="11"/>
      <c r="J29" s="15"/>
      <c r="K29" s="15"/>
      <c r="L29" s="53" t="s">
        <v>121</v>
      </c>
      <c r="M29" s="29">
        <v>12</v>
      </c>
      <c r="N29" s="29">
        <v>12</v>
      </c>
      <c r="P29" s="59">
        <v>42720</v>
      </c>
    </row>
    <row r="30" spans="1:18" ht="15" customHeight="1" x14ac:dyDescent="0.25">
      <c r="B30" s="11" t="s">
        <v>30</v>
      </c>
      <c r="D30" s="27">
        <v>42721</v>
      </c>
      <c r="E30" s="15">
        <v>20</v>
      </c>
      <c r="F30" s="28">
        <f>(10*36+20*6)/(36+6)</f>
        <v>11.428571428571429</v>
      </c>
      <c r="H30" s="27"/>
      <c r="I30" s="15"/>
      <c r="J30" s="15"/>
      <c r="K30" s="15"/>
      <c r="L30" s="53" t="s">
        <v>122</v>
      </c>
      <c r="M30" s="29">
        <v>12</v>
      </c>
      <c r="N30" s="29">
        <v>12</v>
      </c>
      <c r="P30" s="59">
        <v>42725</v>
      </c>
    </row>
    <row r="31" spans="1:18" ht="15" customHeight="1" x14ac:dyDescent="0.25">
      <c r="B31" s="11" t="s">
        <v>31</v>
      </c>
      <c r="E31" s="25" t="s">
        <v>97</v>
      </c>
      <c r="F31" s="26">
        <f>(F30-F28)</f>
        <v>-1.0714285714285712</v>
      </c>
      <c r="H31" s="24"/>
      <c r="I31" s="25"/>
      <c r="J31" s="15"/>
      <c r="K31" s="15"/>
      <c r="L31" s="53"/>
      <c r="M31" s="25" t="s">
        <v>123</v>
      </c>
      <c r="N31" s="56" t="s">
        <v>102</v>
      </c>
    </row>
    <row r="32" spans="1:18" ht="15" customHeight="1" x14ac:dyDescent="0.25">
      <c r="B32" s="11" t="s">
        <v>32</v>
      </c>
      <c r="E32" s="11" t="s">
        <v>96</v>
      </c>
      <c r="H32" s="24"/>
      <c r="I32" s="11"/>
      <c r="J32" s="15"/>
      <c r="K32" s="15"/>
    </row>
    <row r="33" spans="2:17" ht="15" customHeight="1" x14ac:dyDescent="0.25">
      <c r="B33" s="11" t="s">
        <v>33</v>
      </c>
      <c r="D33" s="27">
        <v>42711</v>
      </c>
      <c r="E33" s="15">
        <v>15</v>
      </c>
      <c r="F33" s="28">
        <f>(15*15)/(15)</f>
        <v>15</v>
      </c>
      <c r="G33"/>
      <c r="H33" s="27"/>
      <c r="I33" s="15"/>
      <c r="J33" s="15"/>
      <c r="K33" s="15"/>
      <c r="Q33" s="29" t="s">
        <v>33</v>
      </c>
    </row>
    <row r="34" spans="2:17" ht="15" customHeight="1" x14ac:dyDescent="0.25">
      <c r="D34" s="27">
        <v>42717</v>
      </c>
      <c r="E34" s="15">
        <v>15</v>
      </c>
      <c r="F34" s="28">
        <f>(15*11+10*8)/(11+8)</f>
        <v>12.894736842105264</v>
      </c>
      <c r="G34"/>
      <c r="H34" s="27"/>
      <c r="I34" s="15"/>
      <c r="J34" s="15"/>
      <c r="K34" s="15"/>
      <c r="P34" s="59">
        <v>42716</v>
      </c>
    </row>
    <row r="35" spans="2:17" ht="15" customHeight="1" x14ac:dyDescent="0.25">
      <c r="D35" s="27">
        <v>42721</v>
      </c>
      <c r="E35" s="15">
        <v>15</v>
      </c>
      <c r="F35" s="28">
        <f>(15*12+10*24)/(36)</f>
        <v>11.666666666666666</v>
      </c>
      <c r="G35"/>
      <c r="H35" s="27"/>
      <c r="I35" s="15"/>
      <c r="J35" s="15"/>
      <c r="K35" s="15"/>
      <c r="P35" s="59">
        <v>42720</v>
      </c>
    </row>
    <row r="36" spans="2:17" ht="15" customHeight="1" x14ac:dyDescent="0.25">
      <c r="B36" s="11"/>
      <c r="E36" s="25" t="s">
        <v>95</v>
      </c>
      <c r="F36" s="26">
        <f>(F35-F33)</f>
        <v>-3.3333333333333339</v>
      </c>
      <c r="H36" s="24"/>
      <c r="I36" s="25"/>
      <c r="J36" s="15"/>
      <c r="K36" s="15"/>
      <c r="P36" s="59">
        <v>42725</v>
      </c>
    </row>
    <row r="37" spans="2:17" x14ac:dyDescent="0.25">
      <c r="B37" t="s">
        <v>94</v>
      </c>
    </row>
    <row r="38" spans="2:17" x14ac:dyDescent="0.25">
      <c r="B38" s="11" t="s">
        <v>93</v>
      </c>
    </row>
    <row r="39" spans="2:17" x14ac:dyDescent="0.25">
      <c r="B39" s="11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8" sqref="D8"/>
    </sheetView>
  </sheetViews>
  <sheetFormatPr defaultRowHeight="15" x14ac:dyDescent="0.25"/>
  <cols>
    <col min="1" max="1" width="8.42578125" customWidth="1"/>
    <col min="2" max="3" width="14.28515625" customWidth="1"/>
  </cols>
  <sheetData>
    <row r="1" spans="1:4" ht="33.75" x14ac:dyDescent="0.5">
      <c r="A1" s="51" t="s">
        <v>115</v>
      </c>
    </row>
    <row r="2" spans="1:4" x14ac:dyDescent="0.25">
      <c r="A2" s="24"/>
      <c r="B2" s="15" t="s">
        <v>117</v>
      </c>
      <c r="C2" s="15" t="s">
        <v>119</v>
      </c>
    </row>
    <row r="3" spans="1:4" ht="15.75" thickBot="1" x14ac:dyDescent="0.3">
      <c r="A3" s="24"/>
      <c r="B3" s="11" t="s">
        <v>15</v>
      </c>
      <c r="C3" s="15"/>
    </row>
    <row r="4" spans="1:4" x14ac:dyDescent="0.25">
      <c r="A4" s="47">
        <v>42711</v>
      </c>
      <c r="B4" s="50">
        <v>60</v>
      </c>
      <c r="C4" s="45">
        <f>(60*15+70*45)/60</f>
        <v>67.5</v>
      </c>
    </row>
    <row r="5" spans="1:4" x14ac:dyDescent="0.25">
      <c r="A5" s="44">
        <v>42717</v>
      </c>
      <c r="B5" s="49">
        <v>70</v>
      </c>
      <c r="C5" s="42">
        <f>(70*45+80*6)/(45+6)</f>
        <v>71.17647058823529</v>
      </c>
    </row>
    <row r="6" spans="1:4" x14ac:dyDescent="0.25">
      <c r="A6" s="44">
        <v>42721</v>
      </c>
      <c r="B6" s="49">
        <v>90</v>
      </c>
      <c r="C6" s="42">
        <f>(90*30+80*22)/(52)</f>
        <v>85.769230769230774</v>
      </c>
    </row>
    <row r="7" spans="1:4" ht="15.75" thickBot="1" x14ac:dyDescent="0.3">
      <c r="A7" s="41">
        <v>42727</v>
      </c>
      <c r="B7" s="48">
        <v>100</v>
      </c>
      <c r="C7" s="39">
        <f>(100*10+90*10+80*20)/(40)</f>
        <v>87.5</v>
      </c>
    </row>
    <row r="8" spans="1:4" x14ac:dyDescent="0.25">
      <c r="A8" s="27"/>
      <c r="B8" s="25" t="s">
        <v>126</v>
      </c>
      <c r="C8" s="26">
        <f>(C7-C4)</f>
        <v>20</v>
      </c>
      <c r="D8" s="58">
        <f>C8/B7</f>
        <v>0.2</v>
      </c>
    </row>
    <row r="9" spans="1:4" ht="15.75" thickBot="1" x14ac:dyDescent="0.3">
      <c r="A9" s="27"/>
      <c r="B9" s="11" t="s">
        <v>16</v>
      </c>
      <c r="C9" s="29"/>
    </row>
    <row r="10" spans="1:4" x14ac:dyDescent="0.25">
      <c r="A10" s="47">
        <v>42711</v>
      </c>
      <c r="B10" s="50">
        <v>25</v>
      </c>
      <c r="C10" s="45">
        <f>(25*135+27.5*45)/(45*4)</f>
        <v>25.625</v>
      </c>
    </row>
    <row r="11" spans="1:4" x14ac:dyDescent="0.25">
      <c r="A11" s="44">
        <v>42717</v>
      </c>
      <c r="B11" s="49">
        <v>35</v>
      </c>
      <c r="C11" s="42">
        <f>(30*45+35*36+30*23+25*45)/(45+36+23+45)</f>
        <v>29.697986577181208</v>
      </c>
    </row>
    <row r="12" spans="1:4" x14ac:dyDescent="0.25">
      <c r="A12" s="44">
        <v>42721</v>
      </c>
      <c r="B12" s="49">
        <v>35</v>
      </c>
      <c r="C12" s="42">
        <f>(35*45+30*45+30*29)/(45+45+29)</f>
        <v>31.890756302521009</v>
      </c>
    </row>
    <row r="13" spans="1:4" ht="15.75" thickBot="1" x14ac:dyDescent="0.3">
      <c r="A13" s="41">
        <v>42727</v>
      </c>
      <c r="B13" s="48">
        <v>50</v>
      </c>
      <c r="C13" s="39">
        <f>(50*20+35*36+30*45+30*29)/(20+36+45+29)</f>
        <v>34.46153846153846</v>
      </c>
    </row>
    <row r="14" spans="1:4" x14ac:dyDescent="0.25">
      <c r="A14" s="24"/>
      <c r="B14" s="25" t="s">
        <v>125</v>
      </c>
      <c r="C14" s="26">
        <f>(C13-C10)</f>
        <v>8.8365384615384599</v>
      </c>
      <c r="D14" s="58">
        <f>C14/B13</f>
        <v>0.17673076923076919</v>
      </c>
    </row>
    <row r="15" spans="1:4" ht="15.75" thickBot="1" x14ac:dyDescent="0.3">
      <c r="A15" s="27"/>
      <c r="B15" s="11" t="s">
        <v>17</v>
      </c>
      <c r="C15" s="29"/>
    </row>
    <row r="16" spans="1:4" x14ac:dyDescent="0.25">
      <c r="A16" s="47">
        <v>42711</v>
      </c>
      <c r="B16" s="50">
        <v>70</v>
      </c>
      <c r="C16" s="45">
        <f>(70*24+60*24)/(48)</f>
        <v>65</v>
      </c>
    </row>
    <row r="17" spans="1:4" x14ac:dyDescent="0.25">
      <c r="A17" s="44">
        <v>42717</v>
      </c>
      <c r="B17" s="49">
        <v>80</v>
      </c>
      <c r="C17" s="42">
        <f>(80*15+70*39)/(15+39)</f>
        <v>72.777777777777771</v>
      </c>
    </row>
    <row r="18" spans="1:4" x14ac:dyDescent="0.25">
      <c r="A18" s="44">
        <v>42721</v>
      </c>
      <c r="B18" s="49">
        <v>90</v>
      </c>
      <c r="C18" s="42">
        <f>(90*24+80*24)/(48)</f>
        <v>85</v>
      </c>
    </row>
    <row r="19" spans="1:4" ht="15.75" thickBot="1" x14ac:dyDescent="0.3">
      <c r="A19" s="41">
        <v>42727</v>
      </c>
      <c r="B19" s="48">
        <v>90</v>
      </c>
      <c r="C19" s="39">
        <f>(90*31+80*12)/(31+12)</f>
        <v>87.20930232558139</v>
      </c>
    </row>
    <row r="20" spans="1:4" x14ac:dyDescent="0.25">
      <c r="A20" s="27"/>
      <c r="B20" s="25" t="s">
        <v>114</v>
      </c>
      <c r="C20" s="26">
        <f>(C19-C16)</f>
        <v>22.20930232558139</v>
      </c>
      <c r="D20" s="58">
        <f>C20/B19</f>
        <v>0.24677002583979324</v>
      </c>
    </row>
    <row r="21" spans="1:4" ht="15.75" thickBot="1" x14ac:dyDescent="0.3">
      <c r="A21" s="27"/>
      <c r="B21" s="11" t="s">
        <v>110</v>
      </c>
      <c r="C21" s="29"/>
    </row>
    <row r="22" spans="1:4" x14ac:dyDescent="0.25">
      <c r="A22" s="47">
        <v>42711</v>
      </c>
      <c r="B22" s="46">
        <v>30</v>
      </c>
      <c r="C22" s="45">
        <f>(30*30+40*2)/(32)</f>
        <v>30.625</v>
      </c>
    </row>
    <row r="23" spans="1:4" x14ac:dyDescent="0.25">
      <c r="A23" s="44">
        <v>42717</v>
      </c>
      <c r="B23" s="49">
        <v>30</v>
      </c>
      <c r="C23" s="42">
        <f>(30*32+20*15)/(32+15)</f>
        <v>26.808510638297872</v>
      </c>
    </row>
    <row r="24" spans="1:4" x14ac:dyDescent="0.25">
      <c r="A24" s="44">
        <v>42721</v>
      </c>
      <c r="B24" s="49">
        <v>40</v>
      </c>
      <c r="C24" s="42">
        <f>(40*4+30*30)/(34)</f>
        <v>31.176470588235293</v>
      </c>
    </row>
    <row r="25" spans="1:4" ht="15.75" thickBot="1" x14ac:dyDescent="0.3">
      <c r="A25" s="41">
        <v>42727</v>
      </c>
      <c r="B25" s="48">
        <v>40</v>
      </c>
      <c r="C25" s="39">
        <f>(40*8+30*23)/(8+23)</f>
        <v>32.58064516129032</v>
      </c>
    </row>
    <row r="26" spans="1:4" x14ac:dyDescent="0.25">
      <c r="A26" s="27"/>
      <c r="B26" s="25" t="s">
        <v>105</v>
      </c>
      <c r="C26" s="26">
        <f>(C24-C22)</f>
        <v>0.55147058823529349</v>
      </c>
      <c r="D26" s="58">
        <f>C26/B25</f>
        <v>1.3786764705882337E-2</v>
      </c>
    </row>
    <row r="27" spans="1:4" ht="15.75" thickBot="1" x14ac:dyDescent="0.3">
      <c r="A27" s="27"/>
      <c r="B27" s="11" t="s">
        <v>103</v>
      </c>
      <c r="C27" s="29"/>
    </row>
    <row r="28" spans="1:4" x14ac:dyDescent="0.25">
      <c r="A28" s="47">
        <v>42711</v>
      </c>
      <c r="B28" s="50">
        <v>15</v>
      </c>
      <c r="C28" s="45">
        <f>(15*17)/(17)</f>
        <v>15</v>
      </c>
    </row>
    <row r="29" spans="1:4" x14ac:dyDescent="0.25">
      <c r="A29" s="44">
        <v>42717</v>
      </c>
      <c r="B29" s="49">
        <v>20</v>
      </c>
      <c r="C29" s="42">
        <f>(20*9+15*23)/(9+23)</f>
        <v>16.40625</v>
      </c>
    </row>
    <row r="30" spans="1:4" x14ac:dyDescent="0.25">
      <c r="A30" s="44">
        <v>42721</v>
      </c>
      <c r="B30" s="49">
        <v>20</v>
      </c>
      <c r="C30" s="42">
        <f>(20*15+15*9)/(15+9)</f>
        <v>18.125</v>
      </c>
    </row>
    <row r="31" spans="1:4" ht="15.75" thickBot="1" x14ac:dyDescent="0.3">
      <c r="A31" s="41">
        <v>42727</v>
      </c>
      <c r="B31" s="40" t="s">
        <v>102</v>
      </c>
      <c r="C31" s="39" t="s">
        <v>102</v>
      </c>
    </row>
    <row r="32" spans="1:4" x14ac:dyDescent="0.25">
      <c r="A32" s="24"/>
      <c r="B32" s="25" t="s">
        <v>97</v>
      </c>
      <c r="C32" s="26">
        <f>(C30-C28)</f>
        <v>3.125</v>
      </c>
      <c r="D32" s="58">
        <f>C32/B30</f>
        <v>0.15625</v>
      </c>
    </row>
    <row r="33" spans="1:4" ht="15.75" thickBot="1" x14ac:dyDescent="0.3">
      <c r="A33" s="27"/>
      <c r="B33" s="11" t="s">
        <v>99</v>
      </c>
      <c r="C33" s="29"/>
    </row>
    <row r="34" spans="1:4" x14ac:dyDescent="0.25">
      <c r="A34" s="47">
        <v>42711</v>
      </c>
      <c r="B34" s="46">
        <v>15</v>
      </c>
      <c r="C34" s="45">
        <f>(10*12+15*12)/(24)</f>
        <v>12.5</v>
      </c>
      <c r="D34" t="s">
        <v>118</v>
      </c>
    </row>
    <row r="35" spans="1:4" x14ac:dyDescent="0.25">
      <c r="A35" s="44">
        <v>42717</v>
      </c>
      <c r="B35" s="43">
        <v>15</v>
      </c>
      <c r="C35" s="42">
        <f>(10*22+15*4)/(26)</f>
        <v>10.76923076923077</v>
      </c>
    </row>
    <row r="36" spans="1:4" x14ac:dyDescent="0.25">
      <c r="A36" s="44">
        <v>42721</v>
      </c>
      <c r="B36" s="43">
        <v>20</v>
      </c>
      <c r="C36" s="42">
        <f>(10*36+20*6)/(36+6)</f>
        <v>11.428571428571429</v>
      </c>
    </row>
    <row r="37" spans="1:4" ht="15.75" thickBot="1" x14ac:dyDescent="0.3">
      <c r="A37" s="41">
        <v>42727</v>
      </c>
      <c r="B37" s="40" t="s">
        <v>102</v>
      </c>
      <c r="C37" s="39" t="s">
        <v>102</v>
      </c>
    </row>
    <row r="38" spans="1:4" x14ac:dyDescent="0.25">
      <c r="A38" s="24"/>
      <c r="B38" s="25" t="s">
        <v>97</v>
      </c>
      <c r="C38" s="26">
        <f>(C36-C34)</f>
        <v>-1.0714285714285712</v>
      </c>
      <c r="D38" s="58">
        <f>C38/B36</f>
        <v>-5.3571428571428562E-2</v>
      </c>
    </row>
    <row r="39" spans="1:4" ht="15.75" thickBot="1" x14ac:dyDescent="0.3">
      <c r="A39" s="24"/>
      <c r="B39" s="11" t="s">
        <v>96</v>
      </c>
      <c r="C39" s="15"/>
    </row>
    <row r="40" spans="1:4" x14ac:dyDescent="0.25">
      <c r="A40" s="47">
        <v>42711</v>
      </c>
      <c r="B40" s="46">
        <v>15</v>
      </c>
      <c r="C40" s="45">
        <f>(15*15)/(15)</f>
        <v>15</v>
      </c>
      <c r="D40" t="s">
        <v>118</v>
      </c>
    </row>
    <row r="41" spans="1:4" x14ac:dyDescent="0.25">
      <c r="A41" s="44">
        <v>42717</v>
      </c>
      <c r="B41" s="43">
        <v>15</v>
      </c>
      <c r="C41" s="42">
        <f>(15*11+10*8)/(11+8)</f>
        <v>12.894736842105264</v>
      </c>
    </row>
    <row r="42" spans="1:4" x14ac:dyDescent="0.25">
      <c r="A42" s="44">
        <v>42721</v>
      </c>
      <c r="B42" s="43">
        <v>15</v>
      </c>
      <c r="C42" s="42">
        <f>(15*12+10*24)/(36)</f>
        <v>11.666666666666666</v>
      </c>
    </row>
    <row r="43" spans="1:4" ht="15.75" thickBot="1" x14ac:dyDescent="0.3">
      <c r="A43" s="41">
        <v>42727</v>
      </c>
      <c r="B43" s="40" t="s">
        <v>102</v>
      </c>
      <c r="C43" s="39" t="s">
        <v>102</v>
      </c>
    </row>
    <row r="44" spans="1:4" x14ac:dyDescent="0.25">
      <c r="A44" s="24"/>
      <c r="B44" s="25" t="s">
        <v>95</v>
      </c>
      <c r="C44" s="26">
        <f>(C42-C40)</f>
        <v>-3.3333333333333339</v>
      </c>
      <c r="D44" s="58">
        <f>C44/B42</f>
        <v>-0.22222222222222227</v>
      </c>
    </row>
    <row r="45" spans="1:4" x14ac:dyDescent="0.25">
      <c r="A45" s="24"/>
      <c r="C45" s="15"/>
    </row>
    <row r="46" spans="1:4" x14ac:dyDescent="0.25">
      <c r="A46" s="24"/>
      <c r="C46" s="15"/>
      <c r="D46" s="57" t="s">
        <v>124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57" sqref="G57"/>
    </sheetView>
  </sheetViews>
  <sheetFormatPr defaultRowHeight="15" x14ac:dyDescent="0.25"/>
  <cols>
    <col min="1" max="1" width="8.42578125" customWidth="1"/>
    <col min="2" max="3" width="14.28515625" customWidth="1"/>
  </cols>
  <sheetData>
    <row r="1" spans="1:9" ht="33.75" x14ac:dyDescent="0.5">
      <c r="A1" s="51" t="s">
        <v>108</v>
      </c>
    </row>
    <row r="2" spans="1:9" x14ac:dyDescent="0.25">
      <c r="A2" s="24"/>
      <c r="B2" s="15" t="s">
        <v>117</v>
      </c>
      <c r="C2" s="15" t="s">
        <v>119</v>
      </c>
      <c r="G2" s="52"/>
      <c r="H2" s="15"/>
      <c r="I2" s="17"/>
    </row>
    <row r="3" spans="1:9" ht="15.75" thickBot="1" x14ac:dyDescent="0.3">
      <c r="A3" s="24"/>
      <c r="B3" s="11" t="s">
        <v>107</v>
      </c>
      <c r="C3" s="15"/>
      <c r="G3" s="52"/>
      <c r="H3" s="11"/>
    </row>
    <row r="4" spans="1:9" x14ac:dyDescent="0.25">
      <c r="A4" s="47">
        <v>42711</v>
      </c>
      <c r="B4" s="50">
        <v>40</v>
      </c>
      <c r="C4" s="45">
        <v>35</v>
      </c>
      <c r="G4" s="53"/>
      <c r="H4" s="29"/>
      <c r="I4" s="29"/>
    </row>
    <row r="5" spans="1:9" x14ac:dyDescent="0.25">
      <c r="A5" s="44">
        <v>42717</v>
      </c>
      <c r="B5" s="49">
        <v>40</v>
      </c>
      <c r="C5" s="42">
        <v>36.25</v>
      </c>
      <c r="G5" s="53"/>
      <c r="H5" s="29"/>
      <c r="I5" s="54"/>
    </row>
    <row r="6" spans="1:9" x14ac:dyDescent="0.25">
      <c r="A6" s="44">
        <v>42721</v>
      </c>
      <c r="B6" s="49">
        <v>50</v>
      </c>
      <c r="C6" s="42">
        <v>40.625</v>
      </c>
      <c r="G6" s="53"/>
      <c r="H6" s="29"/>
      <c r="I6" s="54"/>
    </row>
    <row r="7" spans="1:9" x14ac:dyDescent="0.25">
      <c r="A7" s="27"/>
      <c r="B7" s="25" t="s">
        <v>105</v>
      </c>
      <c r="C7" s="26">
        <f>(C6-C4)</f>
        <v>5.625</v>
      </c>
      <c r="D7" s="58">
        <f>C7/B6</f>
        <v>0.1125</v>
      </c>
      <c r="G7" s="53"/>
      <c r="H7" s="25"/>
      <c r="I7" s="26"/>
    </row>
    <row r="8" spans="1:9" ht="15.75" thickBot="1" x14ac:dyDescent="0.3">
      <c r="A8" s="27"/>
      <c r="B8" s="11" t="s">
        <v>106</v>
      </c>
      <c r="C8" s="29"/>
      <c r="G8" s="53"/>
      <c r="H8" s="11"/>
      <c r="I8" s="11"/>
    </row>
    <row r="9" spans="1:9" x14ac:dyDescent="0.25">
      <c r="A9" s="47">
        <v>42711</v>
      </c>
      <c r="B9" s="50">
        <v>25</v>
      </c>
      <c r="C9" s="45">
        <v>23.333333333333332</v>
      </c>
      <c r="G9" s="53"/>
      <c r="H9" s="29"/>
      <c r="I9" s="54"/>
    </row>
    <row r="10" spans="1:9" x14ac:dyDescent="0.25">
      <c r="A10" s="44">
        <v>42717</v>
      </c>
      <c r="B10" s="49">
        <v>30</v>
      </c>
      <c r="C10" s="42">
        <v>26.25</v>
      </c>
      <c r="G10" s="53"/>
      <c r="H10" s="29"/>
      <c r="I10" s="54"/>
    </row>
    <row r="11" spans="1:9" x14ac:dyDescent="0.25">
      <c r="A11" s="44">
        <v>42721</v>
      </c>
      <c r="B11" s="49">
        <v>30</v>
      </c>
      <c r="C11" s="42">
        <v>30</v>
      </c>
      <c r="G11" s="53"/>
      <c r="H11" s="29"/>
      <c r="I11" s="29"/>
    </row>
    <row r="12" spans="1:9" x14ac:dyDescent="0.25">
      <c r="A12" s="24"/>
      <c r="B12" s="25" t="s">
        <v>97</v>
      </c>
      <c r="C12" s="26">
        <f>(C11-C9)</f>
        <v>6.6666666666666679</v>
      </c>
      <c r="D12" s="58">
        <f>C12/B11</f>
        <v>0.22222222222222227</v>
      </c>
      <c r="G12" s="53"/>
      <c r="H12" s="25"/>
      <c r="I12" s="26"/>
    </row>
    <row r="13" spans="1:9" ht="15.75" thickBot="1" x14ac:dyDescent="0.3">
      <c r="A13" s="27"/>
      <c r="B13" s="11" t="s">
        <v>26</v>
      </c>
      <c r="C13" s="29"/>
      <c r="G13" s="53"/>
      <c r="H13" s="11"/>
      <c r="I13" s="11"/>
    </row>
    <row r="14" spans="1:9" x14ac:dyDescent="0.25">
      <c r="A14" s="47">
        <v>42711</v>
      </c>
      <c r="B14" s="50">
        <v>65</v>
      </c>
      <c r="C14" s="45">
        <v>51.666666666666664</v>
      </c>
      <c r="G14" s="53"/>
      <c r="H14" s="29"/>
      <c r="I14" s="54"/>
    </row>
    <row r="15" spans="1:9" x14ac:dyDescent="0.25">
      <c r="A15" s="44">
        <v>42717</v>
      </c>
      <c r="B15" s="49">
        <v>60</v>
      </c>
      <c r="C15" s="42">
        <v>54.545454545454547</v>
      </c>
      <c r="G15" s="53"/>
      <c r="H15" s="29"/>
      <c r="I15" s="54"/>
    </row>
    <row r="16" spans="1:9" x14ac:dyDescent="0.25">
      <c r="A16" s="44">
        <v>42721</v>
      </c>
      <c r="B16" s="49">
        <v>70</v>
      </c>
      <c r="C16" s="42">
        <v>61.836734693877553</v>
      </c>
      <c r="G16" s="53"/>
      <c r="H16" s="29"/>
      <c r="I16" s="54"/>
    </row>
    <row r="17" spans="1:9" x14ac:dyDescent="0.25">
      <c r="A17" s="27"/>
      <c r="B17" s="25" t="s">
        <v>105</v>
      </c>
      <c r="C17" s="26">
        <f>(C16-C14)</f>
        <v>10.170068027210888</v>
      </c>
      <c r="D17" s="58">
        <f>C17/B16</f>
        <v>0.14528668610301268</v>
      </c>
      <c r="G17" s="53"/>
      <c r="H17" s="25"/>
      <c r="I17" s="26"/>
    </row>
    <row r="18" spans="1:9" ht="15.75" thickBot="1" x14ac:dyDescent="0.3">
      <c r="A18" s="27"/>
      <c r="B18" s="11" t="s">
        <v>27</v>
      </c>
      <c r="C18" s="29"/>
      <c r="G18" s="53"/>
      <c r="H18" s="11"/>
      <c r="I18" s="11"/>
    </row>
    <row r="19" spans="1:9" x14ac:dyDescent="0.25">
      <c r="A19" s="47">
        <v>42711</v>
      </c>
      <c r="B19" s="46">
        <v>35</v>
      </c>
      <c r="C19" s="45">
        <v>33.333333333333336</v>
      </c>
      <c r="G19" s="53"/>
      <c r="H19" s="29"/>
      <c r="I19" s="55"/>
    </row>
    <row r="20" spans="1:9" x14ac:dyDescent="0.25">
      <c r="A20" s="44">
        <v>42717</v>
      </c>
      <c r="B20" s="49">
        <v>35</v>
      </c>
      <c r="C20" s="42">
        <v>33.07692307692308</v>
      </c>
      <c r="G20" s="53"/>
      <c r="H20" s="29"/>
      <c r="I20" s="54"/>
    </row>
    <row r="21" spans="1:9" x14ac:dyDescent="0.25">
      <c r="A21" s="44">
        <v>42721</v>
      </c>
      <c r="B21" s="49">
        <v>40</v>
      </c>
      <c r="C21" s="42">
        <v>36</v>
      </c>
      <c r="G21" s="53"/>
      <c r="H21" s="29"/>
      <c r="I21" s="54"/>
    </row>
    <row r="22" spans="1:9" x14ac:dyDescent="0.25">
      <c r="A22" s="27"/>
      <c r="B22" s="25" t="s">
        <v>97</v>
      </c>
      <c r="C22" s="26">
        <f>(C21-C19)</f>
        <v>2.6666666666666643</v>
      </c>
      <c r="D22" s="58">
        <f>C22/B21</f>
        <v>6.666666666666661E-2</v>
      </c>
      <c r="G22" s="53"/>
      <c r="H22" s="25"/>
      <c r="I22" s="26"/>
    </row>
    <row r="23" spans="1:9" x14ac:dyDescent="0.25">
      <c r="A23" s="24"/>
      <c r="C23" s="15"/>
      <c r="G23" s="53"/>
      <c r="H23" s="11"/>
      <c r="I23" s="11"/>
    </row>
    <row r="24" spans="1:9" x14ac:dyDescent="0.25">
      <c r="D24" s="57" t="s">
        <v>127</v>
      </c>
      <c r="G24" s="53"/>
      <c r="H24" s="29"/>
      <c r="I24" s="29"/>
    </row>
    <row r="25" spans="1:9" x14ac:dyDescent="0.25">
      <c r="G25" s="53"/>
      <c r="H25" s="29"/>
      <c r="I25" s="29"/>
    </row>
    <row r="26" spans="1:9" x14ac:dyDescent="0.25">
      <c r="G26" s="53"/>
      <c r="H26" s="29"/>
      <c r="I26" s="29"/>
    </row>
    <row r="27" spans="1:9" x14ac:dyDescent="0.25">
      <c r="G27" s="53"/>
      <c r="H27" s="25"/>
      <c r="I27" s="56"/>
    </row>
    <row r="28" spans="1:9" x14ac:dyDescent="0.25">
      <c r="G28" s="53"/>
      <c r="H28" s="11"/>
      <c r="I28" s="11"/>
    </row>
    <row r="29" spans="1:9" x14ac:dyDescent="0.25">
      <c r="G29" s="53"/>
      <c r="H29" s="29"/>
      <c r="I29" s="29"/>
    </row>
    <row r="30" spans="1:9" x14ac:dyDescent="0.25">
      <c r="G30" s="53"/>
      <c r="H30" s="29"/>
      <c r="I30" s="29"/>
    </row>
    <row r="31" spans="1:9" x14ac:dyDescent="0.25">
      <c r="G31" s="53"/>
      <c r="H31" s="29"/>
      <c r="I31" s="29"/>
    </row>
    <row r="32" spans="1:9" x14ac:dyDescent="0.25">
      <c r="G32" s="53"/>
      <c r="H32" s="25"/>
      <c r="I32" s="56"/>
    </row>
    <row r="33" spans="7:7" x14ac:dyDescent="0.25">
      <c r="G33" s="52"/>
    </row>
    <row r="34" spans="7:7" x14ac:dyDescent="0.25">
      <c r="G34" s="52"/>
    </row>
    <row r="35" spans="7:7" x14ac:dyDescent="0.25">
      <c r="G35" s="52"/>
    </row>
    <row r="36" spans="7:7" x14ac:dyDescent="0.25">
      <c r="G36" s="52"/>
    </row>
    <row r="37" spans="7:7" x14ac:dyDescent="0.25">
      <c r="G37" s="52"/>
    </row>
  </sheetData>
  <printOptions horizontalCentered="1"/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H19" sqref="H19"/>
    </sheetView>
  </sheetViews>
  <sheetFormatPr defaultRowHeight="15" x14ac:dyDescent="0.25"/>
  <cols>
    <col min="1" max="1" width="8.42578125" customWidth="1"/>
    <col min="2" max="3" width="14.28515625" customWidth="1"/>
  </cols>
  <sheetData>
    <row r="1" spans="1:4" ht="33.75" x14ac:dyDescent="0.5">
      <c r="A1" s="51" t="s">
        <v>101</v>
      </c>
    </row>
    <row r="2" spans="1:4" x14ac:dyDescent="0.25">
      <c r="A2" s="24"/>
      <c r="B2" s="15" t="s">
        <v>117</v>
      </c>
      <c r="C2" s="15" t="s">
        <v>119</v>
      </c>
    </row>
    <row r="3" spans="1:4" ht="15.75" thickBot="1" x14ac:dyDescent="0.3">
      <c r="A3" s="24"/>
      <c r="B3" t="s">
        <v>28</v>
      </c>
      <c r="C3" s="15"/>
    </row>
    <row r="4" spans="1:4" x14ac:dyDescent="0.25">
      <c r="A4" s="47">
        <v>42716</v>
      </c>
      <c r="B4" s="50">
        <v>10</v>
      </c>
      <c r="C4" s="45">
        <f>(10*27+5*10)/(37)</f>
        <v>8.6486486486486491</v>
      </c>
    </row>
    <row r="5" spans="1:4" x14ac:dyDescent="0.25">
      <c r="A5" s="44">
        <v>42720</v>
      </c>
      <c r="B5" s="49">
        <v>15</v>
      </c>
      <c r="C5" s="42">
        <f>(15*10+10*10+5*10)/(30)</f>
        <v>10</v>
      </c>
    </row>
    <row r="6" spans="1:4" ht="15.75" thickBot="1" x14ac:dyDescent="0.3">
      <c r="A6" s="41">
        <v>42725</v>
      </c>
      <c r="B6" s="48">
        <v>15</v>
      </c>
      <c r="C6" s="39">
        <f>(15*19+10*10)/(29)</f>
        <v>13.275862068965518</v>
      </c>
    </row>
    <row r="7" spans="1:4" x14ac:dyDescent="0.25">
      <c r="A7" s="27"/>
      <c r="B7" s="25" t="s">
        <v>97</v>
      </c>
      <c r="C7" s="26">
        <f>C6-C4</f>
        <v>4.6272134203168687</v>
      </c>
      <c r="D7" s="58">
        <f>C7/B6</f>
        <v>0.30848089468779122</v>
      </c>
    </row>
    <row r="8" spans="1:4" ht="15.75" thickBot="1" x14ac:dyDescent="0.3">
      <c r="A8" s="27"/>
      <c r="B8" t="s">
        <v>4</v>
      </c>
      <c r="C8" s="29"/>
    </row>
    <row r="9" spans="1:4" x14ac:dyDescent="0.25">
      <c r="A9" s="47">
        <v>42716</v>
      </c>
      <c r="B9" s="50">
        <v>5</v>
      </c>
      <c r="C9" s="45">
        <v>5</v>
      </c>
    </row>
    <row r="10" spans="1:4" x14ac:dyDescent="0.25">
      <c r="A10" s="44">
        <v>42720</v>
      </c>
      <c r="B10" s="49">
        <v>10</v>
      </c>
      <c r="C10" s="42">
        <f>(5*40+10*20)/(60)</f>
        <v>6.666666666666667</v>
      </c>
    </row>
    <row r="11" spans="1:4" ht="15.75" thickBot="1" x14ac:dyDescent="0.3">
      <c r="A11" s="41">
        <v>42725</v>
      </c>
      <c r="B11" s="48">
        <v>10</v>
      </c>
      <c r="C11" s="39">
        <f>(10*21+5*40)/(61)</f>
        <v>6.721311475409836</v>
      </c>
    </row>
    <row r="12" spans="1:4" x14ac:dyDescent="0.25">
      <c r="A12" s="24"/>
      <c r="B12" s="25" t="s">
        <v>97</v>
      </c>
      <c r="C12" s="26">
        <f>C11-C9</f>
        <v>1.721311475409836</v>
      </c>
      <c r="D12" s="58">
        <f>C12/B11</f>
        <v>0.1721311475409836</v>
      </c>
    </row>
    <row r="13" spans="1:4" ht="15.75" thickBot="1" x14ac:dyDescent="0.3">
      <c r="A13" s="27"/>
      <c r="B13" t="s">
        <v>129</v>
      </c>
      <c r="C13" s="29"/>
    </row>
    <row r="14" spans="1:4" x14ac:dyDescent="0.25">
      <c r="A14" s="47">
        <v>42716</v>
      </c>
      <c r="B14" s="50">
        <v>50</v>
      </c>
      <c r="C14" s="45">
        <f>(40*30+50*5)/(35)</f>
        <v>41.428571428571431</v>
      </c>
    </row>
    <row r="15" spans="1:4" x14ac:dyDescent="0.25">
      <c r="A15" s="44">
        <v>42720</v>
      </c>
      <c r="B15" s="49">
        <v>50</v>
      </c>
      <c r="C15" s="42">
        <f>(50*18+45*7+40*10)/(18+7+10)</f>
        <v>46.142857142857146</v>
      </c>
    </row>
    <row r="16" spans="1:4" ht="15.75" thickBot="1" x14ac:dyDescent="0.3">
      <c r="A16" s="41">
        <v>42725</v>
      </c>
      <c r="B16" s="48">
        <v>60</v>
      </c>
      <c r="C16" s="39">
        <f>(60*10+55*16+50*10)/(10+16+10)</f>
        <v>55</v>
      </c>
    </row>
    <row r="17" spans="1:4" x14ac:dyDescent="0.25">
      <c r="A17" s="27"/>
      <c r="B17" s="25" t="s">
        <v>105</v>
      </c>
      <c r="C17" s="26">
        <f>C16-C14</f>
        <v>13.571428571428569</v>
      </c>
      <c r="D17" s="58">
        <f>C17/B16</f>
        <v>0.22619047619047616</v>
      </c>
    </row>
    <row r="18" spans="1:4" ht="15.75" thickBot="1" x14ac:dyDescent="0.3">
      <c r="A18" s="27"/>
      <c r="B18" t="s">
        <v>30</v>
      </c>
      <c r="C18" s="29"/>
    </row>
    <row r="19" spans="1:4" x14ac:dyDescent="0.25">
      <c r="A19" s="47">
        <v>42716</v>
      </c>
      <c r="B19" s="46">
        <v>60</v>
      </c>
      <c r="C19" s="45">
        <v>60</v>
      </c>
    </row>
    <row r="20" spans="1:4" x14ac:dyDescent="0.25">
      <c r="A20" s="44">
        <v>42720</v>
      </c>
      <c r="B20" s="49">
        <v>80</v>
      </c>
      <c r="C20" s="42">
        <f>(60*30+70*15+80*15)/(60)</f>
        <v>67.5</v>
      </c>
    </row>
    <row r="21" spans="1:4" ht="15.75" thickBot="1" x14ac:dyDescent="0.3">
      <c r="A21" s="41">
        <v>42725</v>
      </c>
      <c r="B21" s="48">
        <v>80</v>
      </c>
      <c r="C21" s="39">
        <f>(80*23+60*15)/(23+15)</f>
        <v>72.10526315789474</v>
      </c>
    </row>
    <row r="22" spans="1:4" x14ac:dyDescent="0.25">
      <c r="A22" s="27"/>
      <c r="B22" s="25" t="s">
        <v>105</v>
      </c>
      <c r="C22" s="26">
        <f>C21-C19</f>
        <v>12.10526315789474</v>
      </c>
      <c r="D22" s="58">
        <f>C22/B21</f>
        <v>0.15131578947368424</v>
      </c>
    </row>
    <row r="23" spans="1:4" ht="15.75" thickBot="1" x14ac:dyDescent="0.3">
      <c r="A23" s="27"/>
      <c r="B23" t="s">
        <v>31</v>
      </c>
      <c r="C23" s="29"/>
    </row>
    <row r="24" spans="1:4" x14ac:dyDescent="0.25">
      <c r="A24" s="47">
        <v>42716</v>
      </c>
      <c r="B24" s="50">
        <v>60</v>
      </c>
      <c r="C24" s="45">
        <v>60</v>
      </c>
    </row>
    <row r="25" spans="1:4" x14ac:dyDescent="0.25">
      <c r="A25" s="44">
        <v>42720</v>
      </c>
      <c r="B25" s="49">
        <v>70</v>
      </c>
      <c r="C25" s="42">
        <f>(70*21+60*20)/(41)</f>
        <v>65.121951219512198</v>
      </c>
    </row>
    <row r="26" spans="1:4" ht="15.75" customHeight="1" thickBot="1" x14ac:dyDescent="0.3">
      <c r="A26" s="41">
        <v>42725</v>
      </c>
      <c r="B26" s="48">
        <v>70</v>
      </c>
      <c r="C26" s="39">
        <f>(70*20+50*2)/(22)</f>
        <v>68.181818181818187</v>
      </c>
    </row>
    <row r="27" spans="1:4" x14ac:dyDescent="0.25">
      <c r="A27" s="24"/>
      <c r="B27" s="25" t="s">
        <v>97</v>
      </c>
      <c r="C27" s="26">
        <f>(C26-C24)</f>
        <v>8.181818181818187</v>
      </c>
      <c r="D27" s="58">
        <f>C27/B26</f>
        <v>0.11688311688311696</v>
      </c>
    </row>
    <row r="28" spans="1:4" ht="15.75" thickBot="1" x14ac:dyDescent="0.3">
      <c r="A28" s="27"/>
      <c r="B28" t="s">
        <v>32</v>
      </c>
      <c r="C28" s="29"/>
    </row>
    <row r="29" spans="1:4" x14ac:dyDescent="0.25">
      <c r="A29" s="47">
        <v>42716</v>
      </c>
      <c r="B29" s="46" t="s">
        <v>102</v>
      </c>
      <c r="C29" s="45" t="s">
        <v>102</v>
      </c>
    </row>
    <row r="30" spans="1:4" x14ac:dyDescent="0.25">
      <c r="A30" s="44">
        <v>42720</v>
      </c>
      <c r="B30" s="43">
        <v>8</v>
      </c>
      <c r="C30" s="42">
        <f>AVERAGE(8,7,4,2)</f>
        <v>5.25</v>
      </c>
    </row>
    <row r="31" spans="1:4" ht="15.75" thickBot="1" x14ac:dyDescent="0.3">
      <c r="A31" s="41">
        <v>42725</v>
      </c>
      <c r="B31" s="40">
        <v>10</v>
      </c>
      <c r="C31" s="39">
        <f>AVERAGE(10,6,6)</f>
        <v>7.333333333333333</v>
      </c>
    </row>
    <row r="32" spans="1:4" x14ac:dyDescent="0.25">
      <c r="A32" s="24"/>
      <c r="B32" s="25" t="s">
        <v>100</v>
      </c>
      <c r="C32" s="26">
        <v>0</v>
      </c>
      <c r="D32" s="58">
        <f>C32/B31</f>
        <v>0</v>
      </c>
    </row>
    <row r="33" spans="1:4" ht="15.75" thickBot="1" x14ac:dyDescent="0.3">
      <c r="A33" s="24"/>
      <c r="B33" t="s">
        <v>33</v>
      </c>
      <c r="C33" s="15"/>
    </row>
    <row r="34" spans="1:4" x14ac:dyDescent="0.25">
      <c r="A34" s="47">
        <v>42716</v>
      </c>
      <c r="B34" s="46">
        <v>25</v>
      </c>
      <c r="C34" s="45">
        <f>(20*30+25*15)/(45)</f>
        <v>21.666666666666668</v>
      </c>
    </row>
    <row r="35" spans="1:4" x14ac:dyDescent="0.25">
      <c r="A35" s="44">
        <v>42720</v>
      </c>
      <c r="B35" s="43">
        <v>30</v>
      </c>
      <c r="C35" s="42">
        <f>(25*45+30*15)/(60)</f>
        <v>26.25</v>
      </c>
    </row>
    <row r="36" spans="1:4" ht="15.75" thickBot="1" x14ac:dyDescent="0.3">
      <c r="A36" s="41">
        <v>42725</v>
      </c>
      <c r="B36" s="40">
        <v>30</v>
      </c>
      <c r="C36" s="39">
        <f>(30*30+25*15)/(45)</f>
        <v>28.333333333333332</v>
      </c>
    </row>
    <row r="37" spans="1:4" x14ac:dyDescent="0.25">
      <c r="A37" s="24"/>
      <c r="B37" s="25" t="s">
        <v>97</v>
      </c>
      <c r="C37" s="26">
        <f>(C36-C34)</f>
        <v>6.6666666666666643</v>
      </c>
      <c r="D37" s="58">
        <f>C37/B36</f>
        <v>0.22222222222222215</v>
      </c>
    </row>
    <row r="38" spans="1:4" x14ac:dyDescent="0.25">
      <c r="A38" s="24"/>
      <c r="C38" s="15"/>
    </row>
    <row r="39" spans="1:4" x14ac:dyDescent="0.25">
      <c r="A39" s="24"/>
      <c r="C39" s="15"/>
      <c r="D39" s="57" t="s">
        <v>128</v>
      </c>
    </row>
  </sheetData>
  <pageMargins left="0.7" right="0.7" top="0.75" bottom="0.75" header="0.3" footer="0.3"/>
  <pageSetup orientation="portrait" horizontalDpi="4294967293" verticalDpi="4294967293" r:id="rId1"/>
  <ignoredErrors>
    <ignoredError sqref="D7 D12 D17 D22 D27 D32 D3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Dec Plan '16 - r0</vt:lpstr>
      <vt:lpstr>Dec '16 Log</vt:lpstr>
      <vt:lpstr>BB Check</vt:lpstr>
      <vt:lpstr>Legs Check</vt:lpstr>
      <vt:lpstr>ShTr Check</vt:lpstr>
      <vt:lpstr>'BB Check'!Print_Area</vt:lpstr>
      <vt:lpstr>'Legs Check'!Print_Area</vt:lpstr>
      <vt:lpstr>'ShTr Check'!Print_Area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2016-12-29T16:01:23Z</cp:lastPrinted>
  <dcterms:created xsi:type="dcterms:W3CDTF">2016-11-15T21:19:54Z</dcterms:created>
  <dcterms:modified xsi:type="dcterms:W3CDTF">2016-12-29T16:01:25Z</dcterms:modified>
</cp:coreProperties>
</file>