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b0c342bd81ab58/Desktop/Financial Data/"/>
    </mc:Choice>
  </mc:AlternateContent>
  <xr:revisionPtr revIDLastSave="0" documentId="8_{E56D972E-36C7-4560-ADA0-29D56EB770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CF Analysis" sheetId="3" r:id="rId1"/>
    <sheet name="WAC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3" l="1"/>
  <c r="M43" i="3"/>
  <c r="M44" i="3"/>
  <c r="M40" i="3"/>
  <c r="M39" i="3"/>
  <c r="F35" i="3"/>
  <c r="M35" i="3"/>
  <c r="M37" i="3"/>
  <c r="M34" i="3"/>
  <c r="M33" i="3"/>
  <c r="M32" i="3"/>
  <c r="M30" i="3"/>
  <c r="M28" i="3"/>
  <c r="F45" i="3"/>
  <c r="F43" i="3"/>
  <c r="F39" i="3"/>
  <c r="F40" i="3"/>
  <c r="F37" i="3"/>
  <c r="F34" i="3"/>
  <c r="F33" i="3"/>
  <c r="F32" i="3"/>
  <c r="Q6" i="4"/>
  <c r="F30" i="3"/>
  <c r="F28" i="3"/>
  <c r="I13" i="4"/>
  <c r="I8" i="4"/>
  <c r="I10" i="4" s="1"/>
  <c r="I5" i="4"/>
  <c r="I6" i="4" s="1"/>
  <c r="N8" i="4"/>
  <c r="N7" i="4"/>
  <c r="G20" i="3"/>
  <c r="F20" i="3"/>
  <c r="E20" i="3"/>
  <c r="F16" i="3"/>
  <c r="F22" i="3" s="1"/>
  <c r="G16" i="3"/>
  <c r="G22" i="3" s="1"/>
  <c r="E16" i="3"/>
  <c r="E22" i="3" s="1"/>
  <c r="G13" i="3"/>
  <c r="F13" i="3"/>
  <c r="I10" i="3"/>
  <c r="I12" i="3" s="1"/>
  <c r="J8" i="3"/>
  <c r="E10" i="3"/>
  <c r="I9" i="3"/>
  <c r="G9" i="3"/>
  <c r="F9" i="3"/>
  <c r="F10" i="3"/>
  <c r="G10" i="3"/>
  <c r="I3" i="4" l="1"/>
  <c r="I14" i="4"/>
  <c r="I16" i="4"/>
  <c r="I18" i="4" s="1"/>
  <c r="I14" i="3"/>
  <c r="I16" i="3" s="1"/>
  <c r="I22" i="3" s="1"/>
  <c r="I24" i="3" s="1"/>
  <c r="J10" i="3"/>
  <c r="J12" i="3" s="1"/>
  <c r="K8" i="3"/>
  <c r="J14" i="3" l="1"/>
  <c r="J16" i="3" s="1"/>
  <c r="J22" i="3" s="1"/>
  <c r="J24" i="3" s="1"/>
  <c r="K10" i="3"/>
  <c r="K12" i="3" s="1"/>
  <c r="L8" i="3"/>
  <c r="K14" i="3" l="1"/>
  <c r="K16" i="3" s="1"/>
  <c r="K22" i="3" s="1"/>
  <c r="K24" i="3" s="1"/>
  <c r="M8" i="3"/>
  <c r="L10" i="3"/>
  <c r="L12" i="3" s="1"/>
  <c r="L14" i="3" l="1"/>
  <c r="L16" i="3" s="1"/>
  <c r="L22" i="3" s="1"/>
  <c r="L24" i="3" s="1"/>
  <c r="N8" i="3"/>
  <c r="M10" i="3"/>
  <c r="M12" i="3" s="1"/>
  <c r="M14" i="3" l="1"/>
  <c r="M16" i="3" s="1"/>
  <c r="M22" i="3" s="1"/>
  <c r="M24" i="3" s="1"/>
  <c r="O8" i="3"/>
  <c r="N10" i="3"/>
  <c r="N12" i="3" s="1"/>
  <c r="N14" i="3" l="1"/>
  <c r="N16" i="3" s="1"/>
  <c r="N22" i="3" s="1"/>
  <c r="N24" i="3" s="1"/>
  <c r="P8" i="3"/>
  <c r="O10" i="3"/>
  <c r="O12" i="3" s="1"/>
  <c r="O14" i="3" l="1"/>
  <c r="O16" i="3" s="1"/>
  <c r="O22" i="3" s="1"/>
  <c r="O24" i="3" s="1"/>
  <c r="Q8" i="3"/>
  <c r="P10" i="3"/>
  <c r="P12" i="3" s="1"/>
  <c r="P14" i="3" l="1"/>
  <c r="P16" i="3" s="1"/>
  <c r="P22" i="3" s="1"/>
  <c r="P24" i="3" s="1"/>
  <c r="R8" i="3"/>
  <c r="Q10" i="3"/>
  <c r="Q12" i="3" s="1"/>
  <c r="Q14" i="3" l="1"/>
  <c r="Q16" i="3" s="1"/>
  <c r="Q22" i="3" s="1"/>
  <c r="Q24" i="3" s="1"/>
  <c r="R10" i="3"/>
  <c r="R12" i="3" s="1"/>
  <c r="R14" i="3" l="1"/>
  <c r="R16" i="3" s="1"/>
  <c r="R22" i="3" s="1"/>
  <c r="R24" i="3" s="1"/>
</calcChain>
</file>

<file path=xl/sharedStrings.xml><?xml version="1.0" encoding="utf-8"?>
<sst xmlns="http://schemas.openxmlformats.org/spreadsheetml/2006/main" count="89" uniqueCount="77">
  <si>
    <t>BIRKENSTOCK DCF</t>
  </si>
  <si>
    <t xml:space="preserve">Ticker </t>
  </si>
  <si>
    <t>BIRK</t>
  </si>
  <si>
    <t>Date</t>
  </si>
  <si>
    <t>Historical Data</t>
  </si>
  <si>
    <t xml:space="preserve">Projection Period </t>
  </si>
  <si>
    <t>2021A</t>
  </si>
  <si>
    <t>2022A</t>
  </si>
  <si>
    <t>2023A</t>
  </si>
  <si>
    <t>2024P</t>
  </si>
  <si>
    <t>2025P</t>
  </si>
  <si>
    <t>2026P</t>
  </si>
  <si>
    <t>2027P</t>
  </si>
  <si>
    <t>2028P</t>
  </si>
  <si>
    <t>2029P</t>
  </si>
  <si>
    <t>2030P</t>
  </si>
  <si>
    <t>2031P</t>
  </si>
  <si>
    <t>2032P</t>
  </si>
  <si>
    <t>2033P</t>
  </si>
  <si>
    <t xml:space="preserve">Total Revenue </t>
  </si>
  <si>
    <t>% Growth</t>
  </si>
  <si>
    <t>Total Operating Expenses &amp; COGS</t>
  </si>
  <si>
    <t xml:space="preserve">% Margin </t>
  </si>
  <si>
    <t>Operating Income (EBIT)</t>
  </si>
  <si>
    <t>Income Tax Expense</t>
  </si>
  <si>
    <t>Marginal Tax Rate</t>
  </si>
  <si>
    <t>Net Operating Profit After Taxes</t>
  </si>
  <si>
    <t xml:space="preserve">Depreciation &amp; Amorization </t>
  </si>
  <si>
    <t xml:space="preserve">Capital Expenditure </t>
  </si>
  <si>
    <t>Change in Net Working Capital</t>
  </si>
  <si>
    <t>Unlevered Free Cash Flow</t>
  </si>
  <si>
    <t xml:space="preserve">Present Value Free Cash Flow </t>
  </si>
  <si>
    <t xml:space="preserve">Terminal Multiple Method </t>
  </si>
  <si>
    <t>Perpetuity Growth Model</t>
  </si>
  <si>
    <t>Present Value of UFCF</t>
  </si>
  <si>
    <t>Terminal Year EBITDA  (2033P)</t>
  </si>
  <si>
    <t>Terminal Year UFCF</t>
  </si>
  <si>
    <t>EBITDA Current Trading Multiple</t>
  </si>
  <si>
    <t>9.9x</t>
  </si>
  <si>
    <t>Perpetuity Growth Rate</t>
  </si>
  <si>
    <t xml:space="preserve">Terminal Value </t>
  </si>
  <si>
    <t>Terminal Value</t>
  </si>
  <si>
    <t xml:space="preserve">Discount Factor </t>
  </si>
  <si>
    <t>Discount Factor</t>
  </si>
  <si>
    <t>PV of Terminal Value</t>
  </si>
  <si>
    <t xml:space="preserve">PV of Terminal Value </t>
  </si>
  <si>
    <t xml:space="preserve">% of Enterprise Value </t>
  </si>
  <si>
    <t>% of Enterprise Value</t>
  </si>
  <si>
    <t xml:space="preserve">Implied Enterprise Value </t>
  </si>
  <si>
    <r>
      <rPr>
        <b/>
        <sz val="11"/>
        <color rgb="FF000000"/>
        <rFont val="Calibri"/>
        <scheme val="minor"/>
      </rPr>
      <t>Implied Enterprise Value</t>
    </r>
    <r>
      <rPr>
        <sz val="11"/>
        <color rgb="FF000000"/>
        <rFont val="Calibri"/>
        <scheme val="minor"/>
      </rPr>
      <t xml:space="preserve"> </t>
    </r>
  </si>
  <si>
    <t>Less: Total Debt</t>
  </si>
  <si>
    <t>Plus: Cash and Cash Equivalents</t>
  </si>
  <si>
    <t>Less: Preferred Stock</t>
  </si>
  <si>
    <t>Less: Noncontrolling Interest</t>
  </si>
  <si>
    <t xml:space="preserve">Implied Equity Value </t>
  </si>
  <si>
    <t>Implied Equity Value</t>
  </si>
  <si>
    <t>Fully Diluted Shares</t>
  </si>
  <si>
    <t>Implied Share Price</t>
  </si>
  <si>
    <t>WACC Calculations</t>
  </si>
  <si>
    <t xml:space="preserve">Beta Calculations from Competitors </t>
  </si>
  <si>
    <t xml:space="preserve">EV/EBITDA from Compeitors </t>
  </si>
  <si>
    <t>Leveraged Beta</t>
  </si>
  <si>
    <t>Crocs</t>
  </si>
  <si>
    <t>Sketchers</t>
  </si>
  <si>
    <t xml:space="preserve">Sketchers </t>
  </si>
  <si>
    <t>Debt-to-Total Capitalization</t>
  </si>
  <si>
    <t>Ralph Lauren</t>
  </si>
  <si>
    <t>Equity-to-Total Capitalization</t>
  </si>
  <si>
    <t xml:space="preserve">Average </t>
  </si>
  <si>
    <t xml:space="preserve">Pre-Tax Cost of Debt </t>
  </si>
  <si>
    <t>Median</t>
  </si>
  <si>
    <t>After Tax Cost of Debt</t>
  </si>
  <si>
    <t>Risk Free Rate of Return</t>
  </si>
  <si>
    <t>Market Risk Premium</t>
  </si>
  <si>
    <t>Selected Leveraged Beta</t>
  </si>
  <si>
    <t>Cost of Equity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</si>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</sst>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FFFFFF"/>
      <name val="Calibri"/>
      <scheme val="minor"/>
    </font>
    <font>
      <b/>
      <u/>
      <sz val="11"/>
      <color rgb="FF000000"/>
      <name val="Calibri"/>
      <scheme val="minor"/>
    </font>
    <font>
      <b/>
      <sz val="11"/>
      <color rgb="FFFFFFFF"/>
      <name val="Calibri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444444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1" xfId="0" applyBorder="1"/>
    <xf numFmtId="14" fontId="0" fillId="0" borderId="0" xfId="0" applyNumberFormat="1"/>
    <xf numFmtId="0" fontId="2" fillId="0" borderId="0" xfId="0" applyFont="1"/>
    <xf numFmtId="10" fontId="0" fillId="0" borderId="0" xfId="0" applyNumberFormat="1"/>
    <xf numFmtId="10" fontId="3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2" xfId="0" applyNumberFormat="1" applyBorder="1"/>
    <xf numFmtId="164" fontId="0" fillId="0" borderId="1" xfId="0" applyNumberFormat="1" applyBorder="1"/>
    <xf numFmtId="164" fontId="1" fillId="0" borderId="0" xfId="0" applyNumberFormat="1" applyFont="1"/>
    <xf numFmtId="9" fontId="3" fillId="0" borderId="1" xfId="0" applyNumberFormat="1" applyFont="1" applyBorder="1"/>
    <xf numFmtId="10" fontId="3" fillId="0" borderId="1" xfId="0" applyNumberFormat="1" applyFont="1" applyBorder="1"/>
    <xf numFmtId="2" fontId="0" fillId="0" borderId="0" xfId="0" applyNumberFormat="1"/>
    <xf numFmtId="0" fontId="1" fillId="0" borderId="0" xfId="0" applyFont="1"/>
    <xf numFmtId="10" fontId="0" fillId="0" borderId="1" xfId="0" applyNumberFormat="1" applyBorder="1"/>
    <xf numFmtId="0" fontId="0" fillId="0" borderId="2" xfId="0" applyBorder="1"/>
    <xf numFmtId="0" fontId="4" fillId="0" borderId="5" xfId="0" applyFont="1" applyBorder="1"/>
    <xf numFmtId="164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2" fontId="0" fillId="0" borderId="8" xfId="0" applyNumberFormat="1" applyBorder="1"/>
    <xf numFmtId="10" fontId="0" fillId="0" borderId="6" xfId="0" applyNumberFormat="1" applyBorder="1"/>
    <xf numFmtId="0" fontId="0" fillId="0" borderId="5" xfId="0" applyBorder="1" applyAlignment="1">
      <alignment horizontal="left"/>
    </xf>
    <xf numFmtId="0" fontId="0" fillId="0" borderId="3" xfId="0" applyBorder="1"/>
    <xf numFmtId="164" fontId="1" fillId="0" borderId="4" xfId="0" applyNumberFormat="1" applyFont="1" applyBorder="1"/>
    <xf numFmtId="0" fontId="0" fillId="0" borderId="8" xfId="0" applyBorder="1"/>
    <xf numFmtId="164" fontId="1" fillId="0" borderId="8" xfId="0" applyNumberFormat="1" applyFont="1" applyBorder="1"/>
    <xf numFmtId="0" fontId="10" fillId="0" borderId="5" xfId="0" applyFont="1" applyBorder="1"/>
    <xf numFmtId="10" fontId="0" fillId="0" borderId="8" xfId="0" applyNumberFormat="1" applyBorder="1"/>
    <xf numFmtId="0" fontId="12" fillId="0" borderId="5" xfId="0" applyFont="1" applyBorder="1"/>
    <xf numFmtId="0" fontId="1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1F31-CE23-4C4B-ABA0-241D7B46A55C}">
  <dimension ref="B2:R45"/>
  <sheetViews>
    <sheetView showGridLines="0" tabSelected="1" topLeftCell="B31" workbookViewId="0">
      <selection activeCell="M45" sqref="M45"/>
    </sheetView>
  </sheetViews>
  <sheetFormatPr defaultRowHeight="14.5" x14ac:dyDescent="0.35"/>
  <cols>
    <col min="4" max="4" width="14.26953125" customWidth="1"/>
    <col min="5" max="5" width="13.54296875" bestFit="1" customWidth="1"/>
    <col min="6" max="6" width="17.54296875" customWidth="1"/>
    <col min="7" max="7" width="15.1796875" bestFit="1" customWidth="1"/>
    <col min="9" max="12" width="10.81640625" bestFit="1" customWidth="1"/>
    <col min="13" max="13" width="16.7265625" customWidth="1"/>
    <col min="14" max="18" width="10.81640625" bestFit="1" customWidth="1"/>
  </cols>
  <sheetData>
    <row r="2" spans="2:18" s="2" customFormat="1" x14ac:dyDescent="0.35">
      <c r="C2" s="39" t="s">
        <v>0</v>
      </c>
      <c r="D2" s="39"/>
    </row>
    <row r="3" spans="2:18" x14ac:dyDescent="0.35">
      <c r="C3" t="s">
        <v>1</v>
      </c>
      <c r="D3" s="10" t="s">
        <v>2</v>
      </c>
    </row>
    <row r="4" spans="2:18" x14ac:dyDescent="0.35">
      <c r="C4" t="s">
        <v>3</v>
      </c>
      <c r="D4" s="3">
        <v>45303</v>
      </c>
    </row>
    <row r="5" spans="2:18" x14ac:dyDescent="0.35">
      <c r="D5" s="3"/>
    </row>
    <row r="6" spans="2:18" x14ac:dyDescent="0.35">
      <c r="E6" s="40" t="s">
        <v>4</v>
      </c>
      <c r="F6" s="41"/>
      <c r="G6" s="41"/>
      <c r="I6" s="40" t="s">
        <v>5</v>
      </c>
      <c r="J6" s="41"/>
      <c r="K6" s="41"/>
      <c r="L6" s="41"/>
      <c r="M6" s="41"/>
      <c r="N6" s="41"/>
      <c r="O6" s="41"/>
      <c r="P6" s="41"/>
      <c r="Q6" s="41"/>
      <c r="R6" s="41"/>
    </row>
    <row r="7" spans="2:18" x14ac:dyDescent="0.35">
      <c r="E7" s="4" t="s">
        <v>6</v>
      </c>
      <c r="F7" s="4" t="s">
        <v>7</v>
      </c>
      <c r="G7" s="4" t="s">
        <v>8</v>
      </c>
      <c r="I7" s="11" t="s">
        <v>9</v>
      </c>
      <c r="J7" s="11" t="s">
        <v>10</v>
      </c>
      <c r="K7" s="11" t="s">
        <v>11</v>
      </c>
      <c r="L7" s="11" t="s">
        <v>12</v>
      </c>
      <c r="M7" s="11" t="s">
        <v>13</v>
      </c>
      <c r="N7" s="11" t="s">
        <v>14</v>
      </c>
      <c r="O7" s="11" t="s">
        <v>15</v>
      </c>
      <c r="P7" s="11" t="s">
        <v>16</v>
      </c>
      <c r="Q7" s="11" t="s">
        <v>17</v>
      </c>
      <c r="R7" s="11" t="s">
        <v>18</v>
      </c>
    </row>
    <row r="8" spans="2:18" x14ac:dyDescent="0.35">
      <c r="B8" s="7" t="s">
        <v>19</v>
      </c>
      <c r="C8" s="7"/>
      <c r="E8" s="12">
        <v>1221.4000000000001</v>
      </c>
      <c r="F8" s="12">
        <v>1367.08</v>
      </c>
      <c r="G8" s="12">
        <v>1582.9</v>
      </c>
      <c r="I8" s="1">
        <v>1880.99</v>
      </c>
      <c r="J8" s="1">
        <f>I8*(1+J9)</f>
        <v>2181.9483999999998</v>
      </c>
      <c r="K8" s="1">
        <f>J8*(1+K9)</f>
        <v>2574.6991119999998</v>
      </c>
      <c r="L8" s="1">
        <f t="shared" ref="L8:R8" si="0">K8*(1+L9)</f>
        <v>2986.6509699199996</v>
      </c>
      <c r="M8" s="1">
        <f t="shared" si="0"/>
        <v>3404.7821057087999</v>
      </c>
      <c r="N8" s="1">
        <f t="shared" si="0"/>
        <v>3813.3559583938563</v>
      </c>
      <c r="O8" s="1">
        <f t="shared" si="0"/>
        <v>4194.6915542332426</v>
      </c>
      <c r="P8" s="1">
        <f t="shared" si="0"/>
        <v>4530.2668785719025</v>
      </c>
      <c r="Q8" s="1">
        <f t="shared" si="0"/>
        <v>4802.0828912862171</v>
      </c>
      <c r="R8" s="1">
        <f t="shared" si="0"/>
        <v>4994.1662069376662</v>
      </c>
    </row>
    <row r="9" spans="2:18" x14ac:dyDescent="0.35">
      <c r="D9" t="s">
        <v>20</v>
      </c>
      <c r="F9" s="6">
        <f>(F8-E8)/F8</f>
        <v>0.10656289317377172</v>
      </c>
      <c r="G9" s="6">
        <f>(G8-F8)/G8</f>
        <v>0.13634468380820022</v>
      </c>
      <c r="I9" s="6">
        <f>(I8-G8)/I8</f>
        <v>0.15847505834693429</v>
      </c>
      <c r="J9" s="6">
        <v>0.16</v>
      </c>
      <c r="K9" s="6">
        <v>0.18</v>
      </c>
      <c r="L9" s="6">
        <v>0.16</v>
      </c>
      <c r="M9" s="6">
        <v>0.14000000000000001</v>
      </c>
      <c r="N9" s="6">
        <v>0.12</v>
      </c>
      <c r="O9" s="6">
        <v>0.1</v>
      </c>
      <c r="P9" s="6">
        <v>0.08</v>
      </c>
      <c r="Q9" s="6">
        <v>0.06</v>
      </c>
      <c r="R9" s="6">
        <v>0.04</v>
      </c>
    </row>
    <row r="10" spans="2:18" x14ac:dyDescent="0.35">
      <c r="B10" s="8" t="s">
        <v>21</v>
      </c>
      <c r="C10" s="8"/>
      <c r="D10" s="8"/>
      <c r="E10" s="12">
        <f>E8-E12</f>
        <v>936.28000000000009</v>
      </c>
      <c r="F10" s="12">
        <f t="shared" ref="F10:G10" si="1">F8-F12</f>
        <v>990.65999999999985</v>
      </c>
      <c r="G10" s="12">
        <f t="shared" si="1"/>
        <v>1188</v>
      </c>
      <c r="I10" s="1">
        <f>I8*I11</f>
        <v>1504.7920000000001</v>
      </c>
      <c r="J10" s="1">
        <f t="shared" ref="J10:R10" si="2">J8*J11</f>
        <v>1701.9197519999998</v>
      </c>
      <c r="K10" s="1">
        <f t="shared" si="2"/>
        <v>1956.7713251199998</v>
      </c>
      <c r="L10" s="1">
        <f t="shared" si="2"/>
        <v>2210.1217177407998</v>
      </c>
      <c r="M10" s="1">
        <f t="shared" si="2"/>
        <v>2451.4431161103357</v>
      </c>
      <c r="N10" s="1">
        <f t="shared" si="2"/>
        <v>2669.3491708756992</v>
      </c>
      <c r="O10" s="1">
        <f t="shared" si="2"/>
        <v>2852.3902568786052</v>
      </c>
      <c r="P10" s="1">
        <f t="shared" si="2"/>
        <v>2989.9761398574556</v>
      </c>
      <c r="Q10" s="1">
        <f t="shared" si="2"/>
        <v>3073.333050423179</v>
      </c>
      <c r="R10" s="1">
        <f t="shared" si="2"/>
        <v>3096.383048301353</v>
      </c>
    </row>
    <row r="11" spans="2:18" x14ac:dyDescent="0.35">
      <c r="B11" s="2"/>
      <c r="C11" s="2"/>
      <c r="D11" s="2" t="s">
        <v>22</v>
      </c>
      <c r="E11" s="2"/>
      <c r="F11" s="2"/>
      <c r="G11" s="2"/>
      <c r="I11" s="18">
        <v>0.8</v>
      </c>
      <c r="J11" s="18">
        <v>0.78</v>
      </c>
      <c r="K11" s="18">
        <v>0.76</v>
      </c>
      <c r="L11" s="18">
        <v>0.74</v>
      </c>
      <c r="M11" s="18">
        <v>0.72</v>
      </c>
      <c r="N11" s="18">
        <v>0.7</v>
      </c>
      <c r="O11" s="18">
        <v>0.68</v>
      </c>
      <c r="P11" s="18">
        <v>0.66</v>
      </c>
      <c r="Q11" s="18">
        <v>0.64</v>
      </c>
      <c r="R11" s="18">
        <v>0.62</v>
      </c>
    </row>
    <row r="12" spans="2:18" x14ac:dyDescent="0.35">
      <c r="B12" s="9" t="s">
        <v>23</v>
      </c>
      <c r="E12" s="1">
        <v>285.12</v>
      </c>
      <c r="F12" s="1">
        <v>376.42</v>
      </c>
      <c r="G12" s="1">
        <v>394.9</v>
      </c>
      <c r="I12" s="16">
        <f>I8-I10</f>
        <v>376.19799999999987</v>
      </c>
      <c r="J12" s="16">
        <f t="shared" ref="J12:R12" si="3">J8-J10</f>
        <v>480.02864799999998</v>
      </c>
      <c r="K12" s="16">
        <f t="shared" si="3"/>
        <v>617.92778687999999</v>
      </c>
      <c r="L12" s="16">
        <f t="shared" si="3"/>
        <v>776.52925217919983</v>
      </c>
      <c r="M12" s="16">
        <f t="shared" si="3"/>
        <v>953.3389895984642</v>
      </c>
      <c r="N12" s="16">
        <f t="shared" si="3"/>
        <v>1144.0067875181571</v>
      </c>
      <c r="O12" s="16">
        <f t="shared" si="3"/>
        <v>1342.3012973546374</v>
      </c>
      <c r="P12" s="16">
        <f t="shared" si="3"/>
        <v>1540.2907387144469</v>
      </c>
      <c r="Q12" s="16">
        <f t="shared" si="3"/>
        <v>1728.7498408630381</v>
      </c>
      <c r="R12" s="16">
        <f t="shared" si="3"/>
        <v>1897.7831586363131</v>
      </c>
    </row>
    <row r="13" spans="2:18" x14ac:dyDescent="0.35">
      <c r="D13" t="s">
        <v>22</v>
      </c>
      <c r="E13" s="1"/>
      <c r="F13" s="6">
        <f>(F12-E12)/F12</f>
        <v>0.24254821741671539</v>
      </c>
      <c r="G13" s="6">
        <f>(G12-F12)/G12</f>
        <v>4.6796657381615502E-2</v>
      </c>
      <c r="H13" s="13"/>
      <c r="I13" s="6">
        <v>0.05</v>
      </c>
      <c r="J13" s="6">
        <v>5.5E-2</v>
      </c>
      <c r="K13" s="6">
        <v>0.06</v>
      </c>
      <c r="L13" s="6">
        <v>6.5000000000000002E-2</v>
      </c>
      <c r="M13" s="6">
        <v>7.0000000000000007E-2</v>
      </c>
      <c r="N13" s="6">
        <v>7.4999999999999997E-2</v>
      </c>
      <c r="O13" s="6">
        <v>0.08</v>
      </c>
      <c r="P13" s="6">
        <v>8.5000000000000006E-2</v>
      </c>
      <c r="Q13" s="6">
        <v>0.09</v>
      </c>
      <c r="R13" s="6">
        <v>9.5000000000000001E-2</v>
      </c>
    </row>
    <row r="14" spans="2:18" x14ac:dyDescent="0.35">
      <c r="B14" t="s">
        <v>24</v>
      </c>
      <c r="E14" s="1">
        <v>8.1999999999999993</v>
      </c>
      <c r="F14" s="1">
        <v>62.3</v>
      </c>
      <c r="G14" s="1">
        <v>56</v>
      </c>
      <c r="I14" s="1">
        <f>I12*I15</f>
        <v>75.239599999999982</v>
      </c>
      <c r="J14" s="1">
        <f t="shared" ref="J14:R14" si="4">J12*J15</f>
        <v>96.005729599999995</v>
      </c>
      <c r="K14" s="1">
        <f t="shared" si="4"/>
        <v>123.585557376</v>
      </c>
      <c r="L14" s="1">
        <f t="shared" si="4"/>
        <v>155.30585043583997</v>
      </c>
      <c r="M14" s="1">
        <f t="shared" si="4"/>
        <v>190.66779791969284</v>
      </c>
      <c r="N14" s="1">
        <f t="shared" si="4"/>
        <v>228.80135750363144</v>
      </c>
      <c r="O14" s="1">
        <f t="shared" si="4"/>
        <v>268.4602594709275</v>
      </c>
      <c r="P14" s="1">
        <f t="shared" si="4"/>
        <v>308.05814774288939</v>
      </c>
      <c r="Q14" s="1">
        <f t="shared" si="4"/>
        <v>345.74996817260762</v>
      </c>
      <c r="R14" s="1">
        <f t="shared" si="4"/>
        <v>379.55663172726264</v>
      </c>
    </row>
    <row r="15" spans="2:18" x14ac:dyDescent="0.35">
      <c r="C15" t="s">
        <v>25</v>
      </c>
      <c r="E15" s="5"/>
      <c r="F15" s="5"/>
      <c r="G15" s="5"/>
      <c r="I15" s="17">
        <v>0.2</v>
      </c>
      <c r="J15" s="17">
        <v>0.2</v>
      </c>
      <c r="K15" s="17">
        <v>0.2</v>
      </c>
      <c r="L15" s="17">
        <v>0.2</v>
      </c>
      <c r="M15" s="17">
        <v>0.2</v>
      </c>
      <c r="N15" s="17">
        <v>0.2</v>
      </c>
      <c r="O15" s="17">
        <v>0.2</v>
      </c>
      <c r="P15" s="17">
        <v>0.2</v>
      </c>
      <c r="Q15" s="17">
        <v>0.2</v>
      </c>
      <c r="R15" s="17">
        <v>0.2</v>
      </c>
    </row>
    <row r="16" spans="2:18" x14ac:dyDescent="0.35">
      <c r="B16" s="9" t="s">
        <v>26</v>
      </c>
      <c r="E16" s="14">
        <f>E12-E14</f>
        <v>276.92</v>
      </c>
      <c r="F16" s="14">
        <f t="shared" ref="F16:G16" si="5">F12-F14</f>
        <v>314.12</v>
      </c>
      <c r="G16" s="14">
        <f t="shared" si="5"/>
        <v>338.9</v>
      </c>
      <c r="I16" s="16">
        <f>I12-I14</f>
        <v>300.95839999999987</v>
      </c>
      <c r="J16" s="16">
        <f t="shared" ref="J16:R16" si="6">J12-J14</f>
        <v>384.02291839999998</v>
      </c>
      <c r="K16" s="16">
        <f t="shared" si="6"/>
        <v>494.34222950399999</v>
      </c>
      <c r="L16" s="16">
        <f t="shared" si="6"/>
        <v>621.22340174335989</v>
      </c>
      <c r="M16" s="16">
        <f t="shared" si="6"/>
        <v>762.67119167877138</v>
      </c>
      <c r="N16" s="16">
        <f t="shared" si="6"/>
        <v>915.20543001452575</v>
      </c>
      <c r="O16" s="16">
        <f t="shared" si="6"/>
        <v>1073.84103788371</v>
      </c>
      <c r="P16" s="16">
        <f t="shared" si="6"/>
        <v>1232.2325909715576</v>
      </c>
      <c r="Q16" s="16">
        <f t="shared" si="6"/>
        <v>1382.9998726904305</v>
      </c>
      <c r="R16" s="16">
        <f t="shared" si="6"/>
        <v>1518.2265269090506</v>
      </c>
    </row>
    <row r="19" spans="2:18" x14ac:dyDescent="0.35">
      <c r="B19" t="s">
        <v>27</v>
      </c>
      <c r="E19" s="1">
        <v>93</v>
      </c>
      <c r="F19" s="1">
        <v>109</v>
      </c>
      <c r="G19" s="1">
        <v>114.8</v>
      </c>
      <c r="I19" s="1">
        <v>40</v>
      </c>
      <c r="J19" s="1">
        <v>45</v>
      </c>
      <c r="K19" s="1">
        <v>50</v>
      </c>
      <c r="L19" s="1">
        <v>55</v>
      </c>
      <c r="M19" s="1">
        <v>60</v>
      </c>
      <c r="N19" s="1">
        <v>65</v>
      </c>
      <c r="O19" s="1">
        <v>70</v>
      </c>
      <c r="P19" s="1">
        <v>75</v>
      </c>
      <c r="Q19" s="1">
        <v>80</v>
      </c>
      <c r="R19" s="1">
        <v>85</v>
      </c>
    </row>
    <row r="20" spans="2:18" x14ac:dyDescent="0.35">
      <c r="B20" t="s">
        <v>28</v>
      </c>
      <c r="E20" s="1">
        <f>-21.5*1.1</f>
        <v>-23.650000000000002</v>
      </c>
      <c r="F20" s="1">
        <f>-70.8*1.1</f>
        <v>-77.88000000000001</v>
      </c>
      <c r="G20" s="1">
        <f>-113.5*1.1</f>
        <v>-124.85000000000001</v>
      </c>
      <c r="I20" s="1">
        <v>50</v>
      </c>
      <c r="J20" s="1">
        <v>55</v>
      </c>
      <c r="K20" s="1">
        <v>60</v>
      </c>
      <c r="L20" s="1">
        <v>65</v>
      </c>
      <c r="M20" s="1">
        <v>70</v>
      </c>
      <c r="N20" s="1">
        <v>75</v>
      </c>
      <c r="O20" s="1">
        <v>80</v>
      </c>
      <c r="P20" s="1">
        <v>85</v>
      </c>
      <c r="Q20" s="1">
        <v>90</v>
      </c>
      <c r="R20" s="1">
        <v>95</v>
      </c>
    </row>
    <row r="21" spans="2:18" x14ac:dyDescent="0.35">
      <c r="B21" s="2" t="s">
        <v>29</v>
      </c>
      <c r="C21" s="2"/>
      <c r="D21" s="2"/>
      <c r="E21" s="15">
        <v>0</v>
      </c>
      <c r="F21" s="15">
        <v>183.26</v>
      </c>
      <c r="G21" s="15">
        <v>44.04</v>
      </c>
      <c r="I21" s="15">
        <v>18.5</v>
      </c>
      <c r="J21" s="15">
        <v>20</v>
      </c>
      <c r="K21" s="15">
        <v>21.5</v>
      </c>
      <c r="L21" s="15">
        <v>23</v>
      </c>
      <c r="M21" s="15">
        <v>24.5</v>
      </c>
      <c r="N21" s="15">
        <v>26</v>
      </c>
      <c r="O21" s="15">
        <v>27.5</v>
      </c>
      <c r="P21" s="15">
        <v>29</v>
      </c>
      <c r="Q21" s="15">
        <v>30.5</v>
      </c>
      <c r="R21" s="15">
        <v>32</v>
      </c>
    </row>
    <row r="22" spans="2:18" x14ac:dyDescent="0.35">
      <c r="B22" s="9" t="s">
        <v>30</v>
      </c>
      <c r="E22" s="1">
        <f>E16+E19-E20+E21</f>
        <v>393.57</v>
      </c>
      <c r="F22" s="1">
        <f t="shared" ref="F22:G22" si="7">F16+F19-F20+F21</f>
        <v>684.26</v>
      </c>
      <c r="G22" s="1">
        <f t="shared" si="7"/>
        <v>622.58999999999992</v>
      </c>
      <c r="I22" s="16">
        <f>I16+I19-I20+I21</f>
        <v>309.45839999999987</v>
      </c>
      <c r="J22" s="16">
        <f t="shared" ref="J22:R22" si="8">J16+J19-J20+J21</f>
        <v>394.02291839999998</v>
      </c>
      <c r="K22" s="16">
        <f t="shared" si="8"/>
        <v>505.84222950399999</v>
      </c>
      <c r="L22" s="16">
        <f t="shared" si="8"/>
        <v>634.22340174335989</v>
      </c>
      <c r="M22" s="16">
        <f t="shared" si="8"/>
        <v>777.17119167877138</v>
      </c>
      <c r="N22" s="16">
        <f t="shared" si="8"/>
        <v>931.20543001452575</v>
      </c>
      <c r="O22" s="16">
        <f t="shared" si="8"/>
        <v>1091.34103788371</v>
      </c>
      <c r="P22" s="16">
        <f t="shared" si="8"/>
        <v>1251.2325909715576</v>
      </c>
      <c r="Q22" s="16">
        <f t="shared" si="8"/>
        <v>1403.4998726904305</v>
      </c>
      <c r="R22" s="16">
        <f t="shared" si="8"/>
        <v>1540.2265269090506</v>
      </c>
    </row>
    <row r="24" spans="2:18" x14ac:dyDescent="0.35">
      <c r="B24" s="9" t="s">
        <v>31</v>
      </c>
      <c r="I24" s="16">
        <f>I22/(1+WACC!I18)</f>
        <v>285.4084651852225</v>
      </c>
      <c r="J24" s="16">
        <f>J22/(1+WACC!$I$18)^2</f>
        <v>335.1588040312684</v>
      </c>
      <c r="K24" s="16">
        <f>K22/(1+WACC!$I$18)^2</f>
        <v>430.2731357797868</v>
      </c>
      <c r="L24" s="16">
        <f>L22/(1+WACC!$I$18)^2</f>
        <v>539.47510891018055</v>
      </c>
      <c r="M24" s="16">
        <f>M22/(1+WACC!$I$18)^2</f>
        <v>661.06755461921045</v>
      </c>
      <c r="N24" s="16">
        <f>N22/(1+WACC!$I$18)^2</f>
        <v>792.09021520483077</v>
      </c>
      <c r="O24" s="16">
        <f>O22/(1+WACC!$I$18)^2</f>
        <v>928.30274577080911</v>
      </c>
      <c r="P24" s="16">
        <f>P22/(1+WACC!$I$18)^2</f>
        <v>1064.3076815375734</v>
      </c>
      <c r="Q24" s="16">
        <f>Q22/(1+WACC!$I$18)^2</f>
        <v>1193.8273557768821</v>
      </c>
      <c r="R24" s="16">
        <f>R22/(1+WACC!$I$18)^2</f>
        <v>1310.12805750558</v>
      </c>
    </row>
    <row r="27" spans="2:18" x14ac:dyDescent="0.35">
      <c r="D27" s="42" t="s">
        <v>32</v>
      </c>
      <c r="E27" s="43"/>
      <c r="F27" s="44"/>
      <c r="I27" s="42" t="s">
        <v>33</v>
      </c>
      <c r="J27" s="43"/>
      <c r="K27" s="43"/>
      <c r="L27" s="43"/>
      <c r="M27" s="44"/>
    </row>
    <row r="28" spans="2:18" x14ac:dyDescent="0.35">
      <c r="D28" s="23" t="s">
        <v>34</v>
      </c>
      <c r="F28" s="24">
        <f>SUM(I22:R22)</f>
        <v>8838.2235997954049</v>
      </c>
      <c r="I28" s="36" t="s">
        <v>34</v>
      </c>
      <c r="M28" s="24">
        <f>F28</f>
        <v>8838.2235997954049</v>
      </c>
    </row>
    <row r="29" spans="2:18" x14ac:dyDescent="0.35">
      <c r="D29" s="25"/>
      <c r="F29" s="26"/>
      <c r="I29" s="25"/>
      <c r="M29" s="26"/>
    </row>
    <row r="30" spans="2:18" x14ac:dyDescent="0.35">
      <c r="D30" s="25" t="s">
        <v>35</v>
      </c>
      <c r="F30" s="24">
        <f>R12+R19</f>
        <v>1982.7831586363131</v>
      </c>
      <c r="I30" s="25" t="s">
        <v>36</v>
      </c>
      <c r="M30" s="24">
        <f>R22</f>
        <v>1540.2265269090506</v>
      </c>
    </row>
    <row r="31" spans="2:18" x14ac:dyDescent="0.35">
      <c r="D31" s="27" t="s">
        <v>37</v>
      </c>
      <c r="E31" s="2"/>
      <c r="F31" s="28" t="s">
        <v>38</v>
      </c>
      <c r="I31" s="27" t="s">
        <v>39</v>
      </c>
      <c r="J31" s="2"/>
      <c r="K31" s="2"/>
      <c r="L31" s="2"/>
      <c r="M31" s="37">
        <v>3.5000000000000003E-2</v>
      </c>
    </row>
    <row r="32" spans="2:18" x14ac:dyDescent="0.35">
      <c r="D32" s="23" t="s">
        <v>40</v>
      </c>
      <c r="F32" s="24">
        <f>F30*9.9</f>
        <v>19629.553270499502</v>
      </c>
      <c r="I32" s="23" t="s">
        <v>41</v>
      </c>
      <c r="M32" s="24">
        <f>M30*(1+M31)/(WACC!I18-'DCF Analysis'!M31)</f>
        <v>32358.378826339369</v>
      </c>
    </row>
    <row r="33" spans="4:13" x14ac:dyDescent="0.35">
      <c r="D33" s="27" t="s">
        <v>42</v>
      </c>
      <c r="E33" s="2"/>
      <c r="F33" s="29">
        <f>1/(1+WACC!I18)</f>
        <v>0.92228378736923156</v>
      </c>
      <c r="I33" s="27" t="s">
        <v>43</v>
      </c>
      <c r="J33" s="2"/>
      <c r="K33" s="2"/>
      <c r="L33" s="2"/>
      <c r="M33" s="29">
        <f>F33</f>
        <v>0.92228378736923156</v>
      </c>
    </row>
    <row r="34" spans="4:13" x14ac:dyDescent="0.35">
      <c r="D34" s="23" t="s">
        <v>44</v>
      </c>
      <c r="F34" s="24">
        <f>F32*F33</f>
        <v>18104.018734682366</v>
      </c>
      <c r="I34" s="23" t="s">
        <v>45</v>
      </c>
      <c r="M34" s="24">
        <f>M32*M33</f>
        <v>29843.608177084625</v>
      </c>
    </row>
    <row r="35" spans="4:13" x14ac:dyDescent="0.35">
      <c r="D35" s="45" t="s">
        <v>46</v>
      </c>
      <c r="E35" s="46"/>
      <c r="F35" s="30">
        <f>F34/F37</f>
        <v>0.67195664376883724</v>
      </c>
      <c r="I35" s="31"/>
      <c r="J35" s="47" t="s">
        <v>47</v>
      </c>
      <c r="K35" s="46"/>
      <c r="M35" s="30">
        <f>M34/M37</f>
        <v>0.77151486385714607</v>
      </c>
    </row>
    <row r="36" spans="4:13" x14ac:dyDescent="0.35">
      <c r="D36" s="25"/>
      <c r="F36" s="26"/>
      <c r="I36" s="25"/>
      <c r="M36" s="26"/>
    </row>
    <row r="37" spans="4:13" x14ac:dyDescent="0.35">
      <c r="D37" s="23" t="s">
        <v>48</v>
      </c>
      <c r="F37" s="24">
        <f>F28+F34</f>
        <v>26942.242334477771</v>
      </c>
      <c r="I37" s="38" t="s">
        <v>49</v>
      </c>
      <c r="M37" s="24">
        <f>M28+M34</f>
        <v>38681.831776880033</v>
      </c>
    </row>
    <row r="38" spans="4:13" x14ac:dyDescent="0.35">
      <c r="D38" s="25"/>
      <c r="F38" s="26"/>
      <c r="I38" s="25"/>
      <c r="M38" s="26"/>
    </row>
    <row r="39" spans="4:13" x14ac:dyDescent="0.35">
      <c r="D39" s="31" t="s">
        <v>50</v>
      </c>
      <c r="F39" s="24">
        <f>5500.1*1.1</f>
        <v>6050.1100000000006</v>
      </c>
      <c r="I39" s="31" t="s">
        <v>50</v>
      </c>
      <c r="M39" s="24">
        <f>5500.1*1.1</f>
        <v>6050.1100000000006</v>
      </c>
    </row>
    <row r="40" spans="4:13" x14ac:dyDescent="0.35">
      <c r="D40" s="31" t="s">
        <v>51</v>
      </c>
      <c r="F40" s="24">
        <f>235.5*(1.1)</f>
        <v>259.05</v>
      </c>
      <c r="I40" s="31" t="s">
        <v>51</v>
      </c>
      <c r="M40" s="24">
        <f>235.5*(1.1)</f>
        <v>259.05</v>
      </c>
    </row>
    <row r="41" spans="4:13" x14ac:dyDescent="0.35">
      <c r="D41" s="31" t="s">
        <v>52</v>
      </c>
      <c r="F41" s="24">
        <v>0</v>
      </c>
      <c r="I41" s="31" t="s">
        <v>52</v>
      </c>
      <c r="M41" s="24">
        <v>0</v>
      </c>
    </row>
    <row r="42" spans="4:13" x14ac:dyDescent="0.35">
      <c r="D42" s="31" t="s">
        <v>53</v>
      </c>
      <c r="F42" s="24">
        <v>0</v>
      </c>
      <c r="I42" s="31" t="s">
        <v>53</v>
      </c>
      <c r="M42" s="24">
        <v>0</v>
      </c>
    </row>
    <row r="43" spans="4:13" x14ac:dyDescent="0.35">
      <c r="D43" s="32" t="s">
        <v>54</v>
      </c>
      <c r="E43" s="22"/>
      <c r="F43" s="33">
        <f>F37-F39+F40</f>
        <v>21151.182334477769</v>
      </c>
      <c r="I43" s="32" t="s">
        <v>55</v>
      </c>
      <c r="J43" s="22"/>
      <c r="K43" s="22"/>
      <c r="L43" s="22"/>
      <c r="M43" s="33">
        <f>M37-M39+M40</f>
        <v>32890.771776880036</v>
      </c>
    </row>
    <row r="44" spans="4:13" x14ac:dyDescent="0.35">
      <c r="D44" s="27" t="s">
        <v>56</v>
      </c>
      <c r="E44" s="2"/>
      <c r="F44" s="34">
        <v>187.83</v>
      </c>
      <c r="I44" s="25" t="s">
        <v>56</v>
      </c>
      <c r="M44" s="26">
        <f>F44</f>
        <v>187.83</v>
      </c>
    </row>
    <row r="45" spans="4:13" x14ac:dyDescent="0.35">
      <c r="D45" s="27" t="s">
        <v>57</v>
      </c>
      <c r="E45" s="2"/>
      <c r="F45" s="35">
        <f>F43/F44</f>
        <v>112.60811550060038</v>
      </c>
      <c r="I45" s="27" t="s">
        <v>57</v>
      </c>
      <c r="J45" s="2"/>
      <c r="K45" s="2"/>
      <c r="L45" s="2"/>
      <c r="M45" s="35">
        <f>M43/M44</f>
        <v>175.1092571840496</v>
      </c>
    </row>
  </sheetData>
  <mergeCells count="7">
    <mergeCell ref="C2:D2"/>
    <mergeCell ref="E6:G6"/>
    <mergeCell ref="I6:R6"/>
    <mergeCell ref="D27:F27"/>
    <mergeCell ref="D35:E35"/>
    <mergeCell ref="I27:M27"/>
    <mergeCell ref="J35:K35"/>
  </mergeCells>
  <hyperlinks>
    <hyperlink ref="G14" r:id="rId1" display="56" xr:uid="{1D27E9BB-2336-4459-909D-EFCD366E1138}"/>
    <hyperlink ref="E20" r:id="rId2" display="-21.5" xr:uid="{2C42D8D2-C8E3-4569-89A9-713BF648F717}"/>
    <hyperlink ref="F20" r:id="rId3" display="-70.8" xr:uid="{709D4E18-887C-4A49-B6AA-183985CCE7B3}"/>
    <hyperlink ref="G20" r:id="rId4" display="(113.5" xr:uid="{435F05C1-FF7E-4610-B162-06F3023B23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2C20-4C98-43DC-B936-5DAF61F4A09C}">
  <dimension ref="G2:T18"/>
  <sheetViews>
    <sheetView showGridLines="0" topLeftCell="D16" workbookViewId="0">
      <selection activeCell="P7" sqref="P7"/>
    </sheetView>
  </sheetViews>
  <sheetFormatPr defaultRowHeight="14.5" x14ac:dyDescent="0.35"/>
  <cols>
    <col min="7" max="7" width="24.453125" customWidth="1"/>
    <col min="13" max="13" width="13.7265625" customWidth="1"/>
    <col min="16" max="16" width="15" customWidth="1"/>
  </cols>
  <sheetData>
    <row r="2" spans="7:20" x14ac:dyDescent="0.35">
      <c r="G2" s="48" t="s">
        <v>58</v>
      </c>
      <c r="H2" s="49"/>
      <c r="I2" s="49"/>
      <c r="K2" s="48" t="s">
        <v>59</v>
      </c>
      <c r="L2" s="50"/>
      <c r="M2" s="50"/>
      <c r="N2" s="50"/>
      <c r="P2" s="51" t="s">
        <v>60</v>
      </c>
      <c r="Q2" s="51"/>
      <c r="R2" s="51"/>
      <c r="S2" s="51"/>
      <c r="T2" s="51"/>
    </row>
    <row r="3" spans="7:20" x14ac:dyDescent="0.35">
      <c r="G3" t="s">
        <v>61</v>
      </c>
      <c r="I3" s="19">
        <f>N7</f>
        <v>1.6066666666666667</v>
      </c>
      <c r="K3" t="s">
        <v>62</v>
      </c>
      <c r="N3">
        <v>1.93</v>
      </c>
      <c r="P3" t="s">
        <v>62</v>
      </c>
      <c r="Q3">
        <v>7.61</v>
      </c>
    </row>
    <row r="4" spans="7:20" x14ac:dyDescent="0.35">
      <c r="K4" t="s">
        <v>63</v>
      </c>
      <c r="N4">
        <v>1.39</v>
      </c>
      <c r="P4" t="s">
        <v>64</v>
      </c>
      <c r="Q4">
        <v>11.17</v>
      </c>
    </row>
    <row r="5" spans="7:20" x14ac:dyDescent="0.35">
      <c r="G5" t="s">
        <v>65</v>
      </c>
      <c r="I5" s="5">
        <f>1923.7/(1923.7+2064.4)</f>
        <v>0.4823600210626614</v>
      </c>
      <c r="K5" t="s">
        <v>66</v>
      </c>
      <c r="N5">
        <v>1.5</v>
      </c>
      <c r="P5" t="s">
        <v>66</v>
      </c>
      <c r="Q5">
        <v>10.95</v>
      </c>
    </row>
    <row r="6" spans="7:20" x14ac:dyDescent="0.35">
      <c r="G6" t="s">
        <v>67</v>
      </c>
      <c r="I6" s="5">
        <f>1-I5</f>
        <v>0.5176399789373386</v>
      </c>
      <c r="P6" t="s">
        <v>68</v>
      </c>
      <c r="Q6">
        <f>AVERAGE(Q3:Q5)</f>
        <v>9.91</v>
      </c>
    </row>
    <row r="7" spans="7:20" x14ac:dyDescent="0.35">
      <c r="K7" t="s">
        <v>68</v>
      </c>
      <c r="N7" s="19">
        <f>AVERAGE(N3:N5)</f>
        <v>1.6066666666666667</v>
      </c>
    </row>
    <row r="8" spans="7:20" x14ac:dyDescent="0.35">
      <c r="G8" t="s">
        <v>69</v>
      </c>
      <c r="I8" s="5">
        <f>80.2/2143.9</f>
        <v>3.7408461215541769E-2</v>
      </c>
      <c r="K8" t="s">
        <v>70</v>
      </c>
      <c r="N8">
        <f>MEDIAN(N3:N5)</f>
        <v>1.5</v>
      </c>
    </row>
    <row r="9" spans="7:20" x14ac:dyDescent="0.35">
      <c r="G9" s="2" t="s">
        <v>25</v>
      </c>
      <c r="H9" s="2"/>
      <c r="I9" s="21">
        <v>0.25</v>
      </c>
    </row>
    <row r="10" spans="7:20" x14ac:dyDescent="0.35">
      <c r="G10" s="20" t="s">
        <v>71</v>
      </c>
      <c r="I10" s="5">
        <f>I8*(1-I9)</f>
        <v>2.8056345911656327E-2</v>
      </c>
    </row>
    <row r="12" spans="7:20" x14ac:dyDescent="0.35">
      <c r="G12" t="s">
        <v>72</v>
      </c>
      <c r="I12" s="5">
        <v>3.9600000000000003E-2</v>
      </c>
    </row>
    <row r="13" spans="7:20" x14ac:dyDescent="0.35">
      <c r="G13" t="s">
        <v>73</v>
      </c>
      <c r="I13" s="5">
        <f>0.1-I12</f>
        <v>6.0400000000000002E-2</v>
      </c>
    </row>
    <row r="14" spans="7:20" x14ac:dyDescent="0.35">
      <c r="G14" t="s">
        <v>74</v>
      </c>
      <c r="I14" s="19">
        <f>N7</f>
        <v>1.6066666666666667</v>
      </c>
    </row>
    <row r="15" spans="7:20" x14ac:dyDescent="0.35">
      <c r="G15" s="2"/>
      <c r="H15" s="2"/>
      <c r="I15" s="2"/>
    </row>
    <row r="16" spans="7:20" x14ac:dyDescent="0.35">
      <c r="G16" s="20" t="s">
        <v>75</v>
      </c>
      <c r="I16" s="5">
        <f>I12+(I13*I14)</f>
        <v>0.13664266666666666</v>
      </c>
    </row>
    <row r="18" spans="7:9" x14ac:dyDescent="0.35">
      <c r="G18" s="9" t="s">
        <v>76</v>
      </c>
      <c r="I18" s="5">
        <f>(I16*I6) + (I5*I10)</f>
        <v>8.4264966700162966E-2</v>
      </c>
    </row>
  </sheetData>
  <mergeCells count="3">
    <mergeCell ref="G2:I2"/>
    <mergeCell ref="K2:N2"/>
    <mergeCell ref="P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Analysis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Starks, Justin</cp:lastModifiedBy>
  <cp:revision/>
  <dcterms:created xsi:type="dcterms:W3CDTF">2024-01-11T23:46:41Z</dcterms:created>
  <dcterms:modified xsi:type="dcterms:W3CDTF">2024-01-14T05:50:25Z</dcterms:modified>
  <cp:category/>
  <cp:contentStatus/>
</cp:coreProperties>
</file>