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7.xml" ContentType="application/vnd.openxmlformats-officedocument.spreadsheetml.tab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pcuser\Desktop\"/>
    </mc:Choice>
  </mc:AlternateContent>
  <xr:revisionPtr revIDLastSave="0" documentId="13_ncr:1_{61FA4CFE-5E64-42F9-BA00-C9293EEE7A6B}" xr6:coauthVersionLast="47" xr6:coauthVersionMax="47" xr10:uidLastSave="{00000000-0000-0000-0000-000000000000}"/>
  <workbookProtection workbookAlgorithmName="SHA-512" workbookHashValue="dp5wxTcGfHQQF52KMr1S0HvRMUkHVNwYjaO8y1bVtiEocDtnm2sSodjdfbDsA68KnlKPCyV1blYNnjO1LjbRmQ==" workbookSaltValue="lFM3TPLADjszGyEF7EszEw==" workbookSpinCount="100000" lockStructure="1"/>
  <bookViews>
    <workbookView xWindow="-120" yWindow="-120" windowWidth="29040" windowHeight="15720" tabRatio="845" firstSheet="3" activeTab="7" xr2:uid="{7FB710B6-07DF-4B0A-9B85-8E4FCE5ABFE3}"/>
  </bookViews>
  <sheets>
    <sheet name="SDG1_Table" sheetId="1" state="hidden" r:id="rId1"/>
    <sheet name="Score Summary" sheetId="3" state="hidden" r:id="rId2"/>
    <sheet name="Main Menu" sheetId="9" state="hidden" r:id="rId3"/>
    <sheet name="Dashboard" sheetId="32" r:id="rId4"/>
    <sheet name="PT" sheetId="34" state="hidden" r:id="rId5"/>
    <sheet name="BatStateU Total Score" sheetId="29" r:id="rId6"/>
    <sheet name="CampusScore" sheetId="12" r:id="rId7"/>
    <sheet name="SDG1" sheetId="6" r:id="rId8"/>
    <sheet name="SDG2" sheetId="8" r:id="rId9"/>
    <sheet name="SDG3" sheetId="13" r:id="rId10"/>
    <sheet name="SDG4" sheetId="14" r:id="rId11"/>
    <sheet name="SDG5" sheetId="15" r:id="rId12"/>
    <sheet name="SDG6" sheetId="16" r:id="rId13"/>
    <sheet name="SDG7" sheetId="17" r:id="rId14"/>
    <sheet name="SDG8" sheetId="18" r:id="rId15"/>
    <sheet name="SDG9" sheetId="19" r:id="rId16"/>
    <sheet name="SDG10" sheetId="20" r:id="rId17"/>
    <sheet name="SDG11" sheetId="21" r:id="rId18"/>
    <sheet name="SDG12" sheetId="22" r:id="rId19"/>
    <sheet name="SDG13" sheetId="23" r:id="rId20"/>
    <sheet name="SDG14" sheetId="24" r:id="rId21"/>
    <sheet name="SDG15" sheetId="25" r:id="rId22"/>
    <sheet name="SDG16" sheetId="26" r:id="rId23"/>
    <sheet name="SDG17" sheetId="28" r:id="rId24"/>
    <sheet name="dropdown" sheetId="7" state="hidden" r:id="rId25"/>
  </sheets>
  <definedNames>
    <definedName name="_xlcn.WorksheetConnection_CampusSustainabilityDashboardTemplate.xlsxTable61" hidden="1">Table6[]</definedName>
    <definedName name="_xlcn.WorksheetConnection_ScoreBoardA1C181" hidden="1">CampusScore!$A$1:$C$18</definedName>
    <definedName name="_xlcn.WorksheetConnection_ScoreBoardA2C181" hidden="1">CampusScore!$A$2:$C$18</definedName>
    <definedName name="_xlcn.WorksheetConnection_ScoreBoardA2C191" hidden="1">CampusScore!$A$2:$C$19</definedName>
    <definedName name="_xlcn.WorksheetConnection_ScoreSummaryA1E31" hidden="1">'Score Summary'!$A$1:$H$3</definedName>
    <definedName name="CA_Plan">dropdown!$D$2:$D$5</definedName>
    <definedName name="report">dropdown!$C$2:$C$4</definedName>
    <definedName name="Slicer_Campus">#N/A</definedName>
    <definedName name="Slicer_SDG">#N/A</definedName>
    <definedName name="vaw">dropdown!$B$2:$B$4</definedName>
    <definedName name="yesno">dropdown!$A$2:$A$3</definedName>
  </definedNames>
  <calcPr calcId="191029"/>
  <pivotCaches>
    <pivotCache cacheId="0" r:id="rId26"/>
    <pivotCache cacheId="1" r:id="rId27"/>
    <pivotCache cacheId="2" r:id="rId28"/>
    <pivotCache cacheId="11" r:id="rId29"/>
    <pivotCache cacheId="15" r:id="rId30"/>
    <pivotCache cacheId="25" r:id="rId31"/>
    <pivotCache cacheId="28" r:id="rId32"/>
  </pivotCaches>
  <extLst>
    <ext xmlns:x14="http://schemas.microsoft.com/office/spreadsheetml/2009/9/main" uri="{876F7934-8845-4945-9796-88D515C7AA90}">
      <x14:pivotCaches>
        <pivotCache cacheId="14" r:id="rId33"/>
        <pivotCache cacheId="18" r:id="rId34"/>
      </x14:pivotCaches>
    </ext>
    <ext xmlns:x14="http://schemas.microsoft.com/office/spreadsheetml/2009/9/main" uri="{BBE1A952-AA13-448e-AADC-164F8A28A991}">
      <x14:slicerCaches>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core Summary!$A$1:$E$3"/>
          <x15:modelTable id="Range 1" name="Range 1" connection="WorksheetConnection_Score Board!$A$2:$C$19"/>
          <x15:modelTable id="Range 2" name="Range 2" connection="WorksheetConnection_Score Board!$A$2:$C$18"/>
          <x15:modelTable id="Range 3" name="Range 3" connection="WorksheetConnection_Score Board!$A$1:$C$18"/>
          <x15:modelTable id="Table6" name="Table6" connection="WorksheetConnection_Campus Sustainability Dashboard Template.xlsx!Table6"/>
        </x15:modelTables>
      </x15:dataModel>
    </ext>
  </extLst>
</workbook>
</file>

<file path=xl/calcChain.xml><?xml version="1.0" encoding="utf-8"?>
<calcChain xmlns="http://schemas.openxmlformats.org/spreadsheetml/2006/main">
  <c r="I12" i="28" l="1"/>
  <c r="I13" i="26"/>
  <c r="I11" i="26"/>
  <c r="I9" i="26"/>
  <c r="I24" i="24"/>
  <c r="I19" i="24"/>
  <c r="I17" i="24"/>
  <c r="I15" i="24"/>
  <c r="I13" i="24"/>
  <c r="I7" i="26"/>
  <c r="I8" i="25"/>
  <c r="I9" i="24"/>
  <c r="I15" i="22"/>
  <c r="I13" i="22"/>
  <c r="I11" i="22"/>
  <c r="I9" i="22"/>
  <c r="I7" i="22"/>
  <c r="I5" i="22"/>
  <c r="I27" i="21"/>
  <c r="I15" i="20"/>
  <c r="I8" i="20"/>
  <c r="I5" i="20"/>
  <c r="I13" i="18"/>
  <c r="I11" i="18"/>
  <c r="I9" i="18"/>
  <c r="I7" i="18"/>
  <c r="I5" i="18"/>
  <c r="I12" i="17"/>
  <c r="I7" i="17"/>
  <c r="I5" i="17"/>
  <c r="I6" i="15"/>
  <c r="I11" i="15"/>
  <c r="I14" i="14"/>
  <c r="I19" i="6"/>
  <c r="I20" i="6"/>
  <c r="I8" i="6"/>
  <c r="M8" i="21"/>
  <c r="I7" i="21" s="1"/>
  <c r="M11" i="15"/>
  <c r="M10" i="15"/>
  <c r="M12" i="28"/>
  <c r="M21" i="28"/>
  <c r="I13" i="28"/>
  <c r="I11" i="28"/>
  <c r="M21" i="26"/>
  <c r="I19" i="26" s="1"/>
  <c r="M13" i="26"/>
  <c r="I12" i="26"/>
  <c r="M11" i="26"/>
  <c r="I10" i="26"/>
  <c r="M9" i="26"/>
  <c r="I8" i="26"/>
  <c r="M7" i="26"/>
  <c r="I6" i="26"/>
  <c r="M8" i="25"/>
  <c r="I7" i="25"/>
  <c r="M24" i="24"/>
  <c r="I23" i="24"/>
  <c r="M19" i="24"/>
  <c r="I18" i="24"/>
  <c r="M17" i="24"/>
  <c r="I16" i="24"/>
  <c r="M15" i="24"/>
  <c r="I14" i="24"/>
  <c r="M13" i="24"/>
  <c r="I12" i="24"/>
  <c r="M9" i="24"/>
  <c r="I8" i="24"/>
  <c r="M26" i="23"/>
  <c r="I17" i="23" s="1"/>
  <c r="I16" i="23"/>
  <c r="M17" i="22"/>
  <c r="I17" i="22" s="1"/>
  <c r="I16" i="22"/>
  <c r="M15" i="22"/>
  <c r="I14" i="22"/>
  <c r="M13" i="22"/>
  <c r="I12" i="22"/>
  <c r="M11" i="22"/>
  <c r="I10" i="22"/>
  <c r="M9" i="22"/>
  <c r="I8" i="22"/>
  <c r="M7" i="22"/>
  <c r="I6" i="22"/>
  <c r="M5" i="22"/>
  <c r="I4" i="22"/>
  <c r="M36" i="21"/>
  <c r="I26" i="21"/>
  <c r="M19" i="21"/>
  <c r="M11" i="21"/>
  <c r="I17" i="21" s="1"/>
  <c r="M17" i="20"/>
  <c r="I14" i="20"/>
  <c r="M8" i="20"/>
  <c r="M7" i="20"/>
  <c r="I7" i="20" s="1"/>
  <c r="M5" i="20"/>
  <c r="I4" i="20"/>
  <c r="M13" i="18"/>
  <c r="I12" i="18"/>
  <c r="M11" i="18"/>
  <c r="I10" i="18"/>
  <c r="M9" i="18"/>
  <c r="I8" i="18"/>
  <c r="M7" i="18"/>
  <c r="I6" i="18"/>
  <c r="M5" i="18"/>
  <c r="I4" i="18"/>
  <c r="M12" i="17"/>
  <c r="I11" i="17"/>
  <c r="M5" i="17"/>
  <c r="I6" i="17"/>
  <c r="M4" i="17"/>
  <c r="I4" i="17"/>
  <c r="M19" i="16"/>
  <c r="I12" i="16" s="1"/>
  <c r="I11" i="16"/>
  <c r="M8" i="15"/>
  <c r="I5" i="15"/>
  <c r="M21" i="14"/>
  <c r="I13" i="14"/>
  <c r="M21" i="13"/>
  <c r="I13" i="13" s="1"/>
  <c r="I12" i="13"/>
  <c r="M8" i="8"/>
  <c r="I6" i="8" s="1"/>
  <c r="M12" i="6"/>
  <c r="M13" i="6" s="1"/>
  <c r="I13" i="6" s="1"/>
  <c r="M4" i="6"/>
  <c r="I3" i="6"/>
  <c r="M13" i="28"/>
  <c r="I8" i="28" s="1"/>
  <c r="M10" i="28"/>
  <c r="M12" i="21"/>
  <c r="I12" i="21" s="1"/>
  <c r="M13" i="17"/>
  <c r="I13" i="17" s="1"/>
  <c r="M30" i="15"/>
  <c r="I17" i="15" s="1"/>
  <c r="I14" i="15"/>
  <c r="I4" i="14"/>
  <c r="I7" i="14"/>
  <c r="M5" i="19"/>
  <c r="M7" i="19"/>
  <c r="I23" i="6"/>
  <c r="I9" i="17" l="1"/>
  <c r="M7" i="17"/>
  <c r="M37" i="15"/>
  <c r="N26" i="15"/>
  <c r="N25" i="15"/>
  <c r="M23" i="14"/>
  <c r="I15" i="14" s="1"/>
  <c r="M31" i="8"/>
  <c r="I8" i="8"/>
  <c r="I5" i="8"/>
  <c r="F2" i="34"/>
  <c r="F3" i="34" s="1"/>
  <c r="G188" i="29"/>
  <c r="G187" i="29"/>
  <c r="G186" i="29"/>
  <c r="G185" i="29"/>
  <c r="G184" i="29"/>
  <c r="G183" i="29"/>
  <c r="G182" i="29"/>
  <c r="G181" i="29"/>
  <c r="G180" i="29"/>
  <c r="G179" i="29"/>
  <c r="G178" i="29"/>
  <c r="G177" i="29"/>
  <c r="G176" i="29"/>
  <c r="G175" i="29"/>
  <c r="G174" i="29"/>
  <c r="G173" i="29"/>
  <c r="G172" i="29"/>
  <c r="G6" i="29" l="1"/>
  <c r="G19" i="29"/>
  <c r="G20" i="29"/>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G71" i="29"/>
  <c r="G72" i="29"/>
  <c r="G73" i="29"/>
  <c r="G74" i="29"/>
  <c r="G75" i="29"/>
  <c r="G76" i="29"/>
  <c r="G77" i="29"/>
  <c r="G78" i="29"/>
  <c r="G79" i="29"/>
  <c r="G80" i="29"/>
  <c r="G81" i="29"/>
  <c r="G82" i="29"/>
  <c r="G83" i="29"/>
  <c r="G84" i="29"/>
  <c r="G85" i="29"/>
  <c r="G86" i="29"/>
  <c r="G87" i="29"/>
  <c r="G88" i="29"/>
  <c r="G89" i="29"/>
  <c r="G90" i="29"/>
  <c r="G91" i="29"/>
  <c r="G92" i="29"/>
  <c r="G93" i="29"/>
  <c r="G94" i="29"/>
  <c r="G95" i="29"/>
  <c r="G96" i="29"/>
  <c r="G97" i="29"/>
  <c r="G98" i="29"/>
  <c r="G99" i="29"/>
  <c r="G100" i="29"/>
  <c r="G101" i="29"/>
  <c r="G102" i="29"/>
  <c r="G103" i="29"/>
  <c r="G104" i="29"/>
  <c r="G105" i="29"/>
  <c r="G106" i="29"/>
  <c r="G107" i="29"/>
  <c r="G108" i="29"/>
  <c r="G109" i="29"/>
  <c r="G110" i="29"/>
  <c r="G111" i="29"/>
  <c r="G112" i="29"/>
  <c r="G113" i="29"/>
  <c r="G114" i="29"/>
  <c r="G115" i="29"/>
  <c r="G116" i="29"/>
  <c r="G117" i="29"/>
  <c r="G118" i="29"/>
  <c r="G119" i="29"/>
  <c r="G120" i="29"/>
  <c r="G121" i="29"/>
  <c r="G122" i="29"/>
  <c r="G123" i="29"/>
  <c r="G124" i="29"/>
  <c r="G125" i="29"/>
  <c r="G126" i="29"/>
  <c r="G127" i="29"/>
  <c r="G128" i="29"/>
  <c r="G129" i="29"/>
  <c r="G130" i="29"/>
  <c r="G131" i="29"/>
  <c r="G132" i="29"/>
  <c r="G133" i="29"/>
  <c r="G134" i="29"/>
  <c r="G135" i="29"/>
  <c r="G136" i="29"/>
  <c r="G137" i="29"/>
  <c r="G138" i="29"/>
  <c r="G139" i="29"/>
  <c r="G140" i="29"/>
  <c r="G141" i="29"/>
  <c r="G142" i="29"/>
  <c r="G143" i="29"/>
  <c r="G144" i="29"/>
  <c r="G145" i="29"/>
  <c r="G146" i="29"/>
  <c r="G147" i="29"/>
  <c r="G148" i="29"/>
  <c r="G149" i="29"/>
  <c r="G150" i="29"/>
  <c r="G151" i="29"/>
  <c r="G152" i="29"/>
  <c r="G153" i="29"/>
  <c r="G154" i="29"/>
  <c r="G155" i="29"/>
  <c r="G156" i="29"/>
  <c r="G157" i="29"/>
  <c r="G158" i="29"/>
  <c r="G159" i="29"/>
  <c r="G160" i="29"/>
  <c r="G161" i="29"/>
  <c r="G162" i="29"/>
  <c r="G163" i="29"/>
  <c r="G164" i="29"/>
  <c r="G165" i="29"/>
  <c r="G166" i="29"/>
  <c r="G167" i="29"/>
  <c r="G168" i="29"/>
  <c r="G169" i="29"/>
  <c r="G170" i="29"/>
  <c r="G171" i="29"/>
  <c r="M26" i="28"/>
  <c r="M25" i="28"/>
  <c r="M23" i="28"/>
  <c r="I14" i="28" s="1"/>
  <c r="M19" i="28"/>
  <c r="M15" i="28"/>
  <c r="I9" i="28" s="1"/>
  <c r="I7" i="28"/>
  <c r="M6" i="28"/>
  <c r="M5" i="28"/>
  <c r="M8" i="28"/>
  <c r="I6" i="28" s="1"/>
  <c r="M17" i="28"/>
  <c r="I10" i="28" s="1"/>
  <c r="M3" i="28"/>
  <c r="M2" i="28"/>
  <c r="M23" i="26"/>
  <c r="I20" i="26" s="1"/>
  <c r="M17" i="26"/>
  <c r="M18" i="26"/>
  <c r="L19" i="26"/>
  <c r="M14" i="26"/>
  <c r="I14" i="26" s="1"/>
  <c r="M20" i="26"/>
  <c r="I18" i="26" s="1"/>
  <c r="M16" i="26"/>
  <c r="M6" i="26"/>
  <c r="I5" i="26" s="1"/>
  <c r="M4" i="26"/>
  <c r="I4" i="26" s="1"/>
  <c r="M3" i="26"/>
  <c r="M2" i="26"/>
  <c r="M10" i="25"/>
  <c r="I10" i="25" s="1"/>
  <c r="M9" i="25"/>
  <c r="I9" i="25" s="1"/>
  <c r="M6" i="25"/>
  <c r="I6" i="25" s="1"/>
  <c r="M5" i="25"/>
  <c r="I5" i="25" s="1"/>
  <c r="M4" i="25"/>
  <c r="I4" i="25" s="1"/>
  <c r="M3" i="25"/>
  <c r="M2" i="25"/>
  <c r="M21" i="24"/>
  <c r="I21" i="24" s="1"/>
  <c r="M20" i="24"/>
  <c r="I20" i="24" s="1"/>
  <c r="M6" i="24"/>
  <c r="I6" i="24" s="1"/>
  <c r="M4" i="24"/>
  <c r="I4" i="24" s="1"/>
  <c r="M22" i="24"/>
  <c r="I22" i="24" s="1"/>
  <c r="M11" i="24"/>
  <c r="I11" i="24" s="1"/>
  <c r="M10" i="24"/>
  <c r="I10" i="24" s="1"/>
  <c r="M7" i="24"/>
  <c r="I7" i="24" s="1"/>
  <c r="M5" i="24"/>
  <c r="I5" i="24" s="1"/>
  <c r="M3" i="24"/>
  <c r="M2" i="24"/>
  <c r="M24" i="23"/>
  <c r="I15" i="23" s="1"/>
  <c r="L16" i="23"/>
  <c r="L18" i="23"/>
  <c r="L19" i="23"/>
  <c r="L20" i="23"/>
  <c r="L15" i="23"/>
  <c r="I6" i="23"/>
  <c r="M7" i="23"/>
  <c r="I5" i="23" s="1"/>
  <c r="M5" i="23"/>
  <c r="I4" i="23" s="1"/>
  <c r="M22" i="23"/>
  <c r="I14" i="23" s="1"/>
  <c r="M13" i="23"/>
  <c r="I8" i="23" s="1"/>
  <c r="M11" i="23"/>
  <c r="I7" i="23" s="1"/>
  <c r="M3" i="23"/>
  <c r="M2" i="23"/>
  <c r="M22" i="22"/>
  <c r="I20" i="22" s="1"/>
  <c r="I19" i="22"/>
  <c r="M18" i="22"/>
  <c r="I18" i="22" s="1"/>
  <c r="M3" i="22"/>
  <c r="M2" i="22"/>
  <c r="M34" i="21"/>
  <c r="I25" i="21" s="1"/>
  <c r="M32" i="21"/>
  <c r="I24" i="21" s="1"/>
  <c r="M30" i="21"/>
  <c r="I23" i="21" s="1"/>
  <c r="M28" i="21"/>
  <c r="I22" i="21" s="1"/>
  <c r="M26" i="21"/>
  <c r="I21" i="21" s="1"/>
  <c r="M24" i="21"/>
  <c r="I20" i="21" s="1"/>
  <c r="L16" i="21"/>
  <c r="L15" i="21"/>
  <c r="L14" i="21"/>
  <c r="M7" i="21"/>
  <c r="I5" i="21" s="1"/>
  <c r="M22" i="21"/>
  <c r="I19" i="21" s="1"/>
  <c r="I18" i="21"/>
  <c r="M9" i="21"/>
  <c r="I6" i="21" s="1"/>
  <c r="M5" i="21"/>
  <c r="I4" i="21" s="1"/>
  <c r="M3" i="21"/>
  <c r="M2" i="21"/>
  <c r="M15" i="20"/>
  <c r="I13" i="20" s="1"/>
  <c r="M13" i="20"/>
  <c r="I12" i="20" s="1"/>
  <c r="M12" i="20"/>
  <c r="I11" i="20" s="1"/>
  <c r="M11" i="20"/>
  <c r="I10" i="20" s="1"/>
  <c r="M9" i="20"/>
  <c r="I9" i="20" s="1"/>
  <c r="M6" i="20"/>
  <c r="I6" i="20" s="1"/>
  <c r="M3" i="20"/>
  <c r="M2" i="20"/>
  <c r="I5" i="19"/>
  <c r="M9" i="19"/>
  <c r="I6" i="19" s="1"/>
  <c r="I4" i="19"/>
  <c r="M3" i="19"/>
  <c r="M2" i="19"/>
  <c r="M15" i="18"/>
  <c r="I14" i="18" s="1"/>
  <c r="M3" i="18"/>
  <c r="M2" i="18"/>
  <c r="M25" i="17"/>
  <c r="I19" i="17" s="1"/>
  <c r="M15" i="17"/>
  <c r="I14" i="17" s="1"/>
  <c r="M8" i="17"/>
  <c r="I10" i="17" s="1"/>
  <c r="M23" i="17"/>
  <c r="I18" i="17" s="1"/>
  <c r="M21" i="17"/>
  <c r="I17" i="17" s="1"/>
  <c r="M19" i="17"/>
  <c r="I16" i="17" s="1"/>
  <c r="M17" i="17"/>
  <c r="I15" i="17" s="1"/>
  <c r="M6" i="17"/>
  <c r="I8" i="17" s="1"/>
  <c r="M3" i="17"/>
  <c r="M2" i="17"/>
  <c r="M29" i="16"/>
  <c r="I17" i="16" s="1"/>
  <c r="M27" i="16"/>
  <c r="I16" i="16" s="1"/>
  <c r="M25" i="16"/>
  <c r="I15" i="16" s="1"/>
  <c r="M17" i="16"/>
  <c r="I10" i="16" s="1"/>
  <c r="M13" i="16"/>
  <c r="I8" i="16" s="1"/>
  <c r="M7" i="16"/>
  <c r="I5" i="16" s="1"/>
  <c r="M5" i="16"/>
  <c r="I4" i="16" s="1"/>
  <c r="M23" i="16"/>
  <c r="I14" i="16" s="1"/>
  <c r="M21" i="16"/>
  <c r="I13" i="16" s="1"/>
  <c r="M15" i="16"/>
  <c r="I9" i="16" s="1"/>
  <c r="M9" i="16"/>
  <c r="I6" i="16" s="1"/>
  <c r="M3" i="16"/>
  <c r="M2" i="16"/>
  <c r="M4" i="16" s="1"/>
  <c r="I3" i="16" s="1"/>
  <c r="J2" i="16" s="1"/>
  <c r="I21" i="15"/>
  <c r="M39" i="15"/>
  <c r="I22" i="15" s="1"/>
  <c r="M34" i="15"/>
  <c r="I19" i="15" s="1"/>
  <c r="M28" i="15"/>
  <c r="I16" i="15" s="1"/>
  <c r="M23" i="15"/>
  <c r="I13" i="15" s="1"/>
  <c r="M21" i="15"/>
  <c r="I12" i="15" s="1"/>
  <c r="M5" i="15"/>
  <c r="I4" i="15" s="1"/>
  <c r="I10" i="15"/>
  <c r="M14" i="15"/>
  <c r="I9" i="15" s="1"/>
  <c r="M12" i="15"/>
  <c r="I8" i="15" s="1"/>
  <c r="M9" i="15"/>
  <c r="I7" i="15" s="1"/>
  <c r="M3" i="15"/>
  <c r="M2" i="15"/>
  <c r="M18" i="14"/>
  <c r="I12" i="14" s="1"/>
  <c r="M16" i="14"/>
  <c r="I11" i="14" s="1"/>
  <c r="M14" i="14"/>
  <c r="I10" i="14" s="1"/>
  <c r="M12" i="14"/>
  <c r="I9" i="14" s="1"/>
  <c r="J6" i="14"/>
  <c r="M5" i="14"/>
  <c r="M8" i="14" s="1"/>
  <c r="M3" i="14"/>
  <c r="M2" i="14"/>
  <c r="M6" i="6"/>
  <c r="I5" i="6" s="1"/>
  <c r="M18" i="13"/>
  <c r="I11" i="13" s="1"/>
  <c r="M16" i="13"/>
  <c r="I10" i="13" s="1"/>
  <c r="M14" i="13"/>
  <c r="I9" i="13" s="1"/>
  <c r="M11" i="13"/>
  <c r="I8" i="13" s="1"/>
  <c r="M9" i="13"/>
  <c r="I7" i="13" s="1"/>
  <c r="M6" i="13"/>
  <c r="M7" i="13"/>
  <c r="M5" i="13"/>
  <c r="M3" i="13"/>
  <c r="M2" i="13"/>
  <c r="M24" i="8"/>
  <c r="I14" i="8" s="1"/>
  <c r="M22" i="8"/>
  <c r="I13" i="8" s="1"/>
  <c r="M20" i="8"/>
  <c r="I12" i="8" s="1"/>
  <c r="M18" i="8"/>
  <c r="I11" i="8" s="1"/>
  <c r="M16" i="8"/>
  <c r="I10" i="8" s="1"/>
  <c r="M14" i="8"/>
  <c r="I9" i="8" s="1"/>
  <c r="M12" i="8"/>
  <c r="M10" i="8"/>
  <c r="I7" i="8" s="1"/>
  <c r="J4" i="8"/>
  <c r="H4" i="8"/>
  <c r="M3" i="8"/>
  <c r="M2" i="8"/>
  <c r="L39" i="6"/>
  <c r="L38" i="6"/>
  <c r="L37" i="6"/>
  <c r="L36" i="6"/>
  <c r="I22" i="6"/>
  <c r="I21" i="6"/>
  <c r="M23" i="6"/>
  <c r="M24" i="6" s="1"/>
  <c r="I18" i="6" s="1"/>
  <c r="I16" i="6"/>
  <c r="M18" i="6"/>
  <c r="M19" i="6" s="1"/>
  <c r="I15" i="6" s="1"/>
  <c r="M15" i="6"/>
  <c r="M16" i="6" s="1"/>
  <c r="J2" i="6"/>
  <c r="J24" i="24" l="1"/>
  <c r="J15" i="20"/>
  <c r="N3" i="25"/>
  <c r="I3" i="25" s="1"/>
  <c r="J2" i="25" s="1"/>
  <c r="J6" i="8"/>
  <c r="J11" i="15"/>
  <c r="M27" i="28"/>
  <c r="I15" i="28" s="1"/>
  <c r="J10" i="25"/>
  <c r="J19" i="17"/>
  <c r="J17" i="16"/>
  <c r="J22" i="15"/>
  <c r="J15" i="14"/>
  <c r="J14" i="14"/>
  <c r="J11" i="8"/>
  <c r="M7" i="28"/>
  <c r="I4" i="28" s="1"/>
  <c r="M4" i="28"/>
  <c r="I3" i="28" s="1"/>
  <c r="J2" i="28" s="1"/>
  <c r="M19" i="26"/>
  <c r="I15" i="26" s="1"/>
  <c r="J20" i="26" s="1"/>
  <c r="N3" i="26"/>
  <c r="I3" i="26" s="1"/>
  <c r="J2" i="26" s="1"/>
  <c r="N3" i="24"/>
  <c r="I3" i="24" s="1"/>
  <c r="J2" i="24" s="1"/>
  <c r="L21" i="23"/>
  <c r="M4" i="23"/>
  <c r="I3" i="23" s="1"/>
  <c r="J2" i="23" s="1"/>
  <c r="J20" i="22"/>
  <c r="M4" i="22"/>
  <c r="I3" i="22" s="1"/>
  <c r="J2" i="22" s="1"/>
  <c r="M4" i="21"/>
  <c r="I3" i="21" s="1"/>
  <c r="J2" i="21" s="1"/>
  <c r="L18" i="21"/>
  <c r="I13" i="21" s="1"/>
  <c r="J27" i="21" s="1"/>
  <c r="M4" i="20"/>
  <c r="I3" i="20" s="1"/>
  <c r="J2" i="20" s="1"/>
  <c r="J6" i="19"/>
  <c r="M4" i="19"/>
  <c r="I3" i="19" s="1"/>
  <c r="J2" i="19" s="1"/>
  <c r="M4" i="18"/>
  <c r="I3" i="18" s="1"/>
  <c r="J2" i="18" s="1"/>
  <c r="J14" i="18"/>
  <c r="N3" i="17"/>
  <c r="I3" i="17" s="1"/>
  <c r="J2" i="17" s="1"/>
  <c r="M4" i="15"/>
  <c r="I3" i="15" s="1"/>
  <c r="J2" i="15" s="1"/>
  <c r="M4" i="14"/>
  <c r="I3" i="14" s="1"/>
  <c r="J2" i="14" s="1"/>
  <c r="M8" i="13"/>
  <c r="I4" i="13" s="1"/>
  <c r="J12" i="13" s="1"/>
  <c r="M4" i="13"/>
  <c r="I3" i="13" s="1"/>
  <c r="J2" i="13" s="1"/>
  <c r="M4" i="8"/>
  <c r="I3" i="8" s="1"/>
  <c r="J2" i="8" s="1"/>
  <c r="L40" i="6"/>
  <c r="I24" i="6" s="1"/>
  <c r="J27" i="6" s="1"/>
  <c r="M8" i="6"/>
  <c r="I7" i="6" s="1"/>
  <c r="M5" i="6"/>
  <c r="I4" i="6" s="1"/>
  <c r="M7" i="6"/>
  <c r="I6" i="6" s="1"/>
  <c r="J11" i="25" l="1"/>
  <c r="E16" i="29" s="1"/>
  <c r="G16" i="29" s="1"/>
  <c r="C4" i="12"/>
  <c r="C10" i="12"/>
  <c r="J15" i="8"/>
  <c r="C3" i="12" s="1"/>
  <c r="J16" i="28"/>
  <c r="J17" i="28" s="1"/>
  <c r="J25" i="24"/>
  <c r="E15" i="29" s="1"/>
  <c r="G15" i="29" s="1"/>
  <c r="J23" i="15"/>
  <c r="C6" i="12" s="1"/>
  <c r="J16" i="14"/>
  <c r="J14" i="13"/>
  <c r="J21" i="26"/>
  <c r="C17" i="12" s="1"/>
  <c r="I9" i="23"/>
  <c r="J17" i="23" s="1"/>
  <c r="J21" i="22"/>
  <c r="C13" i="12" s="1"/>
  <c r="J16" i="20"/>
  <c r="C11" i="12" s="1"/>
  <c r="J7" i="19"/>
  <c r="J15" i="18"/>
  <c r="C9" i="12" s="1"/>
  <c r="J20" i="17"/>
  <c r="C8" i="12" s="1"/>
  <c r="J18" i="16"/>
  <c r="C7" i="12" s="1"/>
  <c r="J4" i="6"/>
  <c r="C16" i="12" l="1"/>
  <c r="C15" i="12"/>
  <c r="E18" i="29"/>
  <c r="G18" i="29" s="1"/>
  <c r="C18" i="12"/>
  <c r="J18" i="23"/>
  <c r="E14" i="29" s="1"/>
  <c r="G14" i="29" s="1"/>
  <c r="J28" i="21"/>
  <c r="E12" i="29" s="1"/>
  <c r="G12" i="29" s="1"/>
  <c r="C5" i="12"/>
  <c r="E3" i="29"/>
  <c r="G3" i="29" s="1"/>
  <c r="E17" i="29"/>
  <c r="G17" i="29" s="1"/>
  <c r="E13" i="29"/>
  <c r="G13" i="29" s="1"/>
  <c r="E11" i="29"/>
  <c r="G11" i="29" s="1"/>
  <c r="E10" i="29"/>
  <c r="G10" i="29" s="1"/>
  <c r="E9" i="29"/>
  <c r="G9" i="29" s="1"/>
  <c r="E8" i="29"/>
  <c r="G8" i="29" s="1"/>
  <c r="E7" i="29"/>
  <c r="G7" i="29" s="1"/>
  <c r="E5" i="29"/>
  <c r="G5" i="29" s="1"/>
  <c r="E4" i="29"/>
  <c r="G4" i="29" s="1"/>
  <c r="J98" i="1"/>
  <c r="I98" i="1"/>
  <c r="H98" i="1"/>
  <c r="J78" i="1"/>
  <c r="J79" i="1"/>
  <c r="J80" i="1"/>
  <c r="J81" i="1"/>
  <c r="J82" i="1"/>
  <c r="J83" i="1"/>
  <c r="J84" i="1"/>
  <c r="J85" i="1"/>
  <c r="J86" i="1"/>
  <c r="J87" i="1"/>
  <c r="J88" i="1"/>
  <c r="J89" i="1"/>
  <c r="J90" i="1"/>
  <c r="J91" i="1"/>
  <c r="J92" i="1"/>
  <c r="J93" i="1"/>
  <c r="J94" i="1"/>
  <c r="J95" i="1"/>
  <c r="J96" i="1"/>
  <c r="J97" i="1"/>
  <c r="I74" i="1"/>
  <c r="J74" i="1" s="1"/>
  <c r="H74" i="1"/>
  <c r="J54" i="1"/>
  <c r="J55" i="1"/>
  <c r="J56" i="1"/>
  <c r="J57" i="1"/>
  <c r="J58" i="1"/>
  <c r="J59" i="1"/>
  <c r="J60" i="1"/>
  <c r="J61" i="1"/>
  <c r="J62" i="1"/>
  <c r="J63" i="1"/>
  <c r="J64" i="1"/>
  <c r="J65" i="1"/>
  <c r="J66" i="1"/>
  <c r="J67" i="1"/>
  <c r="J68" i="1"/>
  <c r="J69" i="1"/>
  <c r="J70" i="1"/>
  <c r="J71" i="1"/>
  <c r="J72" i="1"/>
  <c r="J73" i="1"/>
  <c r="J20" i="6"/>
  <c r="C12" i="12" l="1"/>
  <c r="C14" i="12"/>
  <c r="J28" i="6"/>
  <c r="E2" i="29" s="1"/>
  <c r="G2" i="29" s="1"/>
  <c r="C2" i="12" l="1"/>
  <c r="C19"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87BEC9-9B3D-476B-8D4C-DC1141FD9B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DDC6C20-B94E-4453-AAC6-F61B723D813C}" name="WorksheetConnection_Campus Sustainability Dashboard Template.xlsx!Table6" type="102" refreshedVersion="8" minRefreshableVersion="5">
    <extLst>
      <ext xmlns:x15="http://schemas.microsoft.com/office/spreadsheetml/2010/11/main" uri="{DE250136-89BD-433C-8126-D09CA5730AF9}">
        <x15:connection id="Table6">
          <x15:rangePr sourceName="_xlcn.WorksheetConnection_CampusSustainabilityDashboardTemplate.xlsxTable61"/>
        </x15:connection>
      </ext>
    </extLst>
  </connection>
  <connection id="3" xr16:uid="{6524F12F-CDE3-4BFA-949D-C691496A607C}" name="WorksheetConnection_Score Board!$A$1:$C$18" type="102" refreshedVersion="8" minRefreshableVersion="5">
    <extLst>
      <ext xmlns:x15="http://schemas.microsoft.com/office/spreadsheetml/2010/11/main" uri="{DE250136-89BD-433C-8126-D09CA5730AF9}">
        <x15:connection id="Range 3" autoDelete="1">
          <x15:rangePr sourceName="_xlcn.WorksheetConnection_ScoreBoardA1C181"/>
        </x15:connection>
      </ext>
    </extLst>
  </connection>
  <connection id="4" xr16:uid="{9C71F0BE-F483-4971-9FE7-DA23E8404E04}" name="WorksheetConnection_Score Board!$A$2:$C$18" type="102" refreshedVersion="8" minRefreshableVersion="5">
    <extLst>
      <ext xmlns:x15="http://schemas.microsoft.com/office/spreadsheetml/2010/11/main" uri="{DE250136-89BD-433C-8126-D09CA5730AF9}">
        <x15:connection id="Range 2" autoDelete="1">
          <x15:rangePr sourceName="_xlcn.WorksheetConnection_ScoreBoardA2C181"/>
        </x15:connection>
      </ext>
    </extLst>
  </connection>
  <connection id="5" xr16:uid="{CFF3B522-09E9-494D-AA6A-EEEB7D39C649}" name="WorksheetConnection_Score Board!$A$2:$C$19" type="102" refreshedVersion="8" minRefreshableVersion="5">
    <extLst>
      <ext xmlns:x15="http://schemas.microsoft.com/office/spreadsheetml/2010/11/main" uri="{DE250136-89BD-433C-8126-D09CA5730AF9}">
        <x15:connection id="Range 1" autoDelete="1">
          <x15:rangePr sourceName="_xlcn.WorksheetConnection_ScoreBoardA2C191"/>
        </x15:connection>
      </ext>
    </extLst>
  </connection>
  <connection id="6" xr16:uid="{D7737B59-8553-4387-8DFE-AF4EC805CE10}" name="WorksheetConnection_Score Summary!$A$1:$E$3" type="102" refreshedVersion="8" minRefreshableVersion="5">
    <extLst>
      <ext xmlns:x15="http://schemas.microsoft.com/office/spreadsheetml/2010/11/main" uri="{DE250136-89BD-433C-8126-D09CA5730AF9}">
        <x15:connection id="Range" autoDelete="1">
          <x15:rangePr sourceName="_xlcn.WorksheetConnection_ScoreSummaryA1E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6].[Top 4].[All]}"/>
  </metadataStrings>
  <mdxMetadata count="1">
    <mdx n="0" f="s">
      <ms ns="1" c="0"/>
    </mdx>
  </mdxMetadata>
  <valueMetadata count="1">
    <bk>
      <rc t="1" v="0"/>
    </bk>
  </valueMetadata>
</metadata>
</file>

<file path=xl/sharedStrings.xml><?xml version="1.0" encoding="utf-8"?>
<sst xmlns="http://schemas.openxmlformats.org/spreadsheetml/2006/main" count="3118" uniqueCount="847">
  <si>
    <t>SDG 1</t>
  </si>
  <si>
    <t>No Poverty</t>
  </si>
  <si>
    <t>Research on poverty</t>
  </si>
  <si>
    <t>Total number of citations</t>
  </si>
  <si>
    <t>Author</t>
  </si>
  <si>
    <t>Title of research</t>
  </si>
  <si>
    <t>Year of publication</t>
  </si>
  <si>
    <t>ROP1</t>
  </si>
  <si>
    <t>ROP Author1</t>
  </si>
  <si>
    <t>Co-Authored with Low or Lower-middle income country</t>
  </si>
  <si>
    <t>Yes</t>
  </si>
  <si>
    <t>ROP2</t>
  </si>
  <si>
    <t>ROP Author2</t>
  </si>
  <si>
    <t>ROP3</t>
  </si>
  <si>
    <t>ROP Author3</t>
  </si>
  <si>
    <t>No</t>
  </si>
  <si>
    <t>Campus</t>
  </si>
  <si>
    <t>Pablo Borbon</t>
  </si>
  <si>
    <t>SDG No.</t>
  </si>
  <si>
    <t>SDG Name</t>
  </si>
  <si>
    <t>SCORE</t>
  </si>
  <si>
    <t>Grand Total</t>
  </si>
  <si>
    <t>Row Labels</t>
  </si>
  <si>
    <t>Column1</t>
  </si>
  <si>
    <t>SDG No.2</t>
  </si>
  <si>
    <t>Indicator</t>
  </si>
  <si>
    <t>Financial aid to low-income students</t>
  </si>
  <si>
    <t>Sex</t>
  </si>
  <si>
    <t>First Year</t>
  </si>
  <si>
    <t>Male</t>
  </si>
  <si>
    <t>Female</t>
  </si>
  <si>
    <t>Second Year</t>
  </si>
  <si>
    <t>Column2</t>
  </si>
  <si>
    <t>Third Year</t>
  </si>
  <si>
    <t>Fourth Year</t>
  </si>
  <si>
    <t>Fifth Year</t>
  </si>
  <si>
    <t>ROP4</t>
  </si>
  <si>
    <t>ROP Author4</t>
  </si>
  <si>
    <t>Scholarship Type</t>
  </si>
  <si>
    <t>Year Level</t>
  </si>
  <si>
    <t>Private-Funded</t>
  </si>
  <si>
    <t>Government-Funded</t>
  </si>
  <si>
    <t>Both Private and Government Funded</t>
  </si>
  <si>
    <t>Other</t>
  </si>
  <si>
    <t>SDG Title</t>
  </si>
  <si>
    <t>SDG Section</t>
  </si>
  <si>
    <t>Score</t>
  </si>
  <si>
    <t>University anti-poverty programmes</t>
  </si>
  <si>
    <t>Count</t>
  </si>
  <si>
    <t>AdmittedStudents</t>
  </si>
  <si>
    <t>Admitted Low Income Students</t>
  </si>
  <si>
    <t>Program</t>
  </si>
  <si>
    <t>Program1</t>
  </si>
  <si>
    <t>Program2</t>
  </si>
  <si>
    <t>Program3</t>
  </si>
  <si>
    <t>Program4</t>
  </si>
  <si>
    <t>Program5</t>
  </si>
  <si>
    <t>Program6</t>
  </si>
  <si>
    <t>Program7</t>
  </si>
  <si>
    <t>Program8</t>
  </si>
  <si>
    <t>Program9</t>
  </si>
  <si>
    <t>Program10</t>
  </si>
  <si>
    <t>Scholarship</t>
  </si>
  <si>
    <t>Admitted_Low-Income%</t>
  </si>
  <si>
    <t>Admitted_Low-IncomeStudents</t>
  </si>
  <si>
    <t>1.3.1</t>
  </si>
  <si>
    <t>1.3.2</t>
  </si>
  <si>
    <t>Admission target of low-income students</t>
  </si>
  <si>
    <t>Graduation/completion targets of low-income students</t>
  </si>
  <si>
    <t>GraduateStudents</t>
  </si>
  <si>
    <t>Graduated_Low-IncomeStudents</t>
  </si>
  <si>
    <t>Graduated_Low-Income%</t>
  </si>
  <si>
    <t>Low Income Graduates</t>
  </si>
  <si>
    <t>Content No.</t>
  </si>
  <si>
    <t>1.1.1</t>
  </si>
  <si>
    <t>1.2.1</t>
  </si>
  <si>
    <t>1.2.2</t>
  </si>
  <si>
    <t>Vouchers for study related expenses</t>
  </si>
  <si>
    <t>1.3.3</t>
  </si>
  <si>
    <t>1.3.4</t>
  </si>
  <si>
    <t>1.3.5-1</t>
  </si>
  <si>
    <t>1.3.5-2</t>
  </si>
  <si>
    <t>Student support from low-income countries</t>
  </si>
  <si>
    <t>Student Employment</t>
  </si>
  <si>
    <t>Low-income student support</t>
  </si>
  <si>
    <t>SDG 2</t>
  </si>
  <si>
    <t>SDG 3</t>
  </si>
  <si>
    <t>SDG 4</t>
  </si>
  <si>
    <t>SDG 5</t>
  </si>
  <si>
    <t>SDG 6</t>
  </si>
  <si>
    <t>SDG 7</t>
  </si>
  <si>
    <t>SDG 8</t>
  </si>
  <si>
    <t>SDG Section Content</t>
  </si>
  <si>
    <t>PointsGained (Score)</t>
  </si>
  <si>
    <t>1.4.1</t>
  </si>
  <si>
    <t xml:space="preserve">Local Start-Up Assistance </t>
  </si>
  <si>
    <t>TotalPointsSet</t>
  </si>
  <si>
    <t>Local Start-up Financial Assistance</t>
  </si>
  <si>
    <t>1.4.2</t>
  </si>
  <si>
    <t>1.4.3</t>
  </si>
  <si>
    <t>Programmes for services access (extension services)</t>
  </si>
  <si>
    <t>Participation in policy addressing poverty</t>
  </si>
  <si>
    <t>1.5.1</t>
  </si>
  <si>
    <t>Community anti-poverty programmes</t>
  </si>
  <si>
    <t>Policy addressing poverty</t>
  </si>
  <si>
    <t>Tuition assistance</t>
  </si>
  <si>
    <t>implemented_PPA</t>
  </si>
  <si>
    <t>Published Research on Poverty</t>
  </si>
  <si>
    <t>YesNo</t>
  </si>
  <si>
    <t>Total Admitted Students</t>
  </si>
  <si>
    <t>Set Points</t>
  </si>
  <si>
    <t>SDG Section No.</t>
  </si>
  <si>
    <t>SDG Subtitle</t>
  </si>
  <si>
    <t>Graduate Students</t>
  </si>
  <si>
    <t>No. of PPAs</t>
  </si>
  <si>
    <t>Student Assistant</t>
  </si>
  <si>
    <t>Student Assistant (Low-Income)</t>
  </si>
  <si>
    <t>Co-Authored with Low or Lower-Middle income country</t>
  </si>
  <si>
    <t>No. of Foreign Student from Low-Income Country</t>
  </si>
  <si>
    <t>No. of Foreign Student from Low-Income country received financial support from the campus.</t>
  </si>
  <si>
    <t>Local</t>
  </si>
  <si>
    <t>Regional</t>
  </si>
  <si>
    <t>National</t>
  </si>
  <si>
    <t>Global</t>
  </si>
  <si>
    <t>Zero Hunger</t>
  </si>
  <si>
    <t>Research on hunger</t>
  </si>
  <si>
    <t>2.1.1</t>
  </si>
  <si>
    <t>Published Research (Other Peer-Reviewed)</t>
  </si>
  <si>
    <t>Published Research (SCOPUS/Web Science)</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</si>
  <si>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</si>
  <si>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</si>
  <si>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</si>
  <si>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</si>
  <si>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</si>
  <si>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</si>
  <si>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</si>
  <si>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</si>
  <si>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</si>
  <si>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</si>
  <si>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</si>
  <si>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</si>
  <si>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</si>
  <si>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</si>
  <si>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</si>
  <si>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</si>
  <si>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</si>
  <si>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INDUSTRY, INNOVATION AND INFRASTRUCTURE</t>
  </si>
  <si>
    <t>REDUCED INEQUALITIES</t>
  </si>
  <si>
    <t>SUSTAINABLE CITIES AND COMMUNITIES</t>
  </si>
  <si>
    <t>RESPONSIBLE CONSUMPTION &amp; PRODUCTION</t>
  </si>
  <si>
    <t>CLIMATE ACTION</t>
  </si>
  <si>
    <t>LIFE BELOW WATER</t>
  </si>
  <si>
    <t>LIFE ON LAND</t>
  </si>
  <si>
    <t>PEACE, JUSTICE AND STRONG INSTITUTIONS</t>
  </si>
  <si>
    <t>PARTNERSHIPS FOR THE GOALS</t>
  </si>
  <si>
    <t>Campus food waste</t>
  </si>
  <si>
    <t>Total Campus Population</t>
  </si>
  <si>
    <t>Total Food Waste per Capita per Month (in kg)</t>
  </si>
  <si>
    <t>SDG 1 Total Score</t>
  </si>
  <si>
    <t>2.2.2</t>
  </si>
  <si>
    <t>Food waste per capita</t>
  </si>
  <si>
    <t>2.3.1</t>
  </si>
  <si>
    <t>Proportion of students who experience hunger</t>
  </si>
  <si>
    <t>Student and employee hunger</t>
  </si>
  <si>
    <t>No. of students who experience hunger</t>
  </si>
  <si>
    <t>2.3.2</t>
  </si>
  <si>
    <t xml:space="preserve">Student food insecurity and hunger </t>
  </si>
  <si>
    <t>2.3.3</t>
  </si>
  <si>
    <t>Proportion of employees who experience hunger</t>
  </si>
  <si>
    <t>Total No. of employees who experience hunger</t>
  </si>
  <si>
    <t>rounddown</t>
  </si>
  <si>
    <t>round</t>
  </si>
  <si>
    <t>Target</t>
  </si>
  <si>
    <t>2.3.4</t>
  </si>
  <si>
    <t>Students and staff hunger interventions</t>
  </si>
  <si>
    <t>Total No. of hunger intervention (PPA)</t>
  </si>
  <si>
    <t>Total No. of Program (PPA)</t>
  </si>
  <si>
    <t>Formula Test</t>
  </si>
  <si>
    <t>2.3.5</t>
  </si>
  <si>
    <t>Sustainable, healthy and affordable food choices on campus</t>
  </si>
  <si>
    <t>Total No. of PPAs for sustainable food choices</t>
  </si>
  <si>
    <t>SDG Section Score</t>
  </si>
  <si>
    <t>National Hunger</t>
  </si>
  <si>
    <t>2.4.1</t>
  </si>
  <si>
    <t>Access to food security knowledge</t>
  </si>
  <si>
    <t>Total No. of Extension Activities (PPA)</t>
  </si>
  <si>
    <t>2.4.2</t>
  </si>
  <si>
    <t>Events for local farmers and food producers</t>
  </si>
  <si>
    <t>Total No. of Events provided (PPA)</t>
  </si>
  <si>
    <t>2.4.3</t>
  </si>
  <si>
    <t>Access of local farmers and food producers to University facilities</t>
  </si>
  <si>
    <t>Total of PPAs</t>
  </si>
  <si>
    <t>2.4.4</t>
  </si>
  <si>
    <t>Sustainable food purchases</t>
  </si>
  <si>
    <t>Total No. of purchased sustainable food from local farmers</t>
  </si>
  <si>
    <t>Good Health and Well-Being</t>
  </si>
  <si>
    <t>3.1.1</t>
  </si>
  <si>
    <t>Research on Health and Well-Being</t>
  </si>
  <si>
    <t>3.2.1</t>
  </si>
  <si>
    <t>Collaborations and health services</t>
  </si>
  <si>
    <t>Current collaborations with health institutions</t>
  </si>
  <si>
    <t>SDG 2 Total Score</t>
  </si>
  <si>
    <t>3.2.2</t>
  </si>
  <si>
    <t>Health outreach programmes (extension project/activity)</t>
  </si>
  <si>
    <t>SDG 3 Total Score</t>
  </si>
  <si>
    <t>Total No. of Health Outreach Program (PPA)</t>
  </si>
  <si>
    <t>3.2.3</t>
  </si>
  <si>
    <t>Shared sport facilities</t>
  </si>
  <si>
    <t>Total No. of Approved Request w/ Free Access</t>
  </si>
  <si>
    <t>3.2.4</t>
  </si>
  <si>
    <t>Sexual and reproductive health care services for students</t>
  </si>
  <si>
    <t>No. of Sexual&amp;Reproductive Health Care Services (PPA)</t>
  </si>
  <si>
    <t>3.2.5</t>
  </si>
  <si>
    <t>3.2.6</t>
  </si>
  <si>
    <t>3.2.7</t>
  </si>
  <si>
    <t>Sexual and reproductive health care services for employees</t>
  </si>
  <si>
    <t>Mental health support for students and employees</t>
  </si>
  <si>
    <t>Smoke-free policy</t>
  </si>
  <si>
    <t>No. of mental health support for students and employees</t>
  </si>
  <si>
    <t>SDG 4 Total Score</t>
  </si>
  <si>
    <t>Quality Education</t>
  </si>
  <si>
    <t>Research on early years and lifelong learning education</t>
  </si>
  <si>
    <t>4.1.1</t>
  </si>
  <si>
    <t>4.2.1</t>
  </si>
  <si>
    <t>Graduates</t>
  </si>
  <si>
    <t>Proportion of graduates with relevant qualifications in each respective field</t>
  </si>
  <si>
    <t>No. of programs w/ passing rate above nat'l passing rate</t>
  </si>
  <si>
    <t>No. of programs w/ licensure exam for the current year</t>
  </si>
  <si>
    <t xml:space="preserve">Note: 20 points only for campus with CTE </t>
  </si>
  <si>
    <t>Do you have CTE?</t>
  </si>
  <si>
    <t>Proportion of graduates with teaching qualifications to teach at primary level</t>
  </si>
  <si>
    <t>4.2.2</t>
  </si>
  <si>
    <t>National Passing Rate</t>
  </si>
  <si>
    <t>% of graduates acquired license (primary level)</t>
  </si>
  <si>
    <t>Lifelong Learning Measures</t>
  </si>
  <si>
    <t>4.3.1</t>
  </si>
  <si>
    <t>Public resources (lifelong learning)</t>
  </si>
  <si>
    <t>Total no. of PPAs free access to general public</t>
  </si>
  <si>
    <t>Public events (lifelong learning)</t>
  </si>
  <si>
    <t>4.3.2</t>
  </si>
  <si>
    <t>No. of educational events hosted open to general public</t>
  </si>
  <si>
    <t>4.3.3</t>
  </si>
  <si>
    <t>Vocational training events</t>
  </si>
  <si>
    <t>4.3.4</t>
  </si>
  <si>
    <t>Education outreach activities beyond campus (extension activities)</t>
  </si>
  <si>
    <t>Total no. of education outreach activities beyond campus</t>
  </si>
  <si>
    <t>Lifelong learning access policy</t>
  </si>
  <si>
    <t>4.3.5</t>
  </si>
  <si>
    <t>Total no. of PPAs implemented in accordance to the policy</t>
  </si>
  <si>
    <t>Total no. of Policy</t>
  </si>
  <si>
    <t>4.4.1</t>
  </si>
  <si>
    <t>First-generation students (first year)</t>
  </si>
  <si>
    <t>SDG 5 Total Score</t>
  </si>
  <si>
    <t>Research on gender equality</t>
  </si>
  <si>
    <t>Gender Equality</t>
  </si>
  <si>
    <t>5.1.1</t>
  </si>
  <si>
    <t>First-Generation Female Students</t>
  </si>
  <si>
    <t>5.2.1</t>
  </si>
  <si>
    <t>Proportion of First-Generation Female Students</t>
  </si>
  <si>
    <t>% of female first-gen student (first year)</t>
  </si>
  <si>
    <t>Tracking Access Measures of Students and Employees</t>
  </si>
  <si>
    <t>5.3.3</t>
  </si>
  <si>
    <t>Policy for women applications and entry</t>
  </si>
  <si>
    <t>No. of PPAs implemented in accordance to the policy</t>
  </si>
  <si>
    <t>Women’s access schemes (Internal/External)</t>
  </si>
  <si>
    <t>5.3.4</t>
  </si>
  <si>
    <t>5.3.5</t>
  </si>
  <si>
    <t>Women’s application in underrepresented subjects</t>
  </si>
  <si>
    <t>Total number of PPAs to encourage women’s application in underrepresented subjects</t>
  </si>
  <si>
    <t>Total number of other PPAs exclusively for women</t>
  </si>
  <si>
    <t>Proportion of women receiving degrees</t>
  </si>
  <si>
    <t>Proportion of applicants for graduation to total number of graduates</t>
  </si>
  <si>
    <t>% of female graduate</t>
  </si>
  <si>
    <t>Women’s progress measures for students and employees</t>
  </si>
  <si>
    <t>5.6.1</t>
  </si>
  <si>
    <t xml:space="preserve">Policy of non-discrimination against women </t>
  </si>
  <si>
    <t>Functional GAD Mechanisms</t>
  </si>
  <si>
    <t>5.7.1</t>
  </si>
  <si>
    <t>GAD Focal Point System</t>
  </si>
  <si>
    <t>Points in the FAT</t>
  </si>
  <si>
    <t>5.7.2</t>
  </si>
  <si>
    <t>Committee on Decorum and Investigation CODI</t>
  </si>
  <si>
    <t>Total no. of discussions conducted in the campus by CODI</t>
  </si>
  <si>
    <t>5.7.4</t>
  </si>
  <si>
    <t>VAW desk and officer</t>
  </si>
  <si>
    <t>VAW Desk &amp; Officer</t>
  </si>
  <si>
    <t>VAW Officer</t>
  </si>
  <si>
    <t>None</t>
  </si>
  <si>
    <t>VAW</t>
  </si>
  <si>
    <t>GAD Budget Allocation and Utilization</t>
  </si>
  <si>
    <t>GAD Accomplishment Report</t>
  </si>
  <si>
    <t>5.8.2</t>
  </si>
  <si>
    <t>GAD Advocacies</t>
  </si>
  <si>
    <t>5.9.1</t>
  </si>
  <si>
    <t>Capacity Development Sessions</t>
  </si>
  <si>
    <t>% of total campus GAA is utilized for gender mainstreaming</t>
  </si>
  <si>
    <t>5.9.4</t>
  </si>
  <si>
    <t>Library Resources</t>
  </si>
  <si>
    <t>No. of books/ e-books</t>
  </si>
  <si>
    <t>5.10.</t>
  </si>
  <si>
    <t xml:space="preserve">Gender Equality in Instruction </t>
  </si>
  <si>
    <t>5.10.1</t>
  </si>
  <si>
    <t>Courses integrated with gender perspective</t>
  </si>
  <si>
    <t>5.11.1</t>
  </si>
  <si>
    <t>Gender Equality in Extension</t>
  </si>
  <si>
    <t>5.11.</t>
  </si>
  <si>
    <t>GenEd courses</t>
  </si>
  <si>
    <t>No. of Integration</t>
  </si>
  <si>
    <t>Extension PPAs integrated with gender perspective</t>
  </si>
  <si>
    <t>Total no. of extension PPAs integrated with gender perspective</t>
  </si>
  <si>
    <t>SDG 6 Total Score</t>
  </si>
  <si>
    <t>Clean Water and Sanitation</t>
  </si>
  <si>
    <t>Research on clean water and sanitation</t>
  </si>
  <si>
    <t>6.1.1</t>
  </si>
  <si>
    <t>Water consumption per capita</t>
  </si>
  <si>
    <t>6.2.2</t>
  </si>
  <si>
    <t>Liters per day/pax</t>
  </si>
  <si>
    <t>Water usage and care</t>
  </si>
  <si>
    <t>6.3.1</t>
  </si>
  <si>
    <t xml:space="preserve">Wastewater treatment </t>
  </si>
  <si>
    <t>Does your campus have a wastewater/sewage treatment plant?</t>
  </si>
  <si>
    <t>6.3.2</t>
  </si>
  <si>
    <t>Preventing water system pollution</t>
  </si>
  <si>
    <t>Total no. of processes to prevent polluted water</t>
  </si>
  <si>
    <t>6.3.3</t>
  </si>
  <si>
    <t>6.3.4</t>
  </si>
  <si>
    <t>Free drinking water provided</t>
  </si>
  <si>
    <t>Water-conscious building standards</t>
  </si>
  <si>
    <t>No. of Stations</t>
  </si>
  <si>
    <t>No. of Buildings</t>
  </si>
  <si>
    <t>6.3.5</t>
  </si>
  <si>
    <t>Water-conscious planting</t>
  </si>
  <si>
    <t>No. of Building Standards</t>
  </si>
  <si>
    <t>Water Reuse</t>
  </si>
  <si>
    <t>6.4.2</t>
  </si>
  <si>
    <t>Water reuse measurement</t>
  </si>
  <si>
    <t>% of reused treated water</t>
  </si>
  <si>
    <t>Water in the community</t>
  </si>
  <si>
    <t>6.5.1</t>
  </si>
  <si>
    <t xml:space="preserve">Water management educational opportunities </t>
  </si>
  <si>
    <t>Total no. of water management educational opportunities</t>
  </si>
  <si>
    <t>Promoting conscious water usage</t>
  </si>
  <si>
    <t>6.5.2</t>
  </si>
  <si>
    <t>Total no. of PPAs related to promotion of conscious water usage</t>
  </si>
  <si>
    <t>6.5.3</t>
  </si>
  <si>
    <t>Off-campus water conservation support</t>
  </si>
  <si>
    <t>No. of off-campus program that supports water conservation</t>
  </si>
  <si>
    <t>Sustainable water extraction on campus</t>
  </si>
  <si>
    <t>6.5.4</t>
  </si>
  <si>
    <t>No. of sustainable water extraction technologies used in the campus</t>
  </si>
  <si>
    <t>Cooperation on water security</t>
  </si>
  <si>
    <t>6.5.5</t>
  </si>
  <si>
    <t>No. of programs partnered with local, regional, national or global movements on water security</t>
  </si>
  <si>
    <t>SDG 7 Total Score</t>
  </si>
  <si>
    <t>Affordable and Clean Energy</t>
  </si>
  <si>
    <t>Research on clean energy</t>
  </si>
  <si>
    <t>7.1.1</t>
  </si>
  <si>
    <t>7.2.1</t>
  </si>
  <si>
    <t>Energy-efficient renovation and building</t>
  </si>
  <si>
    <t>Campus measures towards affordable and clean energy</t>
  </si>
  <si>
    <t>7.2.2</t>
  </si>
  <si>
    <t>Upgrade buildings to higher energy efficiency</t>
  </si>
  <si>
    <t>Total no. of PPAs implemented in accordance to the plan</t>
  </si>
  <si>
    <t>7.2.3</t>
  </si>
  <si>
    <t>Carbon reduction and emission process</t>
  </si>
  <si>
    <t>Total no. of PPAs targeted to reduce carbon dioxide emissions</t>
  </si>
  <si>
    <t>7.2.4</t>
  </si>
  <si>
    <t>Plan to reduce energy consumption</t>
  </si>
  <si>
    <t>7.2.5</t>
  </si>
  <si>
    <t xml:space="preserve">Energy wasted identification </t>
  </si>
  <si>
    <t>Undergone energy audit?</t>
  </si>
  <si>
    <t>7.2.6</t>
  </si>
  <si>
    <t>Divestment Policy</t>
  </si>
  <si>
    <t>Energy use density</t>
  </si>
  <si>
    <t>7.3.2</t>
  </si>
  <si>
    <t>Electricity consumption per capita</t>
  </si>
  <si>
    <t>Electricity consumption /month/pax (in kWh)</t>
  </si>
  <si>
    <t>7.3.3</t>
  </si>
  <si>
    <t>Energy from renewable sources</t>
  </si>
  <si>
    <t>% of total energy used from renewable resources</t>
  </si>
  <si>
    <t>Energy and the community</t>
  </si>
  <si>
    <t>7.4.1</t>
  </si>
  <si>
    <t>Local community outreach for energy efficiency</t>
  </si>
  <si>
    <t>Total no.  of PPAs for local community about energy efficiency and clean energy</t>
  </si>
  <si>
    <t>7.4.2</t>
  </si>
  <si>
    <t>100% renewable energy pledge</t>
  </si>
  <si>
    <t>Energy efficiency services for industry</t>
  </si>
  <si>
    <t>7.4.3</t>
  </si>
  <si>
    <t>Total no. of energy efficiency services provided for industry</t>
  </si>
  <si>
    <t>Policy development for clean energy technology</t>
  </si>
  <si>
    <t>7.4.4</t>
  </si>
  <si>
    <t>Total no. of assistance provided in policy development for clean energy technology</t>
  </si>
  <si>
    <t>7.4.5</t>
  </si>
  <si>
    <t xml:space="preserve">Assistance to low-carbon innovation </t>
  </si>
  <si>
    <t>Total no. of assistance provided to low-carbon innovation startups</t>
  </si>
  <si>
    <t>SDG 8 Total Score</t>
  </si>
  <si>
    <t>Decent Work and Economic Growth</t>
  </si>
  <si>
    <t>Research on economic growth and employment</t>
  </si>
  <si>
    <t>8.1.1</t>
  </si>
  <si>
    <t xml:space="preserve">Research on economic growth and employment </t>
  </si>
  <si>
    <t>8.2.4</t>
  </si>
  <si>
    <t xml:space="preserve">Employment policy on discrimination </t>
  </si>
  <si>
    <t>Employment Practice</t>
  </si>
  <si>
    <t>Employment policy modern slavery</t>
  </si>
  <si>
    <t>8.2.5</t>
  </si>
  <si>
    <t>Employment practice equivalent rights outsourcing</t>
  </si>
  <si>
    <t>8.2.6</t>
  </si>
  <si>
    <t>8.2.7</t>
  </si>
  <si>
    <t xml:space="preserve">Employment policy pay scale equity </t>
  </si>
  <si>
    <t>Employment practice appeal process</t>
  </si>
  <si>
    <t>8.2.9</t>
  </si>
  <si>
    <t>Community employment</t>
  </si>
  <si>
    <t>8.6.1</t>
  </si>
  <si>
    <t>Community Employment</t>
  </si>
  <si>
    <t>Total no. of extension PPAs related to community employment</t>
  </si>
  <si>
    <t>SDG 9 Total Score</t>
  </si>
  <si>
    <t>Industry, Innovation and Infrastructure</t>
  </si>
  <si>
    <t>Research on industry, innovation and infrastructure</t>
  </si>
  <si>
    <t>9.1.1</t>
  </si>
  <si>
    <t>Industry, Innovation, and Infrastructure in the community</t>
  </si>
  <si>
    <t>9.5.1</t>
  </si>
  <si>
    <t>3 I’s in the community</t>
  </si>
  <si>
    <t>Total no. of extension PPAs related to industry, innovation and infrastructure</t>
  </si>
  <si>
    <t>Campus Spin offs</t>
  </si>
  <si>
    <t>Number of campus spin offs</t>
  </si>
  <si>
    <t>9.2.1</t>
  </si>
  <si>
    <t>Research income from industry and commerce</t>
  </si>
  <si>
    <t>9.3.1</t>
  </si>
  <si>
    <t>Research income from industry and commerce per academic staff</t>
  </si>
  <si>
    <t>Reduced Inequalities</t>
  </si>
  <si>
    <t>Research on Reduced Inequalities</t>
  </si>
  <si>
    <t>SDG 10 Total Score</t>
  </si>
  <si>
    <t>Measures against discrimination on students and employees</t>
  </si>
  <si>
    <t>10.1.1</t>
  </si>
  <si>
    <t>10.8.1</t>
  </si>
  <si>
    <t>Non-discriminatory admissions policy</t>
  </si>
  <si>
    <t>10.8.3</t>
  </si>
  <si>
    <t>Access to university underrepresented groups recruit</t>
  </si>
  <si>
    <t>Total number of recruitment programs for student and staff underrepresented groups</t>
  </si>
  <si>
    <t>10.8.4</t>
  </si>
  <si>
    <t>Anti-Discrimination Policies</t>
  </si>
  <si>
    <t>10.8.5</t>
  </si>
  <si>
    <t>Campus diversity officer</t>
  </si>
  <si>
    <t>10.8.6</t>
  </si>
  <si>
    <t>Total no. of implemented PPAs to support underrepresented groups</t>
  </si>
  <si>
    <t>Support for underrepresented groups (exclude PWDs)</t>
  </si>
  <si>
    <t>Existence of committee and/or offices</t>
  </si>
  <si>
    <t>10.8.7</t>
  </si>
  <si>
    <t xml:space="preserve">Accessible facilities </t>
  </si>
  <si>
    <t>Total no. of facilities available in the campus for PWDs</t>
  </si>
  <si>
    <t>10.8.8</t>
  </si>
  <si>
    <t>10.8.9</t>
  </si>
  <si>
    <t>10.8.10</t>
  </si>
  <si>
    <t>Disability support services for students and employees</t>
  </si>
  <si>
    <t>Total no. of support services for PWDs</t>
  </si>
  <si>
    <t>Total no. of access schemes for PWDs</t>
  </si>
  <si>
    <t>Disability access scheme</t>
  </si>
  <si>
    <t>Disability accommodation policy</t>
  </si>
  <si>
    <t>SDG 11 Total Score</t>
  </si>
  <si>
    <t>Sustainable Cities and Communities</t>
  </si>
  <si>
    <t>Research on sustainable cities and communities</t>
  </si>
  <si>
    <t>11.1.1</t>
  </si>
  <si>
    <t>11.3.2</t>
  </si>
  <si>
    <t>Support of arts and heritage</t>
  </si>
  <si>
    <t>Public access to libraries</t>
  </si>
  <si>
    <t>11.3.3</t>
  </si>
  <si>
    <t>Public access to museums</t>
  </si>
  <si>
    <t>11.3.4</t>
  </si>
  <si>
    <t>Public access to green spaces</t>
  </si>
  <si>
    <t>Total no. of events open to general public</t>
  </si>
  <si>
    <t>11.3.5</t>
  </si>
  <si>
    <t>Arts and heritage contribution</t>
  </si>
  <si>
    <t>11.3.6</t>
  </si>
  <si>
    <t>Record and preserve cultural heritage</t>
  </si>
  <si>
    <t>International</t>
  </si>
  <si>
    <t>Expenditure on arts and heritage</t>
  </si>
  <si>
    <t>Arts and heritage expenditure</t>
  </si>
  <si>
    <t>11.4.1</t>
  </si>
  <si>
    <t>Sustainable practices</t>
  </si>
  <si>
    <t>11.5.2</t>
  </si>
  <si>
    <t>Promote sustainable commuting</t>
  </si>
  <si>
    <t>Total no. of PPAs that promotes sustainable commuting</t>
  </si>
  <si>
    <t>11.5.3</t>
  </si>
  <si>
    <t>Allow remote working</t>
  </si>
  <si>
    <t>Total no. of PPAs that allow remote working</t>
  </si>
  <si>
    <t>11.5.4</t>
  </si>
  <si>
    <t>Proportion of employees that practice remote working</t>
  </si>
  <si>
    <t>11.5.5</t>
  </si>
  <si>
    <t>Affordable housing for employees</t>
  </si>
  <si>
    <t>% of employee practicing sustainable working arrangement</t>
  </si>
  <si>
    <t>Total no. of PPAs for affordable housing for employees</t>
  </si>
  <si>
    <t>Affordable housing for students</t>
  </si>
  <si>
    <t>11.5.6</t>
  </si>
  <si>
    <t>Total no. of PPAs for affordable housing for students</t>
  </si>
  <si>
    <t>Pedestrian priority on campus</t>
  </si>
  <si>
    <t>11.5.7</t>
  </si>
  <si>
    <t>11.5.8</t>
  </si>
  <si>
    <t xml:space="preserve">Local authority collaboration regarding planning and development </t>
  </si>
  <si>
    <t>Total no. of collaborations with local authority for the affordable housing for employees and student</t>
  </si>
  <si>
    <t>11.5.9</t>
  </si>
  <si>
    <t>Planning development-new build standards</t>
  </si>
  <si>
    <t>Responsible Consumption and Production</t>
  </si>
  <si>
    <t>SDG 12 Total Score</t>
  </si>
  <si>
    <t>Research on responsible consumption and production</t>
  </si>
  <si>
    <t>12.1.1</t>
  </si>
  <si>
    <t>Operational measures</t>
  </si>
  <si>
    <t>12.2.1</t>
  </si>
  <si>
    <t>Ethical sourcing policy</t>
  </si>
  <si>
    <t>12.2.2</t>
  </si>
  <si>
    <t>Policy waste disposal -hazardous materials</t>
  </si>
  <si>
    <t>12.2.3</t>
  </si>
  <si>
    <t>Policy waste disposal -landfill policy</t>
  </si>
  <si>
    <t>Policy for minimization of plastic use</t>
  </si>
  <si>
    <t>12.2.4</t>
  </si>
  <si>
    <t>12.2.5</t>
  </si>
  <si>
    <t>Policy for minimization of disposable items</t>
  </si>
  <si>
    <t>Disposable policy: extensions to services</t>
  </si>
  <si>
    <t>12.2.6</t>
  </si>
  <si>
    <t>12.2.7</t>
  </si>
  <si>
    <t xml:space="preserve">Minimization policies extended to suppliers </t>
  </si>
  <si>
    <t>Waste tracking</t>
  </si>
  <si>
    <t>12.3.1</t>
  </si>
  <si>
    <t>Proportion of recycled waste</t>
  </si>
  <si>
    <t>Publication of a sustainability report</t>
  </si>
  <si>
    <t>12.4.1</t>
  </si>
  <si>
    <t xml:space="preserve">Publication of a campus sustainability report </t>
  </si>
  <si>
    <t>Report</t>
  </si>
  <si>
    <t>Published in public</t>
  </si>
  <si>
    <t>With Report</t>
  </si>
  <si>
    <t>No report</t>
  </si>
  <si>
    <t>Campus sustainability report publication</t>
  </si>
  <si>
    <t>Responsible consumption and production in the community</t>
  </si>
  <si>
    <t>12.6.1</t>
  </si>
  <si>
    <t>Total no. of extension PPAs related to responsible consumption and production</t>
  </si>
  <si>
    <t>SDG 13 Total Score</t>
  </si>
  <si>
    <t>Climate Action</t>
  </si>
  <si>
    <t>Research on Climate Action</t>
  </si>
  <si>
    <t>13.1.1</t>
  </si>
  <si>
    <t>Low-carbon energy use</t>
  </si>
  <si>
    <t>13.2.1</t>
  </si>
  <si>
    <t>Low carbon energy tracking and usage</t>
  </si>
  <si>
    <t>% of campus total energy used from low carbon sources</t>
  </si>
  <si>
    <t>Environmental education measures</t>
  </si>
  <si>
    <t>13.3.1</t>
  </si>
  <si>
    <t>Local education programme on climate</t>
  </si>
  <si>
    <t>Total no. of local education program on climate change</t>
  </si>
  <si>
    <t>13.3.2</t>
  </si>
  <si>
    <t>Climate Action Plan, shared</t>
  </si>
  <si>
    <t>University Climate Action plan, shared with local government and local community groups</t>
  </si>
  <si>
    <t>CA_Plan</t>
  </si>
  <si>
    <t>Shared local gov</t>
  </si>
  <si>
    <t>with CCCAP</t>
  </si>
  <si>
    <t>13.3.3</t>
  </si>
  <si>
    <t>Co-operative planning for climate change disasters</t>
  </si>
  <si>
    <t>Total no. of partnerships</t>
  </si>
  <si>
    <t>13.3.4</t>
  </si>
  <si>
    <t>Inform and support government</t>
  </si>
  <si>
    <t>13.3.5</t>
  </si>
  <si>
    <t>Environmental education collaborate with NGO</t>
  </si>
  <si>
    <t>Institutional</t>
  </si>
  <si>
    <t>Disaster risk reduction management</t>
  </si>
  <si>
    <t>13.4.1</t>
  </si>
  <si>
    <t>Programs relative to DRRM</t>
  </si>
  <si>
    <t>Total no. of PPAs for DRRM</t>
  </si>
  <si>
    <t>Available technology for DRRM</t>
  </si>
  <si>
    <t>13.4.2</t>
  </si>
  <si>
    <t>Total no. of available technology</t>
  </si>
  <si>
    <t>Commitment to carbon neutral campus</t>
  </si>
  <si>
    <t>13.5.1</t>
  </si>
  <si>
    <t>Life Below Water</t>
  </si>
  <si>
    <t>Research on Life Below Water</t>
  </si>
  <si>
    <t>SDG 14 Total Score</t>
  </si>
  <si>
    <t>14.2.1</t>
  </si>
  <si>
    <t>14.3.1</t>
  </si>
  <si>
    <t>14.3.2</t>
  </si>
  <si>
    <t>14.3.3</t>
  </si>
  <si>
    <t>14.3.4</t>
  </si>
  <si>
    <t>14.4.1</t>
  </si>
  <si>
    <t>14.4.2</t>
  </si>
  <si>
    <t>14.5.1</t>
  </si>
  <si>
    <t>Supporting aquatic ecosystems through education</t>
  </si>
  <si>
    <t>Fresh-water ecosystems (community outreach)</t>
  </si>
  <si>
    <t>Total no. of educational programs on freshwater ecosystems for community</t>
  </si>
  <si>
    <t>14.2.2</t>
  </si>
  <si>
    <t>Total no. of educational programs on sustainable fisheries for the community</t>
  </si>
  <si>
    <t>Sustainable fisheries (community outreach)</t>
  </si>
  <si>
    <t>Overfishing (community outreach)</t>
  </si>
  <si>
    <t>14.2.3</t>
  </si>
  <si>
    <t>Total no. of educational programs addressing overfishing</t>
  </si>
  <si>
    <t>Conservation and sustainable utilization of the oceans (events)</t>
  </si>
  <si>
    <t>Supporting aquatic ecosystems through action</t>
  </si>
  <si>
    <t>Total no. of PPAs that promote conservation and sustainable utilization of the oceans</t>
  </si>
  <si>
    <t>Food from aquatic ecosystems (policy)</t>
  </si>
  <si>
    <t>Maintain ecosystems and their biodiversity (direct work)</t>
  </si>
  <si>
    <t>Total no. of PPAs that aim to maintain ecosystems and biodiversity</t>
  </si>
  <si>
    <t>Technologies towards aquatic ecosystem damage prevention (direct work)</t>
  </si>
  <si>
    <t>Total no. of technologies/practices that aims to minimize or prevent damage to aquatic ecosystems</t>
  </si>
  <si>
    <t>Water sensitive waste disposal</t>
  </si>
  <si>
    <t>Water discharge guidelines and standards</t>
  </si>
  <si>
    <t>Action plan to reducing plastic waste</t>
  </si>
  <si>
    <t>14.4.3</t>
  </si>
  <si>
    <t xml:space="preserve">Reducing marine pollution (policy) </t>
  </si>
  <si>
    <t>Maintaining a local system</t>
  </si>
  <si>
    <t xml:space="preserve">Minimizing alteration of aquatic ecosystems (plan) </t>
  </si>
  <si>
    <t>14.5.2</t>
  </si>
  <si>
    <t>14.5.3</t>
  </si>
  <si>
    <t>14.5.4</t>
  </si>
  <si>
    <t>Monitoring the health of aquatic ecosystems</t>
  </si>
  <si>
    <t>Total no. of monitoring PPAs for the health of nearby aquatic ecosystems</t>
  </si>
  <si>
    <t>Programmes towards good aquatic stewardship practices</t>
  </si>
  <si>
    <t>Total no. of programs offered towards good aquatic stewardship practices</t>
  </si>
  <si>
    <t>Collaboration for shared aquatic ecosystems</t>
  </si>
  <si>
    <t>Total no. of collaborations with local community to maintain shared aquatic ecosystems</t>
  </si>
  <si>
    <t>14.5.5</t>
  </si>
  <si>
    <t xml:space="preserve">Watershed management strategy </t>
  </si>
  <si>
    <t>SDG 15 Total Score</t>
  </si>
  <si>
    <t>Life on Land</t>
  </si>
  <si>
    <t>Research on Life on Land</t>
  </si>
  <si>
    <t>Sustainable land practices</t>
  </si>
  <si>
    <t>15.2.1</t>
  </si>
  <si>
    <t>Measures that promote sustainable land practices</t>
  </si>
  <si>
    <t>Total no. of sustainable land practices implemented</t>
  </si>
  <si>
    <t>Proportion of endangered flora and fauna in the campus</t>
  </si>
  <si>
    <t>15.3.1</t>
  </si>
  <si>
    <t>Number of endangered flora/fauna in the campus</t>
  </si>
  <si>
    <t>Total no. of endangered flora/fauna in the campus</t>
  </si>
  <si>
    <t>Sustainable use of land</t>
  </si>
  <si>
    <t>15.4.1</t>
  </si>
  <si>
    <t>Events about sustainable use of land</t>
  </si>
  <si>
    <t>Total no. of events organized/supported by the campus</t>
  </si>
  <si>
    <t>Sustainably farmed food on campus</t>
  </si>
  <si>
    <t>15.4.2</t>
  </si>
  <si>
    <t>Maintain and extend current ecosystems’ biodiversity</t>
  </si>
  <si>
    <t>15.4.3</t>
  </si>
  <si>
    <t>Total no. of campus initiatives to maintain and extend current ecosystem biodiversity</t>
  </si>
  <si>
    <t>Sustaining biodiversity of the community</t>
  </si>
  <si>
    <t>15.5.1</t>
  </si>
  <si>
    <t>Biodiversity in the community</t>
  </si>
  <si>
    <t>Total no. of extension PPAs that sustain the biodiversity of the community</t>
  </si>
  <si>
    <t>Peace, Justice and Strong Institutions</t>
  </si>
  <si>
    <t>SDG 16 Total Score</t>
  </si>
  <si>
    <t>Research on Peace and Justice</t>
  </si>
  <si>
    <t>University governance measures</t>
  </si>
  <si>
    <t>16.2.1</t>
  </si>
  <si>
    <t>Elected representation</t>
  </si>
  <si>
    <t>Does your campus have elected representation on the campus’ highest governing body from students, faculty and staff?</t>
  </si>
  <si>
    <t>Students’ organizations</t>
  </si>
  <si>
    <t>16.2.2</t>
  </si>
  <si>
    <t>Total no. of recognized campus student organizations</t>
  </si>
  <si>
    <t>Identify and engage with local stakeholders</t>
  </si>
  <si>
    <t>16.2.3</t>
  </si>
  <si>
    <t>Participatory bodies for stakeholder engagement</t>
  </si>
  <si>
    <t>16.2.4</t>
  </si>
  <si>
    <t>Does your campus ensure that local stakeholders in the campus can participate or has a meaningful mechanism in campus decision making?</t>
  </si>
  <si>
    <t>16.2.5</t>
  </si>
  <si>
    <t>University principles on corruption and bribery</t>
  </si>
  <si>
    <t>16.2.6</t>
  </si>
  <si>
    <t xml:space="preserve">Academic freedom policy </t>
  </si>
  <si>
    <t>16.2.7</t>
  </si>
  <si>
    <t>Publish financial data</t>
  </si>
  <si>
    <t>Does your campus have a publication of campus financial data?</t>
  </si>
  <si>
    <t>Working with government</t>
  </si>
  <si>
    <t>16.3.1</t>
  </si>
  <si>
    <t xml:space="preserve">Provide expert advice to government </t>
  </si>
  <si>
    <t>16.3.2</t>
  </si>
  <si>
    <t>Policy and lawmakers outreach and education</t>
  </si>
  <si>
    <t>Total no. of provided outreach and education to policy and lawmakers</t>
  </si>
  <si>
    <t>16.3.3</t>
  </si>
  <si>
    <t xml:space="preserve">Participation in government research </t>
  </si>
  <si>
    <t>16.3.4</t>
  </si>
  <si>
    <t>Neutral platform to discuss issues</t>
  </si>
  <si>
    <t>Total no. of neutral platforms provided by the campus to discuss issues</t>
  </si>
  <si>
    <t>16.1.1</t>
  </si>
  <si>
    <t>SDG 17 Total Score</t>
  </si>
  <si>
    <t>Partnerships for the goals</t>
  </si>
  <si>
    <t>17.1.1</t>
  </si>
  <si>
    <t>Research into partnership for the goals</t>
  </si>
  <si>
    <t>Government</t>
  </si>
  <si>
    <t>Regional NGO</t>
  </si>
  <si>
    <t>Relationships with regional NGOs and government for SDG policy</t>
  </si>
  <si>
    <t>Relationships to support the goals</t>
  </si>
  <si>
    <t>17.2.1</t>
  </si>
  <si>
    <t>17.2.2</t>
  </si>
  <si>
    <t>Cross sectoral dialogue about SDGs</t>
  </si>
  <si>
    <t>Total no. of cross-sectoral SDG dialogue initiated and/or participated</t>
  </si>
  <si>
    <t>17.2.3</t>
  </si>
  <si>
    <t>International collaboration data gathering for SDG</t>
  </si>
  <si>
    <t>Total no. of international collaboration on SDG data gathering</t>
  </si>
  <si>
    <t>17.2.4</t>
  </si>
  <si>
    <t>Collaboration for SDG best practice</t>
  </si>
  <si>
    <t>Total no. of international collaboration for SDG best practice</t>
  </si>
  <si>
    <t>Total no. of SDG projects in collaboration with NGOs</t>
  </si>
  <si>
    <t>17.2.5</t>
  </si>
  <si>
    <t xml:space="preserve">Collaboration with NGOs for SDGs </t>
  </si>
  <si>
    <t>17.3.1</t>
  </si>
  <si>
    <t xml:space="preserve">Publication of SDG Reports </t>
  </si>
  <si>
    <t>Publication of SDG reports - per SDG</t>
  </si>
  <si>
    <t>17.4.1</t>
  </si>
  <si>
    <t>Education for the SDGs</t>
  </si>
  <si>
    <t xml:space="preserve"> Education for SDGs commitment to meaningful education</t>
  </si>
  <si>
    <t>17.4.2</t>
  </si>
  <si>
    <t>Education for SDGs: specific courses on sustainability</t>
  </si>
  <si>
    <t>17.4.3</t>
  </si>
  <si>
    <t>Education for SDGs in the wider community</t>
  </si>
  <si>
    <t>Total no. of educational outreach activities for the wider community</t>
  </si>
  <si>
    <t xml:space="preserve">Number of local partnerships </t>
  </si>
  <si>
    <t xml:space="preserve">Number of international partnerships </t>
  </si>
  <si>
    <t>17.5.1</t>
  </si>
  <si>
    <t>17.5.2</t>
  </si>
  <si>
    <t>Local and international partnerships</t>
  </si>
  <si>
    <t>Does your campus have a commitment to meaningful education around the SDGs that is relevant and applicable to all students?</t>
  </si>
  <si>
    <t>How many SDGs you have separate publication?</t>
  </si>
  <si>
    <t>SDG</t>
  </si>
  <si>
    <t>Lemery</t>
  </si>
  <si>
    <t>Rosario</t>
  </si>
  <si>
    <t>San Juan</t>
  </si>
  <si>
    <t>Alangilan</t>
  </si>
  <si>
    <t>Mabini</t>
  </si>
  <si>
    <t>Balayan</t>
  </si>
  <si>
    <t>Lipa</t>
  </si>
  <si>
    <t>ARASOF-Nasugbu</t>
  </si>
  <si>
    <t>JPLPC-Malvar</t>
  </si>
  <si>
    <t>INDICATOR</t>
  </si>
  <si>
    <t>Sum of SCORE</t>
  </si>
  <si>
    <t>SDG2</t>
  </si>
  <si>
    <t xml:space="preserve">SDG  </t>
  </si>
  <si>
    <t>SDG1</t>
  </si>
  <si>
    <t>SDG3</t>
  </si>
  <si>
    <t>SDG4</t>
  </si>
  <si>
    <t>SDG5</t>
  </si>
  <si>
    <t>SDG6</t>
  </si>
  <si>
    <t>SDG7</t>
  </si>
  <si>
    <t>SDG8</t>
  </si>
  <si>
    <t>SDG9</t>
  </si>
  <si>
    <t>SDG10</t>
  </si>
  <si>
    <t>SDG11</t>
  </si>
  <si>
    <t>SDG12</t>
  </si>
  <si>
    <t>SDG13</t>
  </si>
  <si>
    <t>SDG14</t>
  </si>
  <si>
    <t>SDG15</t>
  </si>
  <si>
    <t>SDG16</t>
  </si>
  <si>
    <t>SDG17</t>
  </si>
  <si>
    <t xml:space="preserve">SDG </t>
  </si>
  <si>
    <t>Average of SCORE</t>
  </si>
  <si>
    <t>Top 4</t>
  </si>
  <si>
    <t>All</t>
  </si>
  <si>
    <t>TOP 4 SDGs</t>
  </si>
  <si>
    <t>ALL SDGs</t>
  </si>
  <si>
    <t>Sum of SCORE2</t>
  </si>
  <si>
    <t>Lobo</t>
  </si>
  <si>
    <t>SDG Score</t>
  </si>
  <si>
    <t>Actual</t>
  </si>
  <si>
    <t>Campus Score</t>
  </si>
  <si>
    <t>Sum of SDG Score</t>
  </si>
  <si>
    <t>Count of Target</t>
  </si>
  <si>
    <t>pts</t>
  </si>
  <si>
    <t>trget</t>
  </si>
  <si>
    <t>X</t>
  </si>
  <si>
    <t>score</t>
  </si>
  <si>
    <t>100/x</t>
  </si>
  <si>
    <t>x/100</t>
  </si>
  <si>
    <t>No. of vocational training events hosted open to general public</t>
  </si>
  <si>
    <t>5.5.2</t>
  </si>
  <si>
    <t>Total no. of building standards applied to minimize water use</t>
  </si>
  <si>
    <t>% of waste recycled</t>
  </si>
  <si>
    <t>VAW Officer Name:</t>
  </si>
  <si>
    <t>Do you have VAW Desk</t>
  </si>
  <si>
    <t>Research income from industry and commerce (amount)</t>
  </si>
  <si>
    <t>Officer Name</t>
  </si>
  <si>
    <t>No. of CapDev sessions w/ IEC materials</t>
  </si>
  <si>
    <t>No. of GAD observances w/ IEC materials</t>
  </si>
  <si>
    <t>5.9.2</t>
  </si>
  <si>
    <t>GAD Observances</t>
  </si>
  <si>
    <t>% of Energy Reduction Consumption</t>
  </si>
  <si>
    <t>No. of PPAs for he renewable energy pledge</t>
  </si>
  <si>
    <t>No. of PPAs implemented for non-discriminatory admissions policy</t>
  </si>
  <si>
    <t>Total no. of PPAs implemented for anti-discrimination policy</t>
  </si>
  <si>
    <t>Total no. of PPAs implemented for disability accomodation policy</t>
  </si>
  <si>
    <t>Total no. of library visitors/guests per month</t>
  </si>
  <si>
    <t>Total no. of museum/exhibition spaces visitors/guests per month</t>
  </si>
  <si>
    <t>Total no. of donated paintings</t>
  </si>
  <si>
    <t>Total no. of PPAs implemented for ethical sourcing policy</t>
  </si>
  <si>
    <t>Shared in local community</t>
  </si>
  <si>
    <t>Total no. of partnerships w/ the LGU for risk warning and monitoring</t>
  </si>
  <si>
    <t>Total no. of policy-focused research</t>
  </si>
  <si>
    <t>No. of specific course on sustainability</t>
  </si>
  <si>
    <t>SUSTAINABLE DEVELOPMENT GOALS</t>
  </si>
  <si>
    <t>TOTAL CAMPUS SCORE</t>
  </si>
  <si>
    <t>Other low income support for students:</t>
  </si>
  <si>
    <t>Percentage of low-income admitted students</t>
  </si>
  <si>
    <t>Percentage of Low-Income Graduates</t>
  </si>
  <si>
    <t>Total no. of policy</t>
  </si>
  <si>
    <t>6.4.1</t>
  </si>
  <si>
    <t>No. of policy</t>
  </si>
  <si>
    <t>Total No. of policy</t>
  </si>
  <si>
    <t>11.3.7</t>
  </si>
  <si>
    <t xml:space="preserve">Other campus’ support for arts and heritage </t>
  </si>
  <si>
    <t>Total number of other support for arts and heritage</t>
  </si>
  <si>
    <t>proportion of utilized fund for arts and heritage</t>
  </si>
  <si>
    <t>no. of PPAs prioritizing pedestrian access in the campus</t>
  </si>
  <si>
    <t>No. of ethical sourcing policy</t>
  </si>
  <si>
    <t>No. of waste disposal policy for hazardous waste</t>
  </si>
  <si>
    <t>No. of PPAs implemented for waste disposal policy of hazardous waste</t>
  </si>
  <si>
    <t>No. of waste disposal policy for landfill waste</t>
  </si>
  <si>
    <t>No. of PPAs implemented for waste disposal policy of landfill waste</t>
  </si>
  <si>
    <t>No. of minimization policy for plastic use</t>
  </si>
  <si>
    <t>No. of PPAs implemented in minimizing plastic use</t>
  </si>
  <si>
    <t>No. of disposable policy for external suppliers</t>
  </si>
  <si>
    <t>No. of PPAs implemented for disposable policy extended for external suppliers</t>
  </si>
  <si>
    <t>No. of minimization policy for external suppliers</t>
  </si>
  <si>
    <t>with UCCAP</t>
  </si>
  <si>
    <t>Does your campus have a commitment to be a carbon neutral campus?</t>
  </si>
  <si>
    <t>Total no. of PPAs to be carbon neutral campus</t>
  </si>
  <si>
    <t>No. of policy for sustainable harvesting of aquatic ecosystems</t>
  </si>
  <si>
    <t>Does your campus have water quality standards and guidelines for water discharges?</t>
  </si>
  <si>
    <t>No. of PPAs for water discharge guidelines and standards</t>
  </si>
  <si>
    <t>Does your campus have an action plan in place to reduce plastic waste?</t>
  </si>
  <si>
    <t>No. of PPAs for plastic waste reduction plan</t>
  </si>
  <si>
    <t>Does your campus have a policy on preventing and reducing marine pollution of all kinds, in particular from land-based activities?</t>
  </si>
  <si>
    <t>No. of PPAs for reducing marine pollution policy</t>
  </si>
  <si>
    <t>Does your campus have a plan to minimize physical, chemical and biological alterations of related aquatic ecosystems?</t>
  </si>
  <si>
    <t>No. of PPAs for minimizing alteration of aquatic ecosystems plan</t>
  </si>
  <si>
    <t>Does your campus have a watershed management strategy based on location specific diversity of aquatic species?</t>
  </si>
  <si>
    <t>No. of watershed management strategies</t>
  </si>
  <si>
    <t>No. of policy for sustainably farmed foods</t>
  </si>
  <si>
    <t>No. of PPAs implemented to ensure that food in the university is sustainably farmed</t>
  </si>
  <si>
    <t>No. of policy for local and external stakeholders engagement</t>
  </si>
  <si>
    <t>No. of PPAs for identifying local and external stakeholders engagement</t>
  </si>
  <si>
    <t>No. of strategies ensuring local stakeholders’ participation in campus decision making</t>
  </si>
  <si>
    <t>Does your campus publish any campus  principles and commitments on organized crime, corruption and bribery?</t>
  </si>
  <si>
    <t>No. of campus principles and commitments on organized crime, corruption and bribery</t>
  </si>
  <si>
    <t>Does your campus as a body have a policy on supporting academic freedom (freedom to choose areas of research and to speak and teach publicly about the area of their research)?</t>
  </si>
  <si>
    <t>No. of PPAs implemented for academic freedom policy</t>
  </si>
  <si>
    <t>No. of implemented PPAs for the commitment on ESDGs</t>
  </si>
  <si>
    <t>5.6.1-10</t>
  </si>
  <si>
    <t>Total no. of Policy with PPAs</t>
  </si>
  <si>
    <t>Total no. of performances that contribute to arts and heritage</t>
  </si>
  <si>
    <t>Choir</t>
  </si>
  <si>
    <t>Theater</t>
  </si>
  <si>
    <t>Band</t>
  </si>
  <si>
    <t>Dance Group</t>
  </si>
  <si>
    <t>Computers</t>
  </si>
  <si>
    <t>School Supplies</t>
  </si>
  <si>
    <t>Books</t>
  </si>
  <si>
    <t>Total no. of policy/plan</t>
  </si>
  <si>
    <t>Total no. of campus practices for sustainable standards of new builds</t>
  </si>
  <si>
    <t>No. of PPAs implemented for minimization policy extended for external suppliers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</si>
</sst>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000_);_(* \(#,##0.0000\);_(* &quot;-&quot;??_);_(@_)"/>
    <numFmt numFmtId="166" formatCode="0.0000%"/>
    <numFmt numFmtId="167" formatCode="_(* #,##0.0_);_(* \(#,##0.0\);_(* &quot;-&quot;??_);_(@_)"/>
  </numFmts>
  <fonts count="31" x14ac:knownFonts="1">
    <font>
      <sz val="11"/>
      <color theme="1"/>
      <name val="Times New Roman"/>
      <family val="2"/>
    </font>
    <font>
      <sz val="8"/>
      <name val="Times New Roman"/>
      <family val="2"/>
    </font>
    <font>
      <sz val="11"/>
      <color theme="1"/>
      <name val="Times New Roman"/>
      <family val="2"/>
    </font>
    <font>
      <b/>
      <sz val="11"/>
      <color theme="0"/>
      <name val="Times New Roman"/>
      <family val="2"/>
    </font>
    <font>
      <b/>
      <sz val="11"/>
      <color theme="1"/>
      <name val="Times New Roman"/>
      <family val="1"/>
    </font>
    <font>
      <b/>
      <sz val="11"/>
      <color rgb="FFFF0000"/>
      <name val="Times New Roman"/>
      <family val="1"/>
    </font>
    <font>
      <sz val="11"/>
      <color rgb="FFFF0000"/>
      <name val="Times New Roman"/>
      <family val="1"/>
    </font>
    <font>
      <sz val="11"/>
      <color theme="0" tint="-0.499984740745262"/>
      <name val="Times New Roman"/>
      <family val="2"/>
    </font>
    <font>
      <b/>
      <sz val="11"/>
      <color theme="0"/>
      <name val="Times New Roman"/>
      <family val="1"/>
    </font>
    <font>
      <sz val="11"/>
      <color theme="1"/>
      <name val="Times New Roman"/>
      <family val="1"/>
    </font>
    <font>
      <b/>
      <sz val="11"/>
      <color rgb="FFE5243B"/>
      <name val="Oswald"/>
    </font>
    <font>
      <sz val="9"/>
      <color rgb="FFFF0000"/>
      <name val="Times New Roman"/>
      <family val="1"/>
    </font>
    <font>
      <sz val="11"/>
      <name val="Times New Roman"/>
      <family val="1"/>
    </font>
    <font>
      <b/>
      <sz val="11"/>
      <color rgb="FFDDA63A"/>
      <name val="Oswald"/>
    </font>
    <font>
      <sz val="11"/>
      <color rgb="FFDDA63A"/>
      <name val="Oswald"/>
    </font>
    <font>
      <sz val="12"/>
      <color theme="0"/>
      <name val="Oswald"/>
    </font>
    <font>
      <u/>
      <sz val="11"/>
      <color theme="10"/>
      <name val="Times New Roman"/>
      <family val="2"/>
    </font>
    <font>
      <b/>
      <sz val="11"/>
      <color theme="0"/>
      <name val="Oswald"/>
    </font>
    <font>
      <sz val="11"/>
      <color theme="0"/>
      <name val="Oswald"/>
    </font>
    <font>
      <sz val="11"/>
      <color theme="0" tint="-4.9989318521683403E-2"/>
      <name val="Times New Roman"/>
      <family val="2"/>
    </font>
    <font>
      <sz val="11"/>
      <color theme="0"/>
      <name val="Times New Roman"/>
      <family val="1"/>
    </font>
    <font>
      <b/>
      <sz val="14"/>
      <color theme="0"/>
      <name val="Times New Roman"/>
      <family val="1"/>
    </font>
    <font>
      <sz val="11"/>
      <color rgb="FF00B050"/>
      <name val="Oswald"/>
    </font>
    <font>
      <sz val="11"/>
      <color rgb="FF7030A0"/>
      <name val="Times New Roman"/>
      <family val="1"/>
    </font>
    <font>
      <sz val="11"/>
      <color rgb="FF7030A0"/>
      <name val="Times New Roman"/>
      <family val="2"/>
    </font>
    <font>
      <sz val="10"/>
      <color theme="1"/>
      <name val="Times New Roman"/>
      <family val="2"/>
    </font>
    <font>
      <sz val="9"/>
      <color theme="1"/>
      <name val="Times New Roman"/>
      <family val="2"/>
    </font>
    <font>
      <sz val="11"/>
      <color rgb="FF0070C0"/>
      <name val="Times New Roman"/>
      <family val="2"/>
    </font>
    <font>
      <sz val="11"/>
      <color rgb="FF0070C0"/>
      <name val="Playbill"/>
      <family val="5"/>
    </font>
    <font>
      <sz val="8"/>
      <color theme="1"/>
      <name val="Times New Roman"/>
      <family val="2"/>
    </font>
    <font>
      <sz val="8"/>
      <color theme="0" tint="-0.499984740745262"/>
      <name val="Times New Roman"/>
      <family val="2"/>
    </font>
  </fonts>
  <fills count="26">
    <fill>
      <patternFill patternType="none"/>
    </fill>
    <fill>
      <patternFill patternType="gray125"/>
    </fill>
    <fill>
      <patternFill patternType="solid">
        <fgColor theme="4"/>
        <bgColor theme="4"/>
      </patternFill>
    </fill>
    <fill>
      <patternFill patternType="solid">
        <fgColor rgb="FFFFFFCC"/>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E5243B"/>
        <bgColor indexed="64"/>
      </patternFill>
    </fill>
    <fill>
      <patternFill patternType="solid">
        <fgColor rgb="FFDDA63A"/>
        <bgColor indexed="64"/>
      </patternFill>
    </fill>
    <fill>
      <patternFill patternType="solid">
        <fgColor rgb="FF4C9F38"/>
        <bgColor indexed="64"/>
      </patternFill>
    </fill>
    <fill>
      <patternFill patternType="solid">
        <fgColor rgb="FFC5192D"/>
        <bgColor indexed="64"/>
      </patternFill>
    </fill>
    <fill>
      <patternFill patternType="solid">
        <fgColor rgb="FFFF3A21"/>
        <bgColor indexed="64"/>
      </patternFill>
    </fill>
    <fill>
      <patternFill patternType="solid">
        <fgColor rgb="FF26BDE2"/>
        <bgColor indexed="64"/>
      </patternFill>
    </fill>
    <fill>
      <patternFill patternType="solid">
        <fgColor rgb="FFFCC30B"/>
        <bgColor indexed="64"/>
      </patternFill>
    </fill>
    <fill>
      <patternFill patternType="solid">
        <fgColor rgb="FFA21942"/>
        <bgColor indexed="64"/>
      </patternFill>
    </fill>
    <fill>
      <patternFill patternType="solid">
        <fgColor rgb="FFFD6925"/>
        <bgColor indexed="64"/>
      </patternFill>
    </fill>
    <fill>
      <patternFill patternType="solid">
        <fgColor rgb="FFDD1367"/>
        <bgColor indexed="64"/>
      </patternFill>
    </fill>
    <fill>
      <patternFill patternType="solid">
        <fgColor rgb="FFFD9D24"/>
        <bgColor indexed="64"/>
      </patternFill>
    </fill>
    <fill>
      <patternFill patternType="solid">
        <fgColor rgb="FFBF8B2E"/>
        <bgColor indexed="64"/>
      </patternFill>
    </fill>
    <fill>
      <patternFill patternType="solid">
        <fgColor rgb="FF3F7E44"/>
        <bgColor indexed="64"/>
      </patternFill>
    </fill>
    <fill>
      <patternFill patternType="solid">
        <fgColor rgb="FF0A97D9"/>
        <bgColor indexed="64"/>
      </patternFill>
    </fill>
    <fill>
      <patternFill patternType="solid">
        <fgColor rgb="FF56C02B"/>
        <bgColor indexed="64"/>
      </patternFill>
    </fill>
    <fill>
      <patternFill patternType="solid">
        <fgColor rgb="FF00689D"/>
        <bgColor indexed="64"/>
      </patternFill>
    </fill>
    <fill>
      <patternFill patternType="solid">
        <fgColor rgb="FF19486A"/>
        <bgColor indexed="64"/>
      </patternFill>
    </fill>
    <fill>
      <patternFill patternType="solid">
        <fgColor rgb="FFEDEDED"/>
        <bgColor indexed="64"/>
      </patternFill>
    </fill>
    <fill>
      <patternFill patternType="solid">
        <fgColor rgb="FFFFFF00"/>
        <bgColor indexed="64"/>
      </patternFill>
    </fill>
    <fill>
      <patternFill patternType="solid">
        <fgColor theme="1"/>
        <bgColor indexed="64"/>
      </patternFill>
    </fill>
  </fills>
  <borders count="20">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applyNumberFormat="0" applyFill="0" applyBorder="0" applyAlignment="0" applyProtection="0"/>
  </cellStyleXfs>
  <cellXfs count="508">
    <xf numFmtId="0" fontId="0" fillId="0" borderId="0" xfId="0"/>
    <xf numFmtId="0" fontId="3" fillId="2" borderId="1" xfId="0" applyFont="1"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center"/>
    </xf>
    <xf numFmtId="0" fontId="3" fillId="2" borderId="0" xfId="0" applyFont="1" applyFill="1"/>
    <xf numFmtId="0" fontId="0" fillId="0" borderId="3" xfId="0" applyBorder="1"/>
    <xf numFmtId="0" fontId="0" fillId="0" borderId="0" xfId="0" applyAlignment="1">
      <alignment vertical="center"/>
    </xf>
    <xf numFmtId="0" fontId="0" fillId="0" borderId="0" xfId="0" applyAlignment="1">
      <alignment vertical="center" wrapText="1"/>
    </xf>
    <xf numFmtId="10" fontId="0" fillId="0" borderId="0" xfId="0" applyNumberFormat="1"/>
    <xf numFmtId="9" fontId="0" fillId="0" borderId="0" xfId="2" applyFont="1"/>
    <xf numFmtId="10" fontId="0" fillId="0" borderId="0" xfId="2" applyNumberFormat="1" applyFont="1"/>
    <xf numFmtId="0" fontId="0" fillId="0" borderId="0" xfId="0" applyAlignment="1">
      <alignment horizontal="right"/>
    </xf>
    <xf numFmtId="164" fontId="0" fillId="0" borderId="0" xfId="1" applyNumberFormat="1" applyFont="1" applyAlignment="1">
      <alignment horizontal="right"/>
    </xf>
    <xf numFmtId="9" fontId="0" fillId="0" borderId="0" xfId="0" applyNumberFormat="1"/>
    <xf numFmtId="0" fontId="0" fillId="0" borderId="2" xfId="0" applyBorder="1"/>
    <xf numFmtId="0" fontId="3" fillId="0" borderId="1" xfId="0" applyFont="1" applyBorder="1"/>
    <xf numFmtId="0" fontId="3" fillId="0" borderId="0" xfId="0" applyFont="1"/>
    <xf numFmtId="10" fontId="0" fillId="0" borderId="2" xfId="2" applyNumberFormat="1" applyFont="1" applyFill="1" applyBorder="1"/>
    <xf numFmtId="10" fontId="0" fillId="0" borderId="1" xfId="2" applyNumberFormat="1" applyFont="1" applyFill="1" applyBorder="1"/>
    <xf numFmtId="10" fontId="0" fillId="0" borderId="3" xfId="2" applyNumberFormat="1" applyFont="1" applyFill="1" applyBorder="1"/>
    <xf numFmtId="0" fontId="0" fillId="0" borderId="0" xfId="0" quotePrefix="1" applyAlignment="1">
      <alignment horizontal="right"/>
    </xf>
    <xf numFmtId="2" fontId="0" fillId="0" borderId="0" xfId="0" applyNumberFormat="1"/>
    <xf numFmtId="1" fontId="0" fillId="0" borderId="0" xfId="0" applyNumberFormat="1"/>
    <xf numFmtId="43" fontId="0" fillId="0" borderId="0" xfId="0" applyNumberFormat="1"/>
    <xf numFmtId="164" fontId="0" fillId="0" borderId="0" xfId="0" applyNumberFormat="1"/>
    <xf numFmtId="0" fontId="4" fillId="0" borderId="0" xfId="0" applyFont="1" applyAlignment="1">
      <alignment wrapText="1"/>
    </xf>
    <xf numFmtId="0" fontId="4" fillId="0" borderId="0" xfId="0" applyFont="1" applyAlignment="1">
      <alignment horizontal="center" wrapText="1"/>
    </xf>
    <xf numFmtId="10" fontId="0" fillId="0" borderId="0" xfId="2" applyNumberFormat="1" applyFont="1" applyFill="1" applyBorder="1"/>
    <xf numFmtId="0" fontId="7" fillId="0" borderId="0" xfId="0" applyFont="1"/>
    <xf numFmtId="166" fontId="7" fillId="0" borderId="0" xfId="0" applyNumberFormat="1" applyFont="1"/>
    <xf numFmtId="0" fontId="0" fillId="4" borderId="5" xfId="0" applyFill="1" applyBorder="1"/>
    <xf numFmtId="0" fontId="0" fillId="4" borderId="6" xfId="0" applyFill="1" applyBorder="1"/>
    <xf numFmtId="0" fontId="0" fillId="4" borderId="6" xfId="0" applyFill="1" applyBorder="1" applyAlignment="1">
      <alignment horizontal="center"/>
    </xf>
    <xf numFmtId="0" fontId="0" fillId="4" borderId="6" xfId="0" applyFill="1" applyBorder="1" applyAlignment="1">
      <alignment horizontal="right"/>
    </xf>
    <xf numFmtId="0" fontId="0" fillId="4" borderId="8" xfId="0" applyFill="1" applyBorder="1"/>
    <xf numFmtId="0" fontId="0" fillId="4" borderId="0" xfId="0" applyFill="1"/>
    <xf numFmtId="0" fontId="0" fillId="4" borderId="0" xfId="0" applyFill="1" applyAlignment="1">
      <alignment horizontal="center"/>
    </xf>
    <xf numFmtId="0" fontId="0" fillId="4" borderId="0" xfId="0" applyFill="1" applyAlignment="1">
      <alignment horizontal="right"/>
    </xf>
    <xf numFmtId="0" fontId="0" fillId="4" borderId="10" xfId="0" applyFill="1" applyBorder="1"/>
    <xf numFmtId="0" fontId="0" fillId="4" borderId="11" xfId="0" applyFill="1" applyBorder="1"/>
    <xf numFmtId="0" fontId="0" fillId="4" borderId="11" xfId="0" applyFill="1" applyBorder="1" applyAlignment="1">
      <alignment horizontal="center"/>
    </xf>
    <xf numFmtId="0" fontId="0" fillId="5" borderId="10" xfId="0" applyFill="1" applyBorder="1"/>
    <xf numFmtId="0" fontId="0" fillId="5" borderId="11" xfId="0" applyFill="1" applyBorder="1"/>
    <xf numFmtId="0" fontId="0" fillId="5" borderId="11" xfId="0" applyFill="1" applyBorder="1" applyAlignment="1">
      <alignment horizontal="center"/>
    </xf>
    <xf numFmtId="0" fontId="0" fillId="5" borderId="5" xfId="0" applyFill="1" applyBorder="1"/>
    <xf numFmtId="0" fontId="0" fillId="5" borderId="6" xfId="0" applyFill="1" applyBorder="1"/>
    <xf numFmtId="0" fontId="0" fillId="5" borderId="6" xfId="0" applyFill="1" applyBorder="1" applyAlignment="1">
      <alignment horizontal="center"/>
    </xf>
    <xf numFmtId="0" fontId="0" fillId="5" borderId="6" xfId="0" applyFill="1" applyBorder="1" applyAlignment="1">
      <alignment horizontal="right"/>
    </xf>
    <xf numFmtId="0" fontId="0" fillId="5" borderId="11" xfId="0" applyFill="1" applyBorder="1" applyAlignment="1">
      <alignment horizontal="right"/>
    </xf>
    <xf numFmtId="166" fontId="7" fillId="0" borderId="0" xfId="2" applyNumberFormat="1" applyFont="1" applyFill="1"/>
    <xf numFmtId="164" fontId="5" fillId="0" borderId="0" xfId="1" applyNumberFormat="1" applyFont="1" applyAlignment="1">
      <alignment horizontal="right" wrapText="1"/>
    </xf>
    <xf numFmtId="164" fontId="6" fillId="0" borderId="0" xfId="1" applyNumberFormat="1" applyFont="1" applyAlignment="1">
      <alignment horizontal="right"/>
    </xf>
    <xf numFmtId="0" fontId="0" fillId="0" borderId="8" xfId="0" applyBorder="1"/>
    <xf numFmtId="0" fontId="0" fillId="5" borderId="13" xfId="0" applyFill="1" applyBorder="1"/>
    <xf numFmtId="0" fontId="0" fillId="5" borderId="14" xfId="0" applyFill="1" applyBorder="1"/>
    <xf numFmtId="0" fontId="0" fillId="5" borderId="14" xfId="0" applyFill="1" applyBorder="1" applyAlignment="1">
      <alignment horizontal="center"/>
    </xf>
    <xf numFmtId="0" fontId="0" fillId="5" borderId="14" xfId="0" applyFill="1" applyBorder="1" applyAlignment="1">
      <alignment horizontal="right"/>
    </xf>
    <xf numFmtId="43" fontId="9" fillId="5" borderId="15" xfId="1" applyFont="1" applyFill="1" applyBorder="1"/>
    <xf numFmtId="0" fontId="0" fillId="5" borderId="8" xfId="0" applyFill="1" applyBorder="1"/>
    <xf numFmtId="0" fontId="0" fillId="5" borderId="0" xfId="0" applyFill="1"/>
    <xf numFmtId="0" fontId="0" fillId="5" borderId="0" xfId="0" applyFill="1" applyAlignment="1">
      <alignment horizontal="center"/>
    </xf>
    <xf numFmtId="164" fontId="6" fillId="0" borderId="0" xfId="1" applyNumberFormat="1" applyFont="1" applyFill="1" applyBorder="1" applyAlignment="1">
      <alignment horizontal="right"/>
    </xf>
    <xf numFmtId="0" fontId="0" fillId="4" borderId="13" xfId="0" applyFill="1" applyBorder="1"/>
    <xf numFmtId="0" fontId="0" fillId="4" borderId="14" xfId="0" applyFill="1" applyBorder="1"/>
    <xf numFmtId="0" fontId="0" fillId="4" borderId="14" xfId="0" applyFill="1" applyBorder="1" applyAlignment="1">
      <alignment horizontal="center"/>
    </xf>
    <xf numFmtId="0" fontId="0" fillId="4" borderId="14" xfId="0" applyFill="1" applyBorder="1" applyAlignment="1">
      <alignment horizontal="right"/>
    </xf>
    <xf numFmtId="0" fontId="0" fillId="4" borderId="11" xfId="0" applyFill="1" applyBorder="1" applyAlignment="1">
      <alignment horizontal="right"/>
    </xf>
    <xf numFmtId="164" fontId="11" fillId="0" borderId="0" xfId="1" applyNumberFormat="1" applyFont="1" applyAlignment="1">
      <alignment horizontal="right"/>
    </xf>
    <xf numFmtId="0" fontId="0" fillId="5" borderId="13" xfId="0" applyFill="1" applyBorder="1" applyAlignment="1">
      <alignment vertical="top"/>
    </xf>
    <xf numFmtId="0" fontId="0" fillId="5" borderId="14" xfId="0" applyFill="1" applyBorder="1" applyAlignment="1">
      <alignment vertical="top"/>
    </xf>
    <xf numFmtId="0" fontId="0" fillId="5" borderId="14" xfId="0" applyFill="1" applyBorder="1" applyAlignment="1">
      <alignment horizontal="center" vertical="top"/>
    </xf>
    <xf numFmtId="0" fontId="0" fillId="5" borderId="14" xfId="0" applyFill="1" applyBorder="1" applyAlignment="1">
      <alignment horizontal="right" vertical="top" wrapText="1"/>
    </xf>
    <xf numFmtId="0" fontId="0" fillId="0" borderId="0" xfId="0" applyAlignment="1">
      <alignment vertical="top"/>
    </xf>
    <xf numFmtId="0" fontId="7" fillId="0" borderId="0" xfId="0" applyFont="1" applyAlignment="1">
      <alignment vertical="top"/>
    </xf>
    <xf numFmtId="164" fontId="9" fillId="0" borderId="0" xfId="1" applyNumberFormat="1" applyFont="1" applyFill="1" applyBorder="1"/>
    <xf numFmtId="164" fontId="12" fillId="0" borderId="0" xfId="0" applyNumberFormat="1" applyFont="1"/>
    <xf numFmtId="164" fontId="7" fillId="0" borderId="0" xfId="0" applyNumberFormat="1" applyFont="1"/>
    <xf numFmtId="0" fontId="15" fillId="22" borderId="0" xfId="0" applyFont="1" applyFill="1" applyAlignment="1">
      <alignment horizontal="center" vertical="center"/>
    </xf>
    <xf numFmtId="0" fontId="15" fillId="6" borderId="0" xfId="3" applyFont="1" applyFill="1" applyAlignment="1">
      <alignment horizontal="center" vertical="center"/>
    </xf>
    <xf numFmtId="0" fontId="15" fillId="6" borderId="0" xfId="3" applyFont="1" applyFill="1" applyAlignment="1">
      <alignment horizontal="left" vertical="center"/>
    </xf>
    <xf numFmtId="164" fontId="7" fillId="5" borderId="4" xfId="1" applyNumberFormat="1" applyFont="1" applyFill="1" applyBorder="1"/>
    <xf numFmtId="0" fontId="17" fillId="6" borderId="0" xfId="0" applyFont="1" applyFill="1" applyAlignment="1">
      <alignment wrapText="1"/>
    </xf>
    <xf numFmtId="0" fontId="17" fillId="6" borderId="0" xfId="0" applyFont="1" applyFill="1" applyAlignment="1">
      <alignment horizontal="center" wrapText="1"/>
    </xf>
    <xf numFmtId="0" fontId="18" fillId="6" borderId="0" xfId="0" applyFont="1" applyFill="1"/>
    <xf numFmtId="0" fontId="18" fillId="0" borderId="0" xfId="0" applyFont="1"/>
    <xf numFmtId="164" fontId="19" fillId="0" borderId="0" xfId="1" applyNumberFormat="1" applyFont="1" applyFill="1" applyBorder="1"/>
    <xf numFmtId="0" fontId="20" fillId="6" borderId="0" xfId="0" applyFont="1" applyFill="1"/>
    <xf numFmtId="0" fontId="20" fillId="6" borderId="0" xfId="0" applyFont="1" applyFill="1" applyAlignment="1">
      <alignment horizontal="center"/>
    </xf>
    <xf numFmtId="0" fontId="20" fillId="6" borderId="0" xfId="0" applyFont="1" applyFill="1" applyAlignment="1">
      <alignment horizontal="right"/>
    </xf>
    <xf numFmtId="0" fontId="8" fillId="6" borderId="0" xfId="0" applyFont="1" applyFill="1" applyAlignment="1">
      <alignment horizontal="right" vertical="center"/>
    </xf>
    <xf numFmtId="164" fontId="13" fillId="0" borderId="0" xfId="1" applyNumberFormat="1" applyFont="1" applyAlignment="1">
      <alignment horizontal="right" wrapText="1"/>
    </xf>
    <xf numFmtId="0" fontId="14" fillId="0" borderId="0" xfId="0" applyFont="1"/>
    <xf numFmtId="0" fontId="17" fillId="7" borderId="0" xfId="0" applyFont="1" applyFill="1" applyAlignment="1">
      <alignment wrapText="1"/>
    </xf>
    <xf numFmtId="0" fontId="17" fillId="7" borderId="0" xfId="0" applyFont="1" applyFill="1" applyAlignment="1">
      <alignment horizontal="center" wrapText="1"/>
    </xf>
    <xf numFmtId="0" fontId="18" fillId="7" borderId="0" xfId="0" applyFont="1" applyFill="1"/>
    <xf numFmtId="0" fontId="15" fillId="22" borderId="0" xfId="0" applyFont="1" applyFill="1" applyAlignment="1">
      <alignment horizontal="right" vertical="center"/>
    </xf>
    <xf numFmtId="164" fontId="15" fillId="22" borderId="0" xfId="1" applyNumberFormat="1" applyFont="1" applyFill="1" applyAlignment="1">
      <alignment horizontal="left" vertical="center"/>
    </xf>
    <xf numFmtId="164" fontId="15" fillId="6" borderId="0" xfId="1" applyNumberFormat="1" applyFont="1" applyFill="1" applyAlignment="1">
      <alignment horizontal="left" vertical="center"/>
    </xf>
    <xf numFmtId="164" fontId="15" fillId="7" borderId="0" xfId="1" applyNumberFormat="1" applyFont="1" applyFill="1" applyAlignment="1">
      <alignment horizontal="left" vertical="center"/>
    </xf>
    <xf numFmtId="164" fontId="15" fillId="8" borderId="0" xfId="1" applyNumberFormat="1" applyFont="1" applyFill="1" applyAlignment="1">
      <alignment horizontal="left" vertical="center"/>
    </xf>
    <xf numFmtId="164" fontId="15" fillId="9" borderId="0" xfId="1" applyNumberFormat="1" applyFont="1" applyFill="1" applyAlignment="1">
      <alignment horizontal="left" vertical="center"/>
    </xf>
    <xf numFmtId="164" fontId="15" fillId="10" borderId="0" xfId="1" applyNumberFormat="1" applyFont="1" applyFill="1" applyAlignment="1">
      <alignment horizontal="left" vertical="center"/>
    </xf>
    <xf numFmtId="164" fontId="15" fillId="11" borderId="0" xfId="1" applyNumberFormat="1" applyFont="1" applyFill="1" applyAlignment="1">
      <alignment horizontal="left" vertical="center"/>
    </xf>
    <xf numFmtId="164" fontId="15" fillId="12" borderId="0" xfId="1" applyNumberFormat="1" applyFont="1" applyFill="1" applyAlignment="1">
      <alignment horizontal="left" vertical="center"/>
    </xf>
    <xf numFmtId="164" fontId="15" fillId="13" borderId="0" xfId="1" applyNumberFormat="1" applyFont="1" applyFill="1" applyAlignment="1">
      <alignment horizontal="left" vertical="center"/>
    </xf>
    <xf numFmtId="164" fontId="15" fillId="14" borderId="0" xfId="1" applyNumberFormat="1" applyFont="1" applyFill="1" applyAlignment="1">
      <alignment horizontal="left" vertical="center"/>
    </xf>
    <xf numFmtId="164" fontId="15" fillId="15" borderId="0" xfId="1" applyNumberFormat="1" applyFont="1" applyFill="1" applyAlignment="1">
      <alignment horizontal="left" vertical="center"/>
    </xf>
    <xf numFmtId="164" fontId="15" fillId="16" borderId="0" xfId="1" applyNumberFormat="1" applyFont="1" applyFill="1" applyAlignment="1">
      <alignment horizontal="left" vertical="center"/>
    </xf>
    <xf numFmtId="164" fontId="15" fillId="17" borderId="0" xfId="1" applyNumberFormat="1" applyFont="1" applyFill="1" applyAlignment="1">
      <alignment horizontal="left" vertical="center"/>
    </xf>
    <xf numFmtId="164" fontId="15" fillId="18" borderId="0" xfId="1" applyNumberFormat="1" applyFont="1" applyFill="1" applyAlignment="1">
      <alignment horizontal="left" vertical="center"/>
    </xf>
    <xf numFmtId="164" fontId="15" fillId="19" borderId="0" xfId="1" applyNumberFormat="1" applyFont="1" applyFill="1" applyAlignment="1">
      <alignment horizontal="left" vertical="center"/>
    </xf>
    <xf numFmtId="164" fontId="15" fillId="20" borderId="0" xfId="1" applyNumberFormat="1" applyFont="1" applyFill="1" applyAlignment="1">
      <alignment horizontal="left" vertical="center"/>
    </xf>
    <xf numFmtId="164" fontId="15" fillId="21" borderId="0" xfId="1" applyNumberFormat="1" applyFont="1" applyFill="1" applyAlignment="1">
      <alignment horizontal="left" vertical="center"/>
    </xf>
    <xf numFmtId="0" fontId="13" fillId="0" borderId="0" xfId="0" applyFont="1" applyAlignment="1">
      <alignment horizontal="right"/>
    </xf>
    <xf numFmtId="0" fontId="22" fillId="0" borderId="0" xfId="0" applyFont="1" applyAlignment="1">
      <alignment horizontal="right"/>
    </xf>
    <xf numFmtId="43" fontId="7" fillId="0" borderId="0" xfId="1" applyFont="1" applyFill="1"/>
    <xf numFmtId="165" fontId="7" fillId="0" borderId="0" xfId="1" applyNumberFormat="1" applyFont="1" applyFill="1"/>
    <xf numFmtId="164" fontId="10" fillId="0" borderId="0" xfId="1" applyNumberFormat="1" applyFont="1" applyAlignment="1">
      <alignment horizontal="right" wrapText="1"/>
    </xf>
    <xf numFmtId="0" fontId="10" fillId="0" borderId="0" xfId="0" applyFont="1" applyAlignment="1">
      <alignment horizontal="right"/>
    </xf>
    <xf numFmtId="43" fontId="17" fillId="7" borderId="0" xfId="1" applyFont="1" applyFill="1" applyBorder="1" applyAlignment="1">
      <alignment horizontal="right" wrapText="1"/>
    </xf>
    <xf numFmtId="43" fontId="9" fillId="5" borderId="7" xfId="1" applyFont="1" applyFill="1" applyBorder="1"/>
    <xf numFmtId="43" fontId="9" fillId="0" borderId="0" xfId="1" applyFont="1"/>
    <xf numFmtId="43" fontId="17" fillId="6" borderId="0" xfId="1" applyFont="1" applyFill="1" applyBorder="1" applyAlignment="1">
      <alignment horizontal="right" wrapText="1"/>
    </xf>
    <xf numFmtId="43" fontId="9" fillId="4" borderId="7" xfId="1" applyFont="1" applyFill="1" applyBorder="1"/>
    <xf numFmtId="43" fontId="9" fillId="4" borderId="9" xfId="1" applyFont="1" applyFill="1" applyBorder="1"/>
    <xf numFmtId="43" fontId="9" fillId="4" borderId="12" xfId="1" applyFont="1" applyFill="1" applyBorder="1"/>
    <xf numFmtId="43" fontId="9" fillId="5" borderId="12" xfId="1" applyFont="1" applyFill="1" applyBorder="1"/>
    <xf numFmtId="43" fontId="8" fillId="6" borderId="0" xfId="1" applyFont="1" applyFill="1" applyAlignment="1">
      <alignment horizontal="right" vertical="center"/>
    </xf>
    <xf numFmtId="43" fontId="9" fillId="0" borderId="0" xfId="1" applyFont="1" applyFill="1"/>
    <xf numFmtId="43" fontId="4" fillId="0" borderId="0" xfId="1" applyFont="1" applyFill="1" applyBorder="1" applyAlignment="1">
      <alignment horizontal="center"/>
    </xf>
    <xf numFmtId="43" fontId="21" fillId="6" borderId="0" xfId="1" applyFont="1" applyFill="1" applyAlignment="1">
      <alignment horizontal="center" vertical="center"/>
    </xf>
    <xf numFmtId="0" fontId="20" fillId="7" borderId="0" xfId="0" applyFont="1" applyFill="1"/>
    <xf numFmtId="0" fontId="20" fillId="7" borderId="0" xfId="0" applyFont="1" applyFill="1" applyAlignment="1">
      <alignment horizontal="center"/>
    </xf>
    <xf numFmtId="0" fontId="20" fillId="7" borderId="0" xfId="0" applyFont="1" applyFill="1" applyAlignment="1">
      <alignment horizontal="right"/>
    </xf>
    <xf numFmtId="0" fontId="8" fillId="7" borderId="0" xfId="0" applyFont="1" applyFill="1" applyAlignment="1">
      <alignment horizontal="right" vertical="center"/>
    </xf>
    <xf numFmtId="43" fontId="8" fillId="7" borderId="0" xfId="1" applyFont="1" applyFill="1" applyAlignment="1">
      <alignment horizontal="right" vertical="center"/>
    </xf>
    <xf numFmtId="43" fontId="21" fillId="7" borderId="0" xfId="1" applyFont="1" applyFill="1" applyAlignment="1">
      <alignment horizontal="center" vertical="center"/>
    </xf>
    <xf numFmtId="0" fontId="17" fillId="8" borderId="0" xfId="0" applyFont="1" applyFill="1" applyAlignment="1">
      <alignment wrapText="1"/>
    </xf>
    <xf numFmtId="0" fontId="17" fillId="8" borderId="0" xfId="0" applyFont="1" applyFill="1" applyAlignment="1">
      <alignment horizontal="center" wrapText="1"/>
    </xf>
    <xf numFmtId="0" fontId="18" fillId="8" borderId="0" xfId="0" applyFont="1" applyFill="1"/>
    <xf numFmtId="43" fontId="17" fillId="8" borderId="0" xfId="1" applyFont="1" applyFill="1" applyBorder="1" applyAlignment="1">
      <alignment horizontal="right" wrapText="1"/>
    </xf>
    <xf numFmtId="0" fontId="20" fillId="8" borderId="0" xfId="0" applyFont="1" applyFill="1"/>
    <xf numFmtId="0" fontId="20" fillId="8" borderId="0" xfId="0" applyFont="1" applyFill="1" applyAlignment="1">
      <alignment horizontal="center"/>
    </xf>
    <xf numFmtId="0" fontId="20" fillId="8" borderId="0" xfId="0" applyFont="1" applyFill="1" applyAlignment="1">
      <alignment horizontal="right"/>
    </xf>
    <xf numFmtId="0" fontId="8" fillId="8" borderId="0" xfId="0" applyFont="1" applyFill="1" applyAlignment="1">
      <alignment horizontal="right" vertical="center"/>
    </xf>
    <xf numFmtId="43" fontId="8" fillId="8" borderId="0" xfId="1" applyFont="1" applyFill="1" applyAlignment="1">
      <alignment horizontal="right" vertical="center"/>
    </xf>
    <xf numFmtId="43" fontId="21" fillId="8" borderId="0" xfId="1" applyFont="1" applyFill="1" applyAlignment="1">
      <alignment horizontal="center" vertical="center"/>
    </xf>
    <xf numFmtId="43" fontId="9" fillId="5" borderId="15" xfId="1" applyFont="1" applyFill="1" applyBorder="1" applyAlignment="1"/>
    <xf numFmtId="0" fontId="0" fillId="5" borderId="0" xfId="0" applyFill="1" applyAlignment="1">
      <alignment horizontal="right"/>
    </xf>
    <xf numFmtId="43" fontId="4" fillId="0" borderId="0" xfId="1" applyFont="1" applyFill="1" applyBorder="1" applyAlignment="1"/>
    <xf numFmtId="43" fontId="4" fillId="0" borderId="10" xfId="1" applyFont="1" applyFill="1" applyBorder="1" applyAlignment="1"/>
    <xf numFmtId="164" fontId="7" fillId="0" borderId="16" xfId="0" applyNumberFormat="1" applyFont="1" applyBorder="1"/>
    <xf numFmtId="164" fontId="7" fillId="0" borderId="17" xfId="0" applyNumberFormat="1" applyFont="1" applyBorder="1"/>
    <xf numFmtId="164" fontId="7" fillId="0" borderId="18" xfId="0" applyNumberFormat="1" applyFont="1" applyBorder="1"/>
    <xf numFmtId="164" fontId="7" fillId="0" borderId="19" xfId="0" applyNumberFormat="1" applyFont="1" applyBorder="1"/>
    <xf numFmtId="0" fontId="17" fillId="9" borderId="0" xfId="0" applyFont="1" applyFill="1" applyAlignment="1">
      <alignment wrapText="1"/>
    </xf>
    <xf numFmtId="0" fontId="17" fillId="9" borderId="0" xfId="0" applyFont="1" applyFill="1" applyAlignment="1">
      <alignment horizontal="center" wrapText="1"/>
    </xf>
    <xf numFmtId="0" fontId="18" fillId="9" borderId="0" xfId="0" applyFont="1" applyFill="1"/>
    <xf numFmtId="43" fontId="17" fillId="9" borderId="0" xfId="1" applyFont="1" applyFill="1" applyBorder="1" applyAlignment="1">
      <alignment horizontal="right" wrapText="1"/>
    </xf>
    <xf numFmtId="0" fontId="20" fillId="9" borderId="0" xfId="0" applyFont="1" applyFill="1"/>
    <xf numFmtId="0" fontId="20" fillId="9" borderId="0" xfId="0" applyFont="1" applyFill="1" applyAlignment="1">
      <alignment horizontal="center"/>
    </xf>
    <xf numFmtId="0" fontId="20" fillId="9" borderId="0" xfId="0" applyFont="1" applyFill="1" applyAlignment="1">
      <alignment horizontal="right"/>
    </xf>
    <xf numFmtId="0" fontId="8" fillId="9" borderId="0" xfId="0" applyFont="1" applyFill="1" applyAlignment="1">
      <alignment horizontal="right" vertical="center"/>
    </xf>
    <xf numFmtId="43" fontId="8" fillId="9" borderId="0" xfId="1" applyFont="1" applyFill="1" applyAlignment="1">
      <alignment horizontal="right" vertical="center"/>
    </xf>
    <xf numFmtId="43" fontId="21" fillId="9" borderId="0" xfId="1" applyFont="1" applyFill="1" applyAlignment="1">
      <alignment horizontal="center" vertical="center"/>
    </xf>
    <xf numFmtId="0" fontId="0" fillId="5" borderId="7" xfId="0" applyFill="1" applyBorder="1" applyAlignment="1">
      <alignment horizontal="right"/>
    </xf>
    <xf numFmtId="0" fontId="0" fillId="5" borderId="9" xfId="0" applyFill="1" applyBorder="1" applyAlignment="1">
      <alignment horizontal="right"/>
    </xf>
    <xf numFmtId="0" fontId="7" fillId="0" borderId="16" xfId="0" applyFont="1" applyBorder="1"/>
    <xf numFmtId="164" fontId="23" fillId="0" borderId="0" xfId="1" applyNumberFormat="1" applyFont="1" applyAlignment="1">
      <alignment horizontal="right"/>
    </xf>
    <xf numFmtId="0" fontId="24" fillId="0" borderId="0" xfId="0" applyFont="1"/>
    <xf numFmtId="0" fontId="0" fillId="5" borderId="6" xfId="0" applyFill="1" applyBorder="1" applyAlignment="1">
      <alignment horizontal="left" vertical="top" wrapText="1"/>
    </xf>
    <xf numFmtId="0" fontId="0" fillId="5" borderId="11" xfId="0" applyFill="1" applyBorder="1" applyAlignment="1">
      <alignment horizontal="left" vertical="top" wrapText="1"/>
    </xf>
    <xf numFmtId="0" fontId="0" fillId="5" borderId="6" xfId="0" applyFill="1" applyBorder="1" applyAlignment="1">
      <alignment horizontal="center" vertical="top"/>
    </xf>
    <xf numFmtId="0" fontId="0" fillId="5" borderId="6" xfId="0" applyFill="1" applyBorder="1" applyAlignment="1">
      <alignment vertical="top"/>
    </xf>
    <xf numFmtId="0" fontId="0" fillId="5" borderId="11" xfId="0" applyFill="1" applyBorder="1" applyAlignment="1">
      <alignment vertical="top"/>
    </xf>
    <xf numFmtId="0" fontId="0" fillId="5" borderId="11" xfId="0" applyFill="1" applyBorder="1" applyAlignment="1">
      <alignment horizontal="center" vertical="top"/>
    </xf>
    <xf numFmtId="43" fontId="4" fillId="0" borderId="10" xfId="0" applyNumberFormat="1" applyFont="1" applyBorder="1"/>
    <xf numFmtId="0" fontId="20" fillId="10" borderId="0" xfId="0" applyFont="1" applyFill="1"/>
    <xf numFmtId="0" fontId="20" fillId="10" borderId="0" xfId="0" applyFont="1" applyFill="1" applyAlignment="1">
      <alignment horizontal="center"/>
    </xf>
    <xf numFmtId="0" fontId="20" fillId="10" borderId="0" xfId="0" applyFont="1" applyFill="1" applyAlignment="1">
      <alignment horizontal="right"/>
    </xf>
    <xf numFmtId="0" fontId="8" fillId="10" borderId="0" xfId="0" applyFont="1" applyFill="1" applyAlignment="1">
      <alignment horizontal="right" vertical="center"/>
    </xf>
    <xf numFmtId="43" fontId="8" fillId="10" borderId="0" xfId="1" applyFont="1" applyFill="1" applyAlignment="1">
      <alignment horizontal="right" vertical="center"/>
    </xf>
    <xf numFmtId="43" fontId="21" fillId="10" borderId="0" xfId="1" applyFont="1" applyFill="1" applyAlignment="1">
      <alignment horizontal="center" vertical="center"/>
    </xf>
    <xf numFmtId="0" fontId="17" fillId="10" borderId="0" xfId="0" applyFont="1" applyFill="1" applyAlignment="1">
      <alignment wrapText="1"/>
    </xf>
    <xf numFmtId="0" fontId="17" fillId="10" borderId="0" xfId="0" applyFont="1" applyFill="1" applyAlignment="1">
      <alignment horizontal="center" wrapText="1"/>
    </xf>
    <xf numFmtId="0" fontId="18" fillId="10" borderId="0" xfId="0" applyFont="1" applyFill="1"/>
    <xf numFmtId="43" fontId="17" fillId="10" borderId="0" xfId="1" applyFont="1" applyFill="1" applyBorder="1" applyAlignment="1">
      <alignment horizontal="right" wrapText="1"/>
    </xf>
    <xf numFmtId="0" fontId="0" fillId="5" borderId="14" xfId="0" applyFill="1" applyBorder="1" applyAlignment="1">
      <alignment horizontal="left" vertical="top" wrapText="1"/>
    </xf>
    <xf numFmtId="0" fontId="0" fillId="5" borderId="15" xfId="0" applyFill="1" applyBorder="1" applyAlignment="1">
      <alignment horizontal="right"/>
    </xf>
    <xf numFmtId="0" fontId="7" fillId="0" borderId="0" xfId="2" applyNumberFormat="1" applyFont="1" applyFill="1" applyBorder="1"/>
    <xf numFmtId="2" fontId="7" fillId="0" borderId="0" xfId="2" applyNumberFormat="1" applyFont="1" applyFill="1" applyBorder="1"/>
    <xf numFmtId="43" fontId="9" fillId="5" borderId="16" xfId="1" applyFont="1" applyFill="1" applyBorder="1" applyAlignment="1"/>
    <xf numFmtId="43" fontId="9" fillId="5" borderId="18" xfId="1" applyFont="1" applyFill="1" applyBorder="1" applyAlignment="1"/>
    <xf numFmtId="43" fontId="9" fillId="5" borderId="4" xfId="1" applyFont="1" applyFill="1" applyBorder="1" applyAlignment="1"/>
    <xf numFmtId="0" fontId="0" fillId="5" borderId="14" xfId="0" applyFill="1" applyBorder="1" applyAlignment="1">
      <alignment vertical="top" wrapText="1"/>
    </xf>
    <xf numFmtId="43" fontId="9" fillId="0" borderId="0" xfId="0" applyNumberFormat="1" applyFont="1"/>
    <xf numFmtId="0" fontId="0" fillId="5" borderId="5" xfId="0" applyFill="1" applyBorder="1" applyAlignment="1">
      <alignment vertical="top"/>
    </xf>
    <xf numFmtId="0" fontId="0" fillId="5" borderId="6" xfId="0" applyFill="1" applyBorder="1" applyAlignment="1">
      <alignment vertical="top" wrapText="1"/>
    </xf>
    <xf numFmtId="43" fontId="9" fillId="5" borderId="7" xfId="1" applyFont="1" applyFill="1" applyBorder="1" applyAlignment="1"/>
    <xf numFmtId="0" fontId="0" fillId="5" borderId="10" xfId="0" applyFill="1" applyBorder="1" applyAlignment="1">
      <alignment vertical="top"/>
    </xf>
    <xf numFmtId="0" fontId="0" fillId="5" borderId="11" xfId="0" applyFill="1" applyBorder="1" applyAlignment="1">
      <alignment vertical="top" wrapText="1"/>
    </xf>
    <xf numFmtId="43" fontId="9" fillId="5" borderId="12" xfId="1" applyFont="1" applyFill="1" applyBorder="1" applyAlignment="1"/>
    <xf numFmtId="0" fontId="0" fillId="5" borderId="14" xfId="0" applyFill="1" applyBorder="1" applyAlignment="1">
      <alignment horizontal="right" shrinkToFit="1"/>
    </xf>
    <xf numFmtId="0" fontId="17" fillId="11" borderId="0" xfId="0" applyFont="1" applyFill="1" applyAlignment="1">
      <alignment wrapText="1"/>
    </xf>
    <xf numFmtId="0" fontId="17" fillId="11" borderId="0" xfId="0" applyFont="1" applyFill="1" applyAlignment="1">
      <alignment horizontal="center" wrapText="1"/>
    </xf>
    <xf numFmtId="0" fontId="18" fillId="11" borderId="0" xfId="0" applyFont="1" applyFill="1"/>
    <xf numFmtId="43" fontId="17" fillId="11" borderId="0" xfId="1" applyFont="1" applyFill="1" applyBorder="1" applyAlignment="1">
      <alignment horizontal="right" wrapText="1"/>
    </xf>
    <xf numFmtId="0" fontId="20" fillId="11" borderId="0" xfId="0" applyFont="1" applyFill="1"/>
    <xf numFmtId="0" fontId="20" fillId="11" borderId="0" xfId="0" applyFont="1" applyFill="1" applyAlignment="1">
      <alignment horizontal="center"/>
    </xf>
    <xf numFmtId="0" fontId="20" fillId="11" borderId="0" xfId="0" applyFont="1" applyFill="1" applyAlignment="1">
      <alignment horizontal="right"/>
    </xf>
    <xf numFmtId="0" fontId="8" fillId="11" borderId="0" xfId="0" applyFont="1" applyFill="1" applyAlignment="1">
      <alignment horizontal="right" vertical="center"/>
    </xf>
    <xf numFmtId="43" fontId="8" fillId="11" borderId="0" xfId="1" applyFont="1" applyFill="1" applyAlignment="1">
      <alignment horizontal="right" vertical="center"/>
    </xf>
    <xf numFmtId="43" fontId="21" fillId="11" borderId="0" xfId="1" applyFont="1" applyFill="1" applyAlignment="1">
      <alignment horizontal="center" vertical="center"/>
    </xf>
    <xf numFmtId="0" fontId="0" fillId="0" borderId="0" xfId="2" applyNumberFormat="1" applyFont="1" applyFill="1" applyBorder="1"/>
    <xf numFmtId="0" fontId="0" fillId="5" borderId="6" xfId="0" applyFill="1" applyBorder="1" applyAlignment="1">
      <alignment horizontal="right" vertical="top" wrapText="1"/>
    </xf>
    <xf numFmtId="0" fontId="0" fillId="5" borderId="11" xfId="0" applyFill="1" applyBorder="1" applyAlignment="1">
      <alignment horizontal="right" vertical="top" wrapText="1"/>
    </xf>
    <xf numFmtId="43" fontId="0" fillId="0" borderId="0" xfId="2" applyNumberFormat="1" applyFont="1"/>
    <xf numFmtId="0" fontId="0" fillId="5" borderId="14" xfId="0" applyFill="1" applyBorder="1" applyAlignment="1">
      <alignment horizontal="right" wrapText="1"/>
    </xf>
    <xf numFmtId="0" fontId="17" fillId="12" borderId="0" xfId="0" applyFont="1" applyFill="1" applyAlignment="1">
      <alignment wrapText="1"/>
    </xf>
    <xf numFmtId="0" fontId="17" fillId="12" borderId="0" xfId="0" applyFont="1" applyFill="1" applyAlignment="1">
      <alignment horizontal="center" wrapText="1"/>
    </xf>
    <xf numFmtId="0" fontId="18" fillId="12" borderId="0" xfId="0" applyFont="1" applyFill="1"/>
    <xf numFmtId="43" fontId="17" fillId="12" borderId="0" xfId="1" applyFont="1" applyFill="1" applyBorder="1" applyAlignment="1">
      <alignment horizontal="right" wrapText="1"/>
    </xf>
    <xf numFmtId="0" fontId="20" fillId="12" borderId="0" xfId="0" applyFont="1" applyFill="1"/>
    <xf numFmtId="0" fontId="20" fillId="12" borderId="0" xfId="0" applyFont="1" applyFill="1" applyAlignment="1">
      <alignment horizontal="center"/>
    </xf>
    <xf numFmtId="0" fontId="20" fillId="12" borderId="0" xfId="0" applyFont="1" applyFill="1" applyAlignment="1">
      <alignment horizontal="right"/>
    </xf>
    <xf numFmtId="0" fontId="8" fillId="12" borderId="0" xfId="0" applyFont="1" applyFill="1" applyAlignment="1">
      <alignment horizontal="right" vertical="center"/>
    </xf>
    <xf numFmtId="43" fontId="8" fillId="12" borderId="0" xfId="1" applyFont="1" applyFill="1" applyAlignment="1">
      <alignment horizontal="right" vertical="center"/>
    </xf>
    <xf numFmtId="43" fontId="21" fillId="12" borderId="0" xfId="1" applyFont="1" applyFill="1" applyAlignment="1">
      <alignment horizontal="center" vertical="center"/>
    </xf>
    <xf numFmtId="0" fontId="0" fillId="5" borderId="14" xfId="0" applyFill="1" applyBorder="1" applyAlignment="1">
      <alignment wrapText="1"/>
    </xf>
    <xf numFmtId="0" fontId="0" fillId="5" borderId="15" xfId="0" applyFill="1" applyBorder="1" applyAlignment="1">
      <alignment horizontal="right" wrapText="1"/>
    </xf>
    <xf numFmtId="167" fontId="6" fillId="0" borderId="0" xfId="1" applyNumberFormat="1" applyFont="1" applyAlignment="1">
      <alignment horizontal="right"/>
    </xf>
    <xf numFmtId="0" fontId="17" fillId="13" borderId="0" xfId="0" applyFont="1" applyFill="1" applyAlignment="1">
      <alignment wrapText="1"/>
    </xf>
    <xf numFmtId="0" fontId="17" fillId="13" borderId="0" xfId="0" applyFont="1" applyFill="1" applyAlignment="1">
      <alignment horizontal="center" wrapText="1"/>
    </xf>
    <xf numFmtId="0" fontId="18" fillId="13" borderId="0" xfId="0" applyFont="1" applyFill="1"/>
    <xf numFmtId="43" fontId="17" fillId="13" borderId="0" xfId="1" applyFont="1" applyFill="1" applyBorder="1" applyAlignment="1">
      <alignment horizontal="right" wrapText="1"/>
    </xf>
    <xf numFmtId="0" fontId="20" fillId="13" borderId="0" xfId="0" applyFont="1" applyFill="1"/>
    <xf numFmtId="0" fontId="20" fillId="13" borderId="0" xfId="0" applyFont="1" applyFill="1" applyAlignment="1">
      <alignment horizontal="center"/>
    </xf>
    <xf numFmtId="0" fontId="20" fillId="13" borderId="0" xfId="0" applyFont="1" applyFill="1" applyAlignment="1">
      <alignment horizontal="right"/>
    </xf>
    <xf numFmtId="0" fontId="8" fillId="13" borderId="0" xfId="0" applyFont="1" applyFill="1" applyAlignment="1">
      <alignment horizontal="right" vertical="center"/>
    </xf>
    <xf numFmtId="43" fontId="8" fillId="13" borderId="0" xfId="1" applyFont="1" applyFill="1" applyAlignment="1">
      <alignment horizontal="right" vertical="center"/>
    </xf>
    <xf numFmtId="43" fontId="21" fillId="13" borderId="0" xfId="1" applyFont="1" applyFill="1" applyAlignment="1">
      <alignment horizontal="center" vertical="center"/>
    </xf>
    <xf numFmtId="0" fontId="0" fillId="0" borderId="0" xfId="0" applyAlignment="1">
      <alignment wrapText="1"/>
    </xf>
    <xf numFmtId="0" fontId="20" fillId="13" borderId="0" xfId="0" applyFont="1" applyFill="1" applyAlignment="1">
      <alignment wrapText="1"/>
    </xf>
    <xf numFmtId="0" fontId="20" fillId="14" borderId="0" xfId="0" applyFont="1" applyFill="1"/>
    <xf numFmtId="0" fontId="20" fillId="14" borderId="0" xfId="0" applyFont="1" applyFill="1" applyAlignment="1">
      <alignment horizontal="center"/>
    </xf>
    <xf numFmtId="0" fontId="20" fillId="14" borderId="0" xfId="0" applyFont="1" applyFill="1" applyAlignment="1">
      <alignment wrapText="1"/>
    </xf>
    <xf numFmtId="0" fontId="20" fillId="14" borderId="0" xfId="0" applyFont="1" applyFill="1" applyAlignment="1">
      <alignment horizontal="right"/>
    </xf>
    <xf numFmtId="0" fontId="8" fillId="14" borderId="0" xfId="0" applyFont="1" applyFill="1" applyAlignment="1">
      <alignment horizontal="right" vertical="center"/>
    </xf>
    <xf numFmtId="43" fontId="8" fillId="14" borderId="0" xfId="1" applyFont="1" applyFill="1" applyAlignment="1">
      <alignment horizontal="right" vertical="center"/>
    </xf>
    <xf numFmtId="43" fontId="21" fillId="14" borderId="0" xfId="1" applyFont="1" applyFill="1" applyAlignment="1">
      <alignment horizontal="center" vertical="center"/>
    </xf>
    <xf numFmtId="0" fontId="17" fillId="14" borderId="0" xfId="0" applyFont="1" applyFill="1" applyAlignment="1">
      <alignment wrapText="1"/>
    </xf>
    <xf numFmtId="0" fontId="17" fillId="14" borderId="0" xfId="0" applyFont="1" applyFill="1" applyAlignment="1">
      <alignment horizontal="center" wrapText="1"/>
    </xf>
    <xf numFmtId="0" fontId="18" fillId="14" borderId="0" xfId="0" applyFont="1" applyFill="1"/>
    <xf numFmtId="43" fontId="17" fillId="14" borderId="0" xfId="1" applyFont="1" applyFill="1" applyBorder="1" applyAlignment="1">
      <alignment horizontal="right" wrapText="1"/>
    </xf>
    <xf numFmtId="0" fontId="20" fillId="15" borderId="0" xfId="0" applyFont="1" applyFill="1"/>
    <xf numFmtId="0" fontId="20" fillId="15" borderId="0" xfId="0" applyFont="1" applyFill="1" applyAlignment="1">
      <alignment horizontal="center"/>
    </xf>
    <xf numFmtId="0" fontId="20" fillId="15" borderId="0" xfId="0" applyFont="1" applyFill="1" applyAlignment="1">
      <alignment wrapText="1"/>
    </xf>
    <xf numFmtId="0" fontId="20" fillId="15" borderId="0" xfId="0" applyFont="1" applyFill="1" applyAlignment="1">
      <alignment horizontal="right"/>
    </xf>
    <xf numFmtId="0" fontId="8" fillId="15" borderId="0" xfId="0" applyFont="1" applyFill="1" applyAlignment="1">
      <alignment horizontal="right" vertical="center"/>
    </xf>
    <xf numFmtId="43" fontId="8" fillId="15" borderId="0" xfId="1" applyFont="1" applyFill="1" applyAlignment="1">
      <alignment horizontal="right" vertical="center"/>
    </xf>
    <xf numFmtId="43" fontId="21" fillId="15" borderId="0" xfId="1" applyFont="1" applyFill="1" applyAlignment="1">
      <alignment horizontal="center" vertical="center"/>
    </xf>
    <xf numFmtId="0" fontId="17" fillId="15" borderId="0" xfId="0" applyFont="1" applyFill="1" applyAlignment="1">
      <alignment wrapText="1"/>
    </xf>
    <xf numFmtId="0" fontId="17" fillId="15" borderId="0" xfId="0" applyFont="1" applyFill="1" applyAlignment="1">
      <alignment horizontal="center" wrapText="1"/>
    </xf>
    <xf numFmtId="0" fontId="18" fillId="15" borderId="0" xfId="0" applyFont="1" applyFill="1"/>
    <xf numFmtId="43" fontId="17" fillId="15" borderId="0" xfId="1" applyFont="1" applyFill="1" applyBorder="1" applyAlignment="1">
      <alignment horizontal="right" wrapText="1"/>
    </xf>
    <xf numFmtId="0" fontId="0" fillId="5" borderId="0" xfId="0" applyFill="1" applyAlignment="1">
      <alignment vertical="top"/>
    </xf>
    <xf numFmtId="0" fontId="0" fillId="5" borderId="0" xfId="0" applyFill="1" applyAlignment="1">
      <alignment vertical="top" wrapText="1"/>
    </xf>
    <xf numFmtId="0" fontId="0" fillId="5" borderId="0" xfId="0" applyFill="1" applyAlignment="1">
      <alignment horizontal="center" vertical="top"/>
    </xf>
    <xf numFmtId="0" fontId="17" fillId="16" borderId="0" xfId="0" applyFont="1" applyFill="1" applyAlignment="1">
      <alignment wrapText="1"/>
    </xf>
    <xf numFmtId="0" fontId="17" fillId="16" borderId="0" xfId="0" applyFont="1" applyFill="1" applyAlignment="1">
      <alignment horizontal="center" wrapText="1"/>
    </xf>
    <xf numFmtId="0" fontId="18" fillId="16" borderId="0" xfId="0" applyFont="1" applyFill="1"/>
    <xf numFmtId="43" fontId="17" fillId="16" borderId="0" xfId="1" applyFont="1" applyFill="1" applyBorder="1" applyAlignment="1">
      <alignment horizontal="right" wrapText="1"/>
    </xf>
    <xf numFmtId="0" fontId="20" fillId="16" borderId="0" xfId="0" applyFont="1" applyFill="1"/>
    <xf numFmtId="0" fontId="20" fillId="16" borderId="0" xfId="0" applyFont="1" applyFill="1" applyAlignment="1">
      <alignment horizontal="center"/>
    </xf>
    <xf numFmtId="0" fontId="20" fillId="16" borderId="0" xfId="0" applyFont="1" applyFill="1" applyAlignment="1">
      <alignment wrapText="1"/>
    </xf>
    <xf numFmtId="0" fontId="20" fillId="16" borderId="0" xfId="0" applyFont="1" applyFill="1" applyAlignment="1">
      <alignment horizontal="right"/>
    </xf>
    <xf numFmtId="0" fontId="8" fillId="16" borderId="0" xfId="0" applyFont="1" applyFill="1" applyAlignment="1">
      <alignment horizontal="right" vertical="center"/>
    </xf>
    <xf numFmtId="43" fontId="8" fillId="16" borderId="0" xfId="1" applyFont="1" applyFill="1" applyAlignment="1">
      <alignment horizontal="right" vertical="center"/>
    </xf>
    <xf numFmtId="43" fontId="21" fillId="16" borderId="0" xfId="1" applyFont="1" applyFill="1" applyAlignment="1">
      <alignment horizontal="center" vertical="center"/>
    </xf>
    <xf numFmtId="0" fontId="0" fillId="4" borderId="7" xfId="0" applyFill="1" applyBorder="1" applyAlignment="1">
      <alignment horizontal="right"/>
    </xf>
    <xf numFmtId="0" fontId="0" fillId="4" borderId="9" xfId="0" applyFill="1" applyBorder="1" applyAlignment="1">
      <alignment horizontal="right"/>
    </xf>
    <xf numFmtId="0" fontId="0" fillId="5" borderId="8" xfId="0" applyFill="1" applyBorder="1" applyAlignment="1">
      <alignment vertical="top"/>
    </xf>
    <xf numFmtId="0" fontId="0" fillId="4" borderId="12" xfId="0" applyFill="1" applyBorder="1" applyAlignment="1">
      <alignment horizontal="right"/>
    </xf>
    <xf numFmtId="0" fontId="0" fillId="23" borderId="5" xfId="0" applyFill="1" applyBorder="1" applyAlignment="1">
      <alignment vertical="top"/>
    </xf>
    <xf numFmtId="0" fontId="0" fillId="23" borderId="6" xfId="0" applyFill="1" applyBorder="1" applyAlignment="1">
      <alignment vertical="top" wrapText="1"/>
    </xf>
    <xf numFmtId="0" fontId="0" fillId="23" borderId="6" xfId="0" applyFill="1" applyBorder="1" applyAlignment="1">
      <alignment horizontal="center" vertical="top"/>
    </xf>
    <xf numFmtId="0" fontId="0" fillId="23" borderId="6" xfId="0" applyFill="1" applyBorder="1" applyAlignment="1">
      <alignment vertical="top"/>
    </xf>
    <xf numFmtId="0" fontId="0" fillId="23" borderId="8" xfId="0" applyFill="1" applyBorder="1"/>
    <xf numFmtId="0" fontId="0" fillId="23" borderId="0" xfId="0" applyFill="1"/>
    <xf numFmtId="0" fontId="0" fillId="23" borderId="0" xfId="0" applyFill="1" applyAlignment="1">
      <alignment horizontal="center"/>
    </xf>
    <xf numFmtId="0" fontId="0" fillId="23" borderId="0" xfId="0" applyFill="1" applyAlignment="1">
      <alignment wrapText="1"/>
    </xf>
    <xf numFmtId="0" fontId="0" fillId="23" borderId="8" xfId="0" applyFill="1" applyBorder="1" applyAlignment="1">
      <alignment vertical="top"/>
    </xf>
    <xf numFmtId="0" fontId="0" fillId="23" borderId="0" xfId="0" applyFill="1" applyAlignment="1">
      <alignment vertical="top" wrapText="1"/>
    </xf>
    <xf numFmtId="0" fontId="0" fillId="23" borderId="0" xfId="0" applyFill="1" applyAlignment="1">
      <alignment horizontal="center" vertical="top"/>
    </xf>
    <xf numFmtId="0" fontId="0" fillId="23" borderId="0" xfId="0" applyFill="1" applyAlignment="1">
      <alignment vertical="top"/>
    </xf>
    <xf numFmtId="0" fontId="0" fillId="23" borderId="10" xfId="0" applyFill="1" applyBorder="1"/>
    <xf numFmtId="0" fontId="0" fillId="23" borderId="11" xfId="0" applyFill="1" applyBorder="1"/>
    <xf numFmtId="0" fontId="0" fillId="23" borderId="11" xfId="0" applyFill="1" applyBorder="1" applyAlignment="1">
      <alignment horizontal="center"/>
    </xf>
    <xf numFmtId="0" fontId="0" fillId="23" borderId="11" xfId="0" applyFill="1" applyBorder="1" applyAlignment="1">
      <alignment wrapText="1"/>
    </xf>
    <xf numFmtId="0" fontId="17" fillId="17" borderId="0" xfId="0" applyFont="1" applyFill="1" applyAlignment="1">
      <alignment wrapText="1"/>
    </xf>
    <xf numFmtId="0" fontId="17" fillId="17" borderId="0" xfId="0" applyFont="1" applyFill="1" applyAlignment="1">
      <alignment horizontal="center" wrapText="1"/>
    </xf>
    <xf numFmtId="0" fontId="18" fillId="17" borderId="0" xfId="0" applyFont="1" applyFill="1"/>
    <xf numFmtId="43" fontId="17" fillId="17" borderId="0" xfId="1" applyFont="1" applyFill="1" applyBorder="1" applyAlignment="1">
      <alignment horizontal="right" wrapText="1"/>
    </xf>
    <xf numFmtId="0" fontId="20" fillId="17" borderId="0" xfId="0" applyFont="1" applyFill="1"/>
    <xf numFmtId="0" fontId="20" fillId="17" borderId="0" xfId="0" applyFont="1" applyFill="1" applyAlignment="1">
      <alignment horizontal="center"/>
    </xf>
    <xf numFmtId="0" fontId="20" fillId="17" borderId="0" xfId="0" applyFont="1" applyFill="1" applyAlignment="1">
      <alignment wrapText="1"/>
    </xf>
    <xf numFmtId="0" fontId="20" fillId="17" borderId="0" xfId="0" applyFont="1" applyFill="1" applyAlignment="1">
      <alignment horizontal="right"/>
    </xf>
    <xf numFmtId="0" fontId="8" fillId="17" borderId="0" xfId="0" applyFont="1" applyFill="1" applyAlignment="1">
      <alignment horizontal="right" vertical="center"/>
    </xf>
    <xf numFmtId="43" fontId="8" fillId="17" borderId="0" xfId="1" applyFont="1" applyFill="1" applyAlignment="1">
      <alignment horizontal="right" vertical="center"/>
    </xf>
    <xf numFmtId="43" fontId="21" fillId="17" borderId="0" xfId="1" applyFont="1" applyFill="1" applyAlignment="1">
      <alignment horizontal="center" vertical="center"/>
    </xf>
    <xf numFmtId="0" fontId="0" fillId="0" borderId="5" xfId="0" applyBorder="1"/>
    <xf numFmtId="0" fontId="0" fillId="0" borderId="10" xfId="0" applyBorder="1"/>
    <xf numFmtId="0" fontId="26" fillId="0" borderId="5" xfId="0" applyFont="1" applyBorder="1" applyAlignment="1">
      <alignment horizontal="right"/>
    </xf>
    <xf numFmtId="0" fontId="25" fillId="0" borderId="10" xfId="0" applyFont="1" applyBorder="1" applyAlignment="1">
      <alignment horizontal="right"/>
    </xf>
    <xf numFmtId="43" fontId="7" fillId="0" borderId="7" xfId="1" applyFont="1" applyBorder="1"/>
    <xf numFmtId="43" fontId="0" fillId="0" borderId="9" xfId="1" applyFont="1" applyBorder="1" applyAlignment="1">
      <alignment vertical="center"/>
    </xf>
    <xf numFmtId="43" fontId="7" fillId="0" borderId="12" xfId="1" applyFont="1" applyBorder="1"/>
    <xf numFmtId="0" fontId="26" fillId="0" borderId="8" xfId="0" applyFont="1" applyBorder="1" applyAlignment="1">
      <alignment horizontal="right" vertical="center"/>
    </xf>
    <xf numFmtId="0" fontId="17" fillId="18" borderId="0" xfId="0" applyFont="1" applyFill="1" applyAlignment="1">
      <alignment wrapText="1"/>
    </xf>
    <xf numFmtId="0" fontId="17" fillId="18" borderId="0" xfId="0" applyFont="1" applyFill="1" applyAlignment="1">
      <alignment horizontal="center" wrapText="1"/>
    </xf>
    <xf numFmtId="0" fontId="18" fillId="18" borderId="0" xfId="0" applyFont="1" applyFill="1"/>
    <xf numFmtId="43" fontId="17" fillId="18" borderId="0" xfId="1" applyFont="1" applyFill="1" applyBorder="1" applyAlignment="1">
      <alignment horizontal="right" wrapText="1"/>
    </xf>
    <xf numFmtId="0" fontId="20" fillId="18" borderId="0" xfId="0" applyFont="1" applyFill="1"/>
    <xf numFmtId="0" fontId="20" fillId="18" borderId="0" xfId="0" applyFont="1" applyFill="1" applyAlignment="1">
      <alignment horizontal="center"/>
    </xf>
    <xf numFmtId="0" fontId="20" fillId="18" borderId="0" xfId="0" applyFont="1" applyFill="1" applyAlignment="1">
      <alignment wrapText="1"/>
    </xf>
    <xf numFmtId="0" fontId="20" fillId="18" borderId="0" xfId="0" applyFont="1" applyFill="1" applyAlignment="1">
      <alignment horizontal="right"/>
    </xf>
    <xf numFmtId="0" fontId="8" fillId="18" borderId="0" xfId="0" applyFont="1" applyFill="1" applyAlignment="1">
      <alignment horizontal="right" vertical="center"/>
    </xf>
    <xf numFmtId="43" fontId="8" fillId="18" borderId="0" xfId="1" applyFont="1" applyFill="1" applyAlignment="1">
      <alignment horizontal="right" vertical="center"/>
    </xf>
    <xf numFmtId="43" fontId="21" fillId="18" borderId="0" xfId="1" applyFont="1" applyFill="1" applyAlignment="1">
      <alignment horizontal="center" vertical="center"/>
    </xf>
    <xf numFmtId="0" fontId="0" fillId="0" borderId="7" xfId="0" applyBorder="1"/>
    <xf numFmtId="0" fontId="0" fillId="0" borderId="9" xfId="0" applyBorder="1"/>
    <xf numFmtId="0" fontId="0" fillId="0" borderId="12" xfId="0" applyBorder="1"/>
    <xf numFmtId="0" fontId="0" fillId="23" borderId="7" xfId="0" applyFill="1" applyBorder="1" applyAlignment="1">
      <alignment horizontal="right" wrapText="1"/>
    </xf>
    <xf numFmtId="0" fontId="0" fillId="23" borderId="9" xfId="0" applyFill="1" applyBorder="1" applyAlignment="1">
      <alignment horizontal="right"/>
    </xf>
    <xf numFmtId="0" fontId="0" fillId="23" borderId="12" xfId="0" applyFill="1" applyBorder="1" applyAlignment="1">
      <alignment horizontal="right"/>
    </xf>
    <xf numFmtId="0" fontId="20" fillId="19" borderId="0" xfId="0" applyFont="1" applyFill="1"/>
    <xf numFmtId="0" fontId="20" fillId="19" borderId="0" xfId="0" applyFont="1" applyFill="1" applyAlignment="1">
      <alignment horizontal="center"/>
    </xf>
    <xf numFmtId="0" fontId="20" fillId="19" borderId="0" xfId="0" applyFont="1" applyFill="1" applyAlignment="1">
      <alignment wrapText="1"/>
    </xf>
    <xf numFmtId="0" fontId="20" fillId="19" borderId="0" xfId="0" applyFont="1" applyFill="1" applyAlignment="1">
      <alignment horizontal="right"/>
    </xf>
    <xf numFmtId="0" fontId="8" fillId="19" borderId="0" xfId="0" applyFont="1" applyFill="1" applyAlignment="1">
      <alignment horizontal="right" vertical="center"/>
    </xf>
    <xf numFmtId="43" fontId="8" fillId="19" borderId="0" xfId="1" applyFont="1" applyFill="1" applyAlignment="1">
      <alignment horizontal="right" vertical="center"/>
    </xf>
    <xf numFmtId="43" fontId="21" fillId="19" borderId="0" xfId="1" applyFont="1" applyFill="1" applyAlignment="1">
      <alignment horizontal="center" vertical="center"/>
    </xf>
    <xf numFmtId="0" fontId="17" fillId="19" borderId="0" xfId="0" applyFont="1" applyFill="1" applyAlignment="1">
      <alignment wrapText="1"/>
    </xf>
    <xf numFmtId="0" fontId="17" fillId="19" borderId="0" xfId="0" applyFont="1" applyFill="1" applyAlignment="1">
      <alignment horizontal="center" wrapText="1"/>
    </xf>
    <xf numFmtId="0" fontId="18" fillId="19" borderId="0" xfId="0" applyFont="1" applyFill="1"/>
    <xf numFmtId="43" fontId="17" fillId="19" borderId="0" xfId="1" applyFont="1" applyFill="1" applyBorder="1" applyAlignment="1">
      <alignment horizontal="right" wrapText="1"/>
    </xf>
    <xf numFmtId="0" fontId="17" fillId="20" borderId="0" xfId="0" applyFont="1" applyFill="1" applyAlignment="1">
      <alignment wrapText="1"/>
    </xf>
    <xf numFmtId="0" fontId="17" fillId="20" borderId="0" xfId="0" applyFont="1" applyFill="1" applyAlignment="1">
      <alignment horizontal="center" wrapText="1"/>
    </xf>
    <xf numFmtId="0" fontId="18" fillId="20" borderId="0" xfId="0" applyFont="1" applyFill="1"/>
    <xf numFmtId="43" fontId="17" fillId="20" borderId="0" xfId="1" applyFont="1" applyFill="1" applyBorder="1" applyAlignment="1">
      <alignment horizontal="right" wrapText="1"/>
    </xf>
    <xf numFmtId="0" fontId="20" fillId="20" borderId="0" xfId="0" applyFont="1" applyFill="1"/>
    <xf numFmtId="0" fontId="20" fillId="20" borderId="0" xfId="0" applyFont="1" applyFill="1" applyAlignment="1">
      <alignment horizontal="center"/>
    </xf>
    <xf numFmtId="0" fontId="20" fillId="20" borderId="0" xfId="0" applyFont="1" applyFill="1" applyAlignment="1">
      <alignment wrapText="1"/>
    </xf>
    <xf numFmtId="0" fontId="20" fillId="20" borderId="0" xfId="0" applyFont="1" applyFill="1" applyAlignment="1">
      <alignment horizontal="right"/>
    </xf>
    <xf numFmtId="0" fontId="8" fillId="20" borderId="0" xfId="0" applyFont="1" applyFill="1" applyAlignment="1">
      <alignment horizontal="right" vertical="center"/>
    </xf>
    <xf numFmtId="43" fontId="8" fillId="20" borderId="0" xfId="1" applyFont="1" applyFill="1" applyAlignment="1">
      <alignment horizontal="right" vertical="center"/>
    </xf>
    <xf numFmtId="43" fontId="21" fillId="20" borderId="0" xfId="1" applyFont="1" applyFill="1" applyAlignment="1">
      <alignment horizontal="center" vertical="center"/>
    </xf>
    <xf numFmtId="0" fontId="20" fillId="21" borderId="0" xfId="0" applyFont="1" applyFill="1"/>
    <xf numFmtId="0" fontId="20" fillId="21" borderId="0" xfId="0" applyFont="1" applyFill="1" applyAlignment="1">
      <alignment horizontal="center"/>
    </xf>
    <xf numFmtId="0" fontId="20" fillId="21" borderId="0" xfId="0" applyFont="1" applyFill="1" applyAlignment="1">
      <alignment wrapText="1"/>
    </xf>
    <xf numFmtId="0" fontId="20" fillId="21" borderId="0" xfId="0" applyFont="1" applyFill="1" applyAlignment="1">
      <alignment horizontal="right"/>
    </xf>
    <xf numFmtId="0" fontId="8" fillId="21" borderId="0" xfId="0" applyFont="1" applyFill="1" applyAlignment="1">
      <alignment horizontal="right" vertical="center"/>
    </xf>
    <xf numFmtId="43" fontId="8" fillId="21" borderId="0" xfId="1" applyFont="1" applyFill="1" applyAlignment="1">
      <alignment horizontal="right" vertical="center"/>
    </xf>
    <xf numFmtId="43" fontId="21" fillId="21" borderId="0" xfId="1" applyFont="1" applyFill="1" applyAlignment="1">
      <alignment horizontal="center" vertical="center"/>
    </xf>
    <xf numFmtId="0" fontId="17" fillId="21" borderId="0" xfId="0" applyFont="1" applyFill="1" applyAlignment="1">
      <alignment wrapText="1"/>
    </xf>
    <xf numFmtId="0" fontId="17" fillId="21" borderId="0" xfId="0" applyFont="1" applyFill="1" applyAlignment="1">
      <alignment horizontal="center" wrapText="1"/>
    </xf>
    <xf numFmtId="0" fontId="18" fillId="21" borderId="0" xfId="0" applyFont="1" applyFill="1"/>
    <xf numFmtId="43" fontId="17" fillId="21" borderId="0" xfId="1" applyFont="1" applyFill="1" applyBorder="1" applyAlignment="1">
      <alignment horizontal="right" wrapText="1"/>
    </xf>
    <xf numFmtId="43" fontId="7" fillId="0" borderId="0" xfId="0" applyNumberFormat="1" applyFont="1"/>
    <xf numFmtId="0" fontId="17" fillId="22" borderId="0" xfId="0" applyFont="1" applyFill="1" applyAlignment="1">
      <alignment wrapText="1"/>
    </xf>
    <xf numFmtId="0" fontId="17" fillId="22" borderId="0" xfId="0" applyFont="1" applyFill="1" applyAlignment="1">
      <alignment horizontal="center" wrapText="1"/>
    </xf>
    <xf numFmtId="0" fontId="18" fillId="22" borderId="0" xfId="0" applyFont="1" applyFill="1"/>
    <xf numFmtId="43" fontId="17" fillId="22" borderId="0" xfId="1" applyFont="1" applyFill="1" applyBorder="1" applyAlignment="1">
      <alignment horizontal="right" wrapText="1"/>
    </xf>
    <xf numFmtId="0" fontId="20" fillId="22" borderId="0" xfId="0" applyFont="1" applyFill="1"/>
    <xf numFmtId="0" fontId="20" fillId="22" borderId="0" xfId="0" applyFont="1" applyFill="1" applyAlignment="1">
      <alignment horizontal="center"/>
    </xf>
    <xf numFmtId="0" fontId="20" fillId="22" borderId="0" xfId="0" applyFont="1" applyFill="1" applyAlignment="1">
      <alignment wrapText="1"/>
    </xf>
    <xf numFmtId="0" fontId="20" fillId="22" borderId="0" xfId="0" applyFont="1" applyFill="1" applyAlignment="1">
      <alignment horizontal="right"/>
    </xf>
    <xf numFmtId="0" fontId="8" fillId="22" borderId="0" xfId="0" applyFont="1" applyFill="1" applyAlignment="1">
      <alignment horizontal="right" vertical="center"/>
    </xf>
    <xf numFmtId="43" fontId="8" fillId="22" borderId="0" xfId="1" applyFont="1" applyFill="1" applyAlignment="1">
      <alignment horizontal="right" vertical="center"/>
    </xf>
    <xf numFmtId="43" fontId="21" fillId="22" borderId="0" xfId="1" applyFont="1" applyFill="1" applyAlignment="1">
      <alignment horizontal="center" vertical="center"/>
    </xf>
    <xf numFmtId="0" fontId="0" fillId="4" borderId="5" xfId="0" applyFill="1" applyBorder="1" applyAlignment="1">
      <alignment vertical="top"/>
    </xf>
    <xf numFmtId="0" fontId="0" fillId="4" borderId="6" xfId="0" applyFill="1" applyBorder="1" applyAlignment="1">
      <alignment vertical="top" wrapText="1"/>
    </xf>
    <xf numFmtId="0" fontId="0" fillId="4" borderId="6" xfId="0" applyFill="1" applyBorder="1" applyAlignment="1">
      <alignment horizontal="center" vertical="top"/>
    </xf>
    <xf numFmtId="0" fontId="0" fillId="4" borderId="6" xfId="0" applyFill="1" applyBorder="1" applyAlignment="1">
      <alignment vertical="top"/>
    </xf>
    <xf numFmtId="0" fontId="0" fillId="4" borderId="6" xfId="0" applyFill="1" applyBorder="1" applyAlignment="1">
      <alignment horizontal="left" vertical="top" wrapText="1"/>
    </xf>
    <xf numFmtId="0" fontId="0" fillId="4" borderId="11" xfId="0" applyFill="1" applyBorder="1" applyAlignment="1">
      <alignment wrapText="1"/>
    </xf>
    <xf numFmtId="0" fontId="0" fillId="4" borderId="13" xfId="0" applyFill="1" applyBorder="1" applyAlignment="1">
      <alignment vertical="top"/>
    </xf>
    <xf numFmtId="0" fontId="0" fillId="4" borderId="14" xfId="0" applyFill="1" applyBorder="1" applyAlignment="1">
      <alignment vertical="top" wrapText="1"/>
    </xf>
    <xf numFmtId="0" fontId="0" fillId="4" borderId="14" xfId="0" applyFill="1" applyBorder="1" applyAlignment="1">
      <alignment vertical="top"/>
    </xf>
    <xf numFmtId="0" fontId="0" fillId="4" borderId="15" xfId="0" applyFill="1" applyBorder="1" applyAlignment="1">
      <alignment horizontal="right" wrapText="1"/>
    </xf>
    <xf numFmtId="0" fontId="0" fillId="4" borderId="14" xfId="0" applyFill="1" applyBorder="1" applyAlignment="1">
      <alignment horizontal="center" vertical="top"/>
    </xf>
    <xf numFmtId="0" fontId="0" fillId="5" borderId="14" xfId="0" applyFill="1" applyBorder="1" applyAlignment="1">
      <alignment horizontal="right" wrapText="1" shrinkToFit="1"/>
    </xf>
    <xf numFmtId="0" fontId="27" fillId="0" borderId="0" xfId="0" applyFont="1"/>
    <xf numFmtId="0" fontId="28" fillId="0" borderId="0" xfId="0" applyFont="1" applyAlignment="1">
      <alignment vertical="center"/>
    </xf>
    <xf numFmtId="0" fontId="28" fillId="0" borderId="0" xfId="0" applyFont="1"/>
    <xf numFmtId="43" fontId="15" fillId="22" borderId="0" xfId="1" applyFont="1" applyFill="1" applyAlignment="1">
      <alignment horizontal="left" vertical="center"/>
    </xf>
    <xf numFmtId="0" fontId="15" fillId="7" borderId="0" xfId="3" applyFont="1" applyFill="1" applyAlignment="1">
      <alignment horizontal="center" vertical="center"/>
    </xf>
    <xf numFmtId="0" fontId="15" fillId="7" borderId="0" xfId="3" applyFont="1" applyFill="1" applyAlignment="1">
      <alignment horizontal="left" vertical="center"/>
    </xf>
    <xf numFmtId="0" fontId="15" fillId="8" borderId="0" xfId="3" applyFont="1" applyFill="1" applyAlignment="1">
      <alignment horizontal="center" vertical="center"/>
    </xf>
    <xf numFmtId="0" fontId="15" fillId="8" borderId="0" xfId="3" applyFont="1" applyFill="1" applyAlignment="1">
      <alignment horizontal="left" vertical="center"/>
    </xf>
    <xf numFmtId="0" fontId="15" fillId="9" borderId="0" xfId="3" applyFont="1" applyFill="1" applyAlignment="1">
      <alignment horizontal="center" vertical="center"/>
    </xf>
    <xf numFmtId="0" fontId="15" fillId="9" borderId="0" xfId="3" applyFont="1" applyFill="1" applyAlignment="1">
      <alignment horizontal="left" vertical="center"/>
    </xf>
    <xf numFmtId="0" fontId="15" fillId="10" borderId="0" xfId="3" applyFont="1" applyFill="1" applyAlignment="1">
      <alignment horizontal="center" vertical="center"/>
    </xf>
    <xf numFmtId="0" fontId="15" fillId="10" borderId="0" xfId="3" applyFont="1" applyFill="1" applyAlignment="1">
      <alignment horizontal="left" vertical="center"/>
    </xf>
    <xf numFmtId="0" fontId="15" fillId="11" borderId="0" xfId="3" applyFont="1" applyFill="1" applyAlignment="1">
      <alignment horizontal="center" vertical="center"/>
    </xf>
    <xf numFmtId="0" fontId="15" fillId="11" borderId="0" xfId="3" applyFont="1" applyFill="1" applyAlignment="1">
      <alignment horizontal="left" vertical="center"/>
    </xf>
    <xf numFmtId="0" fontId="15" fillId="12" borderId="0" xfId="3" applyFont="1" applyFill="1" applyAlignment="1">
      <alignment horizontal="center" vertical="center"/>
    </xf>
    <xf numFmtId="0" fontId="15" fillId="12" borderId="0" xfId="3" applyFont="1" applyFill="1" applyAlignment="1">
      <alignment horizontal="left" vertical="center"/>
    </xf>
    <xf numFmtId="0" fontId="15" fillId="13" borderId="0" xfId="3" applyFont="1" applyFill="1" applyAlignment="1">
      <alignment horizontal="center" vertical="center"/>
    </xf>
    <xf numFmtId="0" fontId="15" fillId="13" borderId="0" xfId="3" applyFont="1" applyFill="1" applyAlignment="1">
      <alignment horizontal="left" vertical="center"/>
    </xf>
    <xf numFmtId="0" fontId="15" fillId="14" borderId="0" xfId="3" applyFont="1" applyFill="1" applyAlignment="1">
      <alignment horizontal="center" vertical="center"/>
    </xf>
    <xf numFmtId="0" fontId="15" fillId="14" borderId="0" xfId="3" applyFont="1" applyFill="1" applyAlignment="1">
      <alignment horizontal="left" vertical="center"/>
    </xf>
    <xf numFmtId="0" fontId="15" fillId="15" borderId="0" xfId="3" applyFont="1" applyFill="1" applyAlignment="1">
      <alignment horizontal="center" vertical="center"/>
    </xf>
    <xf numFmtId="0" fontId="15" fillId="15" borderId="0" xfId="3" applyFont="1" applyFill="1" applyAlignment="1">
      <alignment horizontal="left" vertical="center"/>
    </xf>
    <xf numFmtId="0" fontId="15" fillId="16" borderId="0" xfId="3" applyFont="1" applyFill="1" applyAlignment="1">
      <alignment horizontal="center" vertical="center"/>
    </xf>
    <xf numFmtId="0" fontId="15" fillId="16" borderId="0" xfId="3" applyFont="1" applyFill="1" applyAlignment="1">
      <alignment horizontal="left" vertical="center"/>
    </xf>
    <xf numFmtId="0" fontId="15" fillId="17" borderId="0" xfId="3" applyFont="1" applyFill="1" applyAlignment="1">
      <alignment horizontal="center" vertical="center"/>
    </xf>
    <xf numFmtId="0" fontId="15" fillId="17" borderId="0" xfId="3" applyFont="1" applyFill="1" applyAlignment="1">
      <alignment horizontal="left" vertical="center"/>
    </xf>
    <xf numFmtId="0" fontId="15" fillId="18" borderId="0" xfId="3" applyFont="1" applyFill="1" applyAlignment="1">
      <alignment horizontal="center" vertical="center"/>
    </xf>
    <xf numFmtId="0" fontId="15" fillId="18" borderId="0" xfId="3" applyFont="1" applyFill="1" applyAlignment="1">
      <alignment horizontal="left" vertical="center"/>
    </xf>
    <xf numFmtId="0" fontId="15" fillId="19" borderId="0" xfId="3" applyFont="1" applyFill="1" applyAlignment="1">
      <alignment horizontal="center" vertical="center"/>
    </xf>
    <xf numFmtId="0" fontId="15" fillId="19" borderId="0" xfId="3" applyFont="1" applyFill="1" applyAlignment="1">
      <alignment horizontal="left" vertical="center"/>
    </xf>
    <xf numFmtId="0" fontId="15" fillId="20" borderId="0" xfId="3" applyFont="1" applyFill="1" applyAlignment="1">
      <alignment horizontal="center" vertical="center"/>
    </xf>
    <xf numFmtId="0" fontId="15" fillId="20" borderId="0" xfId="3" applyFont="1" applyFill="1" applyAlignment="1">
      <alignment horizontal="left" vertical="center"/>
    </xf>
    <xf numFmtId="0" fontId="15" fillId="21" borderId="0" xfId="3" applyFont="1" applyFill="1" applyAlignment="1">
      <alignment horizontal="center" vertical="center"/>
    </xf>
    <xf numFmtId="0" fontId="15" fillId="21" borderId="0" xfId="3" applyFont="1" applyFill="1" applyAlignment="1">
      <alignment horizontal="left" vertical="center"/>
    </xf>
    <xf numFmtId="0" fontId="15" fillId="22" borderId="0" xfId="3" applyFont="1" applyFill="1" applyAlignment="1">
      <alignment horizontal="center" vertical="center"/>
    </xf>
    <xf numFmtId="0" fontId="15" fillId="22" borderId="0" xfId="3" applyFont="1" applyFill="1" applyAlignment="1">
      <alignment horizontal="left" vertical="center"/>
    </xf>
    <xf numFmtId="167" fontId="0" fillId="0" borderId="0" xfId="1" applyNumberFormat="1" applyFont="1"/>
    <xf numFmtId="167" fontId="0" fillId="0" borderId="0" xfId="0" applyNumberFormat="1"/>
    <xf numFmtId="43" fontId="0" fillId="0" borderId="0" xfId="1" applyFont="1" applyAlignment="1">
      <alignment wrapText="1"/>
    </xf>
    <xf numFmtId="43" fontId="0" fillId="0" borderId="0" xfId="0" applyNumberFormat="1" applyAlignment="1">
      <alignment wrapText="1"/>
    </xf>
    <xf numFmtId="43" fontId="0" fillId="24" borderId="0" xfId="1" applyFont="1" applyFill="1" applyAlignment="1">
      <alignment wrapText="1"/>
    </xf>
    <xf numFmtId="167" fontId="0" fillId="24" borderId="0" xfId="1" applyNumberFormat="1" applyFont="1" applyFill="1"/>
    <xf numFmtId="0" fontId="0" fillId="24" borderId="0" xfId="0" applyFill="1"/>
    <xf numFmtId="43" fontId="29" fillId="0" borderId="0" xfId="0" applyNumberFormat="1" applyFont="1" applyAlignment="1">
      <alignment horizontal="right"/>
    </xf>
    <xf numFmtId="0" fontId="30" fillId="0" borderId="0" xfId="0" applyFont="1" applyAlignment="1">
      <alignment horizontal="right"/>
    </xf>
    <xf numFmtId="43" fontId="4" fillId="0" borderId="11" xfId="0" applyNumberFormat="1" applyFont="1" applyBorder="1"/>
    <xf numFmtId="164" fontId="6" fillId="0" borderId="0" xfId="1" applyNumberFormat="1" applyFont="1" applyFill="1" applyAlignment="1">
      <alignment horizontal="right"/>
    </xf>
    <xf numFmtId="0" fontId="0" fillId="0" borderId="0" xfId="0" quotePrefix="1"/>
    <xf numFmtId="43" fontId="9" fillId="4" borderId="18" xfId="1" applyFont="1" applyFill="1" applyBorder="1" applyAlignment="1">
      <alignment horizontal="right"/>
    </xf>
    <xf numFmtId="0" fontId="9" fillId="0" borderId="0" xfId="0" applyFont="1"/>
    <xf numFmtId="0" fontId="9" fillId="0" borderId="0" xfId="0" applyFont="1" applyAlignment="1">
      <alignment horizontal="left"/>
    </xf>
    <xf numFmtId="164" fontId="9" fillId="0" borderId="0" xfId="1" applyNumberFormat="1" applyFont="1" applyFill="1" applyAlignment="1">
      <alignment horizontal="left" vertical="center"/>
    </xf>
    <xf numFmtId="0" fontId="9" fillId="0" borderId="11" xfId="3" applyFont="1" applyFill="1" applyBorder="1" applyAlignment="1">
      <alignment horizontal="right" vertical="center"/>
    </xf>
    <xf numFmtId="0" fontId="9" fillId="0" borderId="11" xfId="3" applyFont="1" applyFill="1" applyBorder="1" applyAlignment="1">
      <alignment horizontal="left" vertical="center"/>
    </xf>
    <xf numFmtId="0" fontId="9" fillId="0" borderId="0" xfId="3" applyFont="1" applyFill="1" applyAlignment="1">
      <alignment horizontal="left" vertical="center"/>
    </xf>
    <xf numFmtId="164" fontId="9" fillId="0" borderId="11" xfId="1" applyNumberFormat="1" applyFont="1" applyFill="1" applyBorder="1" applyAlignment="1">
      <alignment horizontal="left" vertical="center"/>
    </xf>
    <xf numFmtId="164" fontId="0" fillId="3" borderId="4" xfId="1" applyNumberFormat="1" applyFont="1" applyFill="1" applyBorder="1" applyProtection="1">
      <protection locked="0"/>
    </xf>
    <xf numFmtId="164" fontId="0" fillId="3" borderId="4" xfId="1" applyNumberFormat="1" applyFont="1" applyFill="1" applyBorder="1" applyAlignment="1" applyProtection="1">
      <alignment horizontal="center"/>
      <protection locked="0"/>
    </xf>
    <xf numFmtId="164" fontId="0" fillId="3" borderId="4" xfId="1" applyNumberFormat="1" applyFont="1" applyFill="1" applyBorder="1" applyAlignment="1" applyProtection="1">
      <protection locked="0"/>
    </xf>
    <xf numFmtId="43" fontId="0" fillId="3" borderId="4" xfId="1" applyFont="1" applyFill="1" applyBorder="1" applyProtection="1">
      <protection locked="0"/>
    </xf>
    <xf numFmtId="164" fontId="0" fillId="3" borderId="15" xfId="1" applyNumberFormat="1" applyFont="1" applyFill="1" applyBorder="1" applyProtection="1">
      <protection locked="0"/>
    </xf>
    <xf numFmtId="10" fontId="0" fillId="3" borderId="4" xfId="1" applyNumberFormat="1" applyFont="1" applyFill="1" applyBorder="1" applyProtection="1">
      <protection locked="0"/>
    </xf>
    <xf numFmtId="10" fontId="0" fillId="3" borderId="4" xfId="2" applyNumberFormat="1" applyFont="1" applyFill="1" applyBorder="1" applyProtection="1">
      <protection locked="0"/>
    </xf>
    <xf numFmtId="0" fontId="0" fillId="3" borderId="4" xfId="2" applyNumberFormat="1" applyFont="1" applyFill="1" applyBorder="1" applyProtection="1">
      <protection locked="0"/>
    </xf>
    <xf numFmtId="0" fontId="0" fillId="3" borderId="16" xfId="1" applyNumberFormat="1" applyFont="1" applyFill="1" applyBorder="1" applyAlignment="1" applyProtection="1">
      <alignment horizontal="center" vertical="center" shrinkToFit="1"/>
      <protection locked="0"/>
    </xf>
    <xf numFmtId="0" fontId="0" fillId="3" borderId="18" xfId="1" applyNumberFormat="1" applyFont="1" applyFill="1" applyBorder="1" applyAlignment="1" applyProtection="1">
      <alignment shrinkToFit="1"/>
      <protection locked="0"/>
    </xf>
    <xf numFmtId="10" fontId="0" fillId="3" borderId="4" xfId="1" applyNumberFormat="1" applyFont="1" applyFill="1" applyBorder="1" applyAlignment="1" applyProtection="1">
      <protection locked="0"/>
    </xf>
    <xf numFmtId="164" fontId="0" fillId="3" borderId="13" xfId="1" applyNumberFormat="1" applyFont="1" applyFill="1" applyBorder="1" applyAlignment="1" applyProtection="1">
      <protection locked="0"/>
    </xf>
    <xf numFmtId="164" fontId="0" fillId="3" borderId="10" xfId="1" applyNumberFormat="1" applyFont="1" applyFill="1" applyBorder="1" applyAlignment="1" applyProtection="1">
      <protection locked="0"/>
    </xf>
    <xf numFmtId="0" fontId="0" fillId="3" borderId="4" xfId="2" applyNumberFormat="1" applyFont="1" applyFill="1" applyBorder="1" applyAlignment="1" applyProtection="1">
      <alignment horizontal="center" vertical="center"/>
      <protection locked="0"/>
    </xf>
    <xf numFmtId="0" fontId="0" fillId="3" borderId="4" xfId="1" applyNumberFormat="1" applyFont="1" applyFill="1" applyBorder="1" applyProtection="1">
      <protection locked="0"/>
    </xf>
    <xf numFmtId="43" fontId="0" fillId="3" borderId="4" xfId="1" applyFont="1" applyFill="1" applyBorder="1" applyAlignment="1" applyProtection="1">
      <protection locked="0"/>
    </xf>
    <xf numFmtId="0" fontId="0" fillId="3" borderId="4" xfId="1" applyNumberFormat="1" applyFont="1" applyFill="1" applyBorder="1" applyAlignment="1" applyProtection="1">
      <alignment horizontal="center"/>
      <protection locked="0"/>
    </xf>
    <xf numFmtId="164" fontId="0" fillId="3" borderId="15" xfId="1" applyNumberFormat="1" applyFont="1" applyFill="1" applyBorder="1" applyAlignment="1" applyProtection="1">
      <protection locked="0"/>
    </xf>
    <xf numFmtId="0" fontId="15" fillId="25" borderId="0" xfId="3" applyFont="1" applyFill="1" applyAlignment="1">
      <alignment horizontal="right" vertical="center"/>
    </xf>
    <xf numFmtId="0" fontId="15" fillId="25" borderId="0" xfId="3" applyFont="1" applyFill="1" applyAlignment="1">
      <alignment horizontal="left" vertical="center"/>
    </xf>
    <xf numFmtId="10" fontId="7" fillId="0" borderId="0" xfId="0" applyNumberFormat="1" applyFont="1"/>
    <xf numFmtId="10" fontId="11" fillId="0" borderId="0" xfId="1" applyNumberFormat="1" applyFont="1" applyAlignment="1">
      <alignment horizontal="right"/>
    </xf>
    <xf numFmtId="43" fontId="9" fillId="5" borderId="4" xfId="1" applyFont="1" applyFill="1" applyBorder="1"/>
    <xf numFmtId="0" fontId="0" fillId="3" borderId="4" xfId="1" applyNumberFormat="1" applyFont="1" applyFill="1" applyBorder="1" applyAlignment="1" applyProtection="1">
      <protection locked="0"/>
    </xf>
    <xf numFmtId="0" fontId="0" fillId="5" borderId="0" xfId="0" applyFill="1" applyAlignment="1">
      <alignment horizontal="right" wrapText="1"/>
    </xf>
    <xf numFmtId="164" fontId="0" fillId="3" borderId="4" xfId="1" applyNumberFormat="1" applyFont="1" applyFill="1" applyBorder="1" applyAlignment="1" applyProtection="1">
      <alignment horizontal="center" vertical="center"/>
      <protection locked="0"/>
    </xf>
    <xf numFmtId="0" fontId="0" fillId="3" borderId="4" xfId="1" applyNumberFormat="1" applyFont="1" applyFill="1" applyBorder="1" applyAlignment="1" applyProtection="1">
      <alignment horizontal="left" vertical="center"/>
      <protection locked="0"/>
    </xf>
    <xf numFmtId="164" fontId="0" fillId="5" borderId="4" xfId="1" applyNumberFormat="1" applyFont="1" applyFill="1" applyBorder="1" applyProtection="1"/>
    <xf numFmtId="0" fontId="3" fillId="2" borderId="2" xfId="0" applyFont="1" applyFill="1" applyBorder="1" applyAlignment="1">
      <alignment horizontal="left"/>
    </xf>
    <xf numFmtId="43" fontId="9" fillId="4" borderId="16" xfId="1" applyFont="1" applyFill="1" applyBorder="1" applyAlignment="1">
      <alignment horizontal="right"/>
    </xf>
    <xf numFmtId="43" fontId="9" fillId="4" borderId="17" xfId="1" applyFont="1" applyFill="1" applyBorder="1" applyAlignment="1">
      <alignment horizontal="right"/>
    </xf>
    <xf numFmtId="43" fontId="9" fillId="4" borderId="18" xfId="1" applyFont="1" applyFill="1" applyBorder="1" applyAlignment="1">
      <alignment horizontal="right"/>
    </xf>
    <xf numFmtId="43" fontId="4" fillId="0" borderId="8" xfId="1" applyFont="1" applyFill="1" applyBorder="1" applyAlignment="1">
      <alignment horizontal="center"/>
    </xf>
    <xf numFmtId="43" fontId="4" fillId="0" borderId="10" xfId="1" applyFont="1" applyFill="1" applyBorder="1" applyAlignment="1">
      <alignment horizontal="center"/>
    </xf>
    <xf numFmtId="43" fontId="9" fillId="4" borderId="16" xfId="1" applyFont="1" applyFill="1" applyBorder="1"/>
    <xf numFmtId="43" fontId="9" fillId="4" borderId="17" xfId="1" applyFont="1" applyFill="1" applyBorder="1"/>
    <xf numFmtId="43" fontId="9" fillId="4" borderId="18" xfId="1" applyFont="1" applyFill="1" applyBorder="1"/>
    <xf numFmtId="43" fontId="4" fillId="0" borderId="5" xfId="1" applyFont="1" applyFill="1" applyBorder="1" applyAlignment="1">
      <alignment horizontal="center"/>
    </xf>
    <xf numFmtId="43" fontId="4" fillId="0" borderId="5" xfId="1" applyFont="1" applyBorder="1" applyAlignment="1">
      <alignment horizontal="center"/>
    </xf>
    <xf numFmtId="43" fontId="4" fillId="0" borderId="8" xfId="1" applyFont="1" applyBorder="1" applyAlignment="1">
      <alignment horizontal="center"/>
    </xf>
    <xf numFmtId="43" fontId="4" fillId="0" borderId="10" xfId="1" applyFont="1" applyBorder="1" applyAlignment="1">
      <alignment horizontal="center"/>
    </xf>
    <xf numFmtId="43" fontId="9" fillId="5" borderId="7" xfId="1" applyFont="1" applyFill="1" applyBorder="1" applyAlignment="1">
      <alignment horizontal="center"/>
    </xf>
    <xf numFmtId="43" fontId="9" fillId="5" borderId="9" xfId="1" applyFont="1" applyFill="1" applyBorder="1" applyAlignment="1">
      <alignment horizontal="center"/>
    </xf>
    <xf numFmtId="43" fontId="9" fillId="5" borderId="12" xfId="1" applyFont="1" applyFill="1" applyBorder="1" applyAlignment="1">
      <alignment horizontal="center"/>
    </xf>
    <xf numFmtId="0" fontId="0" fillId="5" borderId="6" xfId="0" applyFill="1" applyBorder="1" applyAlignment="1">
      <alignment wrapText="1"/>
    </xf>
    <xf numFmtId="0" fontId="0" fillId="5" borderId="11" xfId="0" applyFill="1" applyBorder="1" applyAlignment="1">
      <alignment wrapText="1"/>
    </xf>
    <xf numFmtId="0" fontId="0" fillId="5" borderId="6" xfId="0" applyFill="1" applyBorder="1" applyAlignment="1">
      <alignment horizontal="left" vertical="top" wrapText="1"/>
    </xf>
    <xf numFmtId="0" fontId="0" fillId="5" borderId="0" xfId="0" applyFill="1" applyAlignment="1">
      <alignment horizontal="left" vertical="top" wrapText="1"/>
    </xf>
    <xf numFmtId="0" fontId="0" fillId="5" borderId="11" xfId="0" applyFill="1" applyBorder="1" applyAlignment="1">
      <alignment horizontal="left" vertical="top" wrapText="1"/>
    </xf>
    <xf numFmtId="0" fontId="0" fillId="5" borderId="6" xfId="0" applyFill="1" applyBorder="1" applyAlignment="1">
      <alignment horizontal="left" wrapText="1"/>
    </xf>
    <xf numFmtId="0" fontId="0" fillId="5" borderId="11" xfId="0" applyFill="1" applyBorder="1" applyAlignment="1">
      <alignment horizontal="left" wrapText="1"/>
    </xf>
    <xf numFmtId="43" fontId="9" fillId="5" borderId="16" xfId="1" applyFont="1" applyFill="1" applyBorder="1" applyAlignment="1">
      <alignment horizontal="center"/>
    </xf>
    <xf numFmtId="43" fontId="9" fillId="5" borderId="18" xfId="1" applyFont="1" applyFill="1" applyBorder="1" applyAlignment="1">
      <alignment horizontal="center"/>
    </xf>
    <xf numFmtId="43" fontId="9" fillId="5" borderId="16" xfId="1" applyFont="1" applyFill="1" applyBorder="1"/>
    <xf numFmtId="43" fontId="9" fillId="5" borderId="17" xfId="1" applyFont="1" applyFill="1" applyBorder="1"/>
    <xf numFmtId="43" fontId="9" fillId="5" borderId="18" xfId="1" applyFont="1" applyFill="1" applyBorder="1"/>
    <xf numFmtId="43" fontId="9" fillId="5" borderId="17" xfId="1" applyFont="1" applyFill="1" applyBorder="1" applyAlignment="1">
      <alignment horizontal="center"/>
    </xf>
    <xf numFmtId="0" fontId="0" fillId="0" borderId="0" xfId="0" applyNumberFormat="1"/>
  </cellXfs>
  <cellStyles count="4">
    <cellStyle name="Comma" xfId="1" builtinId="3"/>
    <cellStyle name="Hyperlink" xfId="3" builtinId="8"/>
    <cellStyle name="Normal" xfId="0" builtinId="0"/>
    <cellStyle name="Percent" xfId="2" builtinId="5"/>
  </cellStyles>
  <dxfs count="60">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font>
        <strike val="0"/>
        <outline val="0"/>
        <shadow val="0"/>
        <u val="none"/>
        <vertAlign val="baseline"/>
        <sz val="11"/>
        <color theme="1"/>
        <name val="Times New Roman"/>
        <family val="1"/>
        <scheme val="none"/>
      </font>
      <fill>
        <patternFill patternType="none">
          <fgColor indexed="64"/>
          <bgColor auto="1"/>
        </patternFill>
      </fill>
    </dxf>
    <dxf>
      <font>
        <strike val="0"/>
        <outline val="0"/>
        <shadow val="0"/>
        <u val="none"/>
        <vertAlign val="baseline"/>
        <sz val="11"/>
        <color theme="1"/>
        <name val="Times New Roman"/>
        <family val="1"/>
        <scheme val="none"/>
      </font>
      <numFmt numFmtId="164" formatCode="_(* #,##0_);_(* \(#,##0\);_(* &quot;-&quot;??_);_(@_)"/>
      <fill>
        <patternFill patternType="none">
          <fgColor indexed="64"/>
          <bgColor auto="1"/>
        </patternFill>
      </fill>
    </dxf>
    <dxf>
      <font>
        <strike val="0"/>
        <outline val="0"/>
        <shadow val="0"/>
        <u val="none"/>
        <vertAlign val="baseline"/>
        <sz val="11"/>
        <color theme="1"/>
        <name val="Times New Roman"/>
        <family val="1"/>
        <scheme val="none"/>
      </font>
      <fill>
        <patternFill patternType="none">
          <fgColor indexed="64"/>
          <bgColor auto="1"/>
        </patternFill>
      </fill>
    </dxf>
    <dxf>
      <font>
        <strike val="0"/>
        <outline val="0"/>
        <shadow val="0"/>
        <u val="none"/>
        <vertAlign val="baseline"/>
        <sz val="11"/>
        <color theme="1"/>
        <name val="Times New Roman"/>
        <family val="1"/>
        <scheme val="none"/>
      </font>
      <fill>
        <patternFill patternType="none">
          <fgColor indexed="64"/>
          <bgColor auto="1"/>
        </patternFill>
      </fill>
    </dxf>
    <dxf>
      <font>
        <strike val="0"/>
        <outline val="0"/>
        <shadow val="0"/>
        <u val="none"/>
        <vertAlign val="baseline"/>
        <sz val="11"/>
        <color theme="1"/>
        <name val="Times New Roman"/>
        <family val="1"/>
        <scheme val="none"/>
      </font>
      <fill>
        <patternFill patternType="none">
          <fgColor indexed="64"/>
          <bgColor auto="1"/>
        </patternFill>
      </fill>
    </dxf>
    <dxf>
      <font>
        <strike val="0"/>
        <outline val="0"/>
        <shadow val="0"/>
        <u val="none"/>
        <vertAlign val="baseline"/>
        <sz val="11"/>
        <color theme="1"/>
        <name val="Times New Roman"/>
        <family val="1"/>
        <scheme val="none"/>
      </font>
      <numFmt numFmtId="164" formatCode="_(* #,##0_);_(* \(#,##0\);_(* &quot;-&quot;??_);_(@_)"/>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Times New Roman"/>
        <family val="1"/>
        <scheme val="none"/>
      </font>
      <numFmt numFmtId="164" formatCode="_(* #,##0_);_(* \(#,##0\);_(* &quot;-&quot;??_);_(@_)"/>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Times New Roman"/>
        <family val="1"/>
        <scheme val="none"/>
      </font>
      <fill>
        <patternFill patternType="none">
          <fgColor indexed="64"/>
          <bgColor auto="1"/>
        </patternFill>
      </fill>
    </dxf>
    <dxf>
      <font>
        <strike val="0"/>
        <outline val="0"/>
        <shadow val="0"/>
        <u val="none"/>
        <vertAlign val="baseline"/>
        <sz val="11"/>
        <color theme="1"/>
        <name val="Times New Roman"/>
        <family val="1"/>
        <scheme val="none"/>
      </font>
      <fill>
        <patternFill patternType="none">
          <fgColor indexed="64"/>
          <bgColor auto="1"/>
        </patternFill>
      </fill>
    </dxf>
    <dxf>
      <font>
        <strike val="0"/>
        <outline val="0"/>
        <shadow val="0"/>
        <u val="none"/>
        <vertAlign val="baseline"/>
        <sz val="11"/>
        <color theme="1"/>
        <name val="Times New Roman"/>
        <family val="1"/>
        <scheme val="none"/>
      </font>
      <fill>
        <patternFill patternType="none">
          <fgColor indexed="64"/>
          <bgColor auto="1"/>
        </patternFill>
      </fill>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font>
        <b val="0"/>
        <i val="0"/>
        <strike val="0"/>
        <condense val="0"/>
        <extend val="0"/>
        <outline val="0"/>
        <shadow val="0"/>
        <u val="none"/>
        <vertAlign val="baseline"/>
        <sz val="11"/>
        <color theme="1"/>
        <name val="Times New Roman"/>
        <family val="2"/>
        <scheme val="none"/>
      </font>
      <numFmt numFmtId="164" formatCode="_(* #,##0_);_(* \(#,##0\);_(* &quot;-&quot;??_);_(@_)"/>
      <alignment horizontal="right" vertical="bottom" textRotation="0" wrapText="0" indent="0" justifyLastLine="0" shrinkToFit="0" readingOrder="0"/>
    </dxf>
    <dxf>
      <font>
        <b/>
        <family val="1"/>
      </font>
      <alignment vertical="bottom" textRotation="0" wrapText="1" indent="0" justifyLastLine="0" shrinkToFit="0" readingOrder="0"/>
    </dxf>
    <dxf>
      <font>
        <b val="0"/>
        <i val="0"/>
        <strike val="0"/>
        <condense val="0"/>
        <extend val="0"/>
        <outline val="0"/>
        <shadow val="0"/>
        <u val="none"/>
        <vertAlign val="baseline"/>
        <sz val="11"/>
        <color theme="1"/>
        <name val="Times New Roman"/>
        <family val="2"/>
        <scheme val="none"/>
      </font>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Times New Roman"/>
        <family val="2"/>
        <scheme val="none"/>
      </font>
      <numFmt numFmtId="14" formatCode="0.00%"/>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2"/>
        <scheme val="none"/>
      </font>
      <numFmt numFmtId="14" formatCode="0.00%"/>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Times New Roman"/>
        <family val="2"/>
        <scheme val="none"/>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Times New Roman"/>
        <family val="2"/>
        <scheme val="none"/>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1"/>
        <color theme="1"/>
        <name val="Times New Roman"/>
        <family val="2"/>
        <scheme val="none"/>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Times New Roman"/>
        <family val="2"/>
        <scheme val="none"/>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Times New Roman"/>
        <family val="2"/>
        <scheme val="none"/>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Times New Roman"/>
        <family val="2"/>
        <scheme val="none"/>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Times New Roman"/>
        <family val="2"/>
        <scheme val="none"/>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left style="thin">
          <color theme="4" tint="0.39997558519241921"/>
        </left>
      </border>
    </dxf>
    <dxf>
      <font>
        <b val="0"/>
        <i val="0"/>
        <strike val="0"/>
        <condense val="0"/>
        <extend val="0"/>
        <outline val="0"/>
        <shadow val="0"/>
        <u val="none"/>
        <vertAlign val="baseline"/>
        <sz val="11"/>
        <color theme="1"/>
        <name val="Times New Roman"/>
        <family val="2"/>
        <scheme val="none"/>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Times New Roman"/>
        <family val="2"/>
        <scheme val="none"/>
      </font>
      <fill>
        <patternFill patternType="solid">
          <fgColor theme="4"/>
          <bgColor theme="4"/>
        </patternFill>
      </fill>
    </dxf>
    <dxf>
      <font>
        <b val="0"/>
        <i val="0"/>
        <strike val="0"/>
        <condense val="0"/>
        <extend val="0"/>
        <outline val="0"/>
        <shadow val="0"/>
        <u val="none"/>
        <vertAlign val="baseline"/>
        <sz val="11"/>
        <color theme="1"/>
        <name val="Times New Roman"/>
        <family val="2"/>
        <scheme val="none"/>
      </font>
      <fill>
        <patternFill patternType="none">
          <fgColor indexed="64"/>
          <bgColor indexed="65"/>
        </patternFill>
      </fill>
    </dxf>
    <dxf>
      <font>
        <b val="0"/>
        <i val="0"/>
        <strike val="0"/>
        <condense val="0"/>
        <extend val="0"/>
        <outline val="0"/>
        <shadow val="0"/>
        <u val="none"/>
        <vertAlign val="baseline"/>
        <sz val="11"/>
        <color theme="1"/>
        <name val="Times New Roman"/>
        <family val="2"/>
        <scheme val="none"/>
      </font>
      <fill>
        <patternFill patternType="none">
          <fgColor indexed="64"/>
          <bgColor indexed="65"/>
        </patternFill>
      </fill>
    </dxf>
    <dxf>
      <font>
        <b val="0"/>
        <i val="0"/>
        <strike val="0"/>
        <condense val="0"/>
        <extend val="0"/>
        <outline val="0"/>
        <shadow val="0"/>
        <u val="none"/>
        <vertAlign val="baseline"/>
        <sz val="11"/>
        <color theme="1"/>
        <name val="Times New Roman"/>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2"/>
        <scheme val="none"/>
      </font>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i val="0"/>
        <strike val="0"/>
        <condense val="0"/>
        <extend val="0"/>
        <outline val="0"/>
        <shadow val="0"/>
        <u val="none"/>
        <vertAlign val="baseline"/>
        <sz val="11"/>
        <color theme="0"/>
        <name val="Times New Roman"/>
        <family val="2"/>
        <scheme val="none"/>
      </font>
      <fill>
        <patternFill patternType="solid">
          <fgColor theme="4"/>
          <bgColor theme="4"/>
        </patternFill>
      </fill>
    </dxf>
    <dxf>
      <alignment horizontal="general" vertical="center" textRotation="0" indent="0" justifyLastLine="0" shrinkToFit="0" readingOrder="0"/>
    </dxf>
  </dxfs>
  <tableStyles count="0" defaultTableStyle="TableStyleMedium2" defaultPivotStyle="PivotStyleLight16"/>
  <colors>
    <mruColors>
      <color rgb="FF3F7E44"/>
      <color rgb="FFFD9D24"/>
      <color rgb="FF4C9F38"/>
      <color rgb="FFDDA63A"/>
      <color rgb="FF00689D"/>
      <color rgb="FFC5192D"/>
      <color rgb="FF0A97D9"/>
      <color rgb="FF26BDE2"/>
      <color rgb="FFFD6925"/>
      <color rgb="FFFCC3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pivotCacheDefinition" Target="pivotCache/pivotCacheDefinition9.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7.xml"/><Relationship Id="rId37" Type="http://schemas.openxmlformats.org/officeDocument/2006/relationships/theme" Target="theme/theme1.xml"/><Relationship Id="rId40" Type="http://schemas.openxmlformats.org/officeDocument/2006/relationships/sharedStrings" Target="sharedString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microsoft.com/office/2007/relationships/slicerCache" Target="slicerCaches/slicerCache1.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8.xml"/><Relationship Id="rId38" Type="http://schemas.openxmlformats.org/officeDocument/2006/relationships/connections" Target="connections.xml"/><Relationship Id="rId46" Type="http://schemas.openxmlformats.org/officeDocument/2006/relationships/customXml" Target="../customXml/item3.xml"/><Relationship Id="rId59" Type="http://schemas.openxmlformats.org/officeDocument/2006/relationships/customXml" Target="../customXml/item16.xml"/><Relationship Id="rId20" Type="http://schemas.openxmlformats.org/officeDocument/2006/relationships/worksheet" Target="worksheets/sheet20.xml"/><Relationship Id="rId41" Type="http://schemas.openxmlformats.org/officeDocument/2006/relationships/sheetMetadata" Target="metadata.xml"/><Relationship Id="rId54"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microsoft.com/office/2007/relationships/slicerCache" Target="slicerCaches/slicerCache2.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worksheet" Target="worksheets/sheet10.xml"/><Relationship Id="rId31" Type="http://schemas.openxmlformats.org/officeDocument/2006/relationships/pivotCacheDefinition" Target="pivotCache/pivotCacheDefinition6.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Sustainability Dashboard Template as of 07032023 7.22AM.xlsx]PT!PivotTable4</c:name>
    <c:fmtId val="1"/>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solidFill>
                  <a:srgbClr val="0070C0"/>
                </a:solidFill>
                <a:latin typeface="Oswald" pitchFamily="2" charset="0"/>
              </a:rPr>
              <a:t>Campus Top 4 SDGs</a:t>
            </a:r>
          </a:p>
        </c:rich>
      </c:tx>
      <c:layout>
        <c:manualLayout>
          <c:xMode val="edge"/>
          <c:yMode val="edge"/>
          <c:x val="0.39765940127049337"/>
          <c:y val="5.01963254593175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9486A"/>
          </a:solidFill>
          <a:ln>
            <a:noFill/>
          </a:ln>
          <a:effectLst/>
        </c:spPr>
      </c:pivotFmt>
      <c:pivotFmt>
        <c:idx val="3"/>
        <c:spPr>
          <a:solidFill>
            <a:srgbClr val="DD1367"/>
          </a:solidFill>
          <a:ln>
            <a:noFill/>
          </a:ln>
          <a:effectLst/>
        </c:spPr>
      </c:pivotFmt>
      <c:pivotFmt>
        <c:idx val="4"/>
        <c:spPr>
          <a:solidFill>
            <a:srgbClr val="FF3A21"/>
          </a:solidFill>
          <a:ln>
            <a:noFill/>
          </a:ln>
          <a:effectLst/>
        </c:spPr>
      </c:pivotFmt>
      <c:pivotFmt>
        <c:idx val="5"/>
        <c:spPr>
          <a:solidFill>
            <a:srgbClr val="E5243B"/>
          </a:solidFill>
          <a:ln>
            <a:noFill/>
          </a:ln>
          <a:effectLst/>
        </c:spPr>
      </c:pivotFmt>
      <c:pivotFmt>
        <c:idx val="6"/>
        <c:spPr>
          <a:solidFill>
            <a:srgbClr val="00689D"/>
          </a:solidFill>
          <a:ln>
            <a:noFill/>
          </a:ln>
          <a:effectLst/>
        </c:spPr>
      </c:pivotFmt>
      <c:pivotFmt>
        <c:idx val="7"/>
        <c:spPr>
          <a:solidFill>
            <a:srgbClr val="56C02B"/>
          </a:solidFill>
          <a:ln>
            <a:noFill/>
          </a:ln>
          <a:effectLst/>
        </c:spPr>
      </c:pivotFmt>
      <c:pivotFmt>
        <c:idx val="8"/>
        <c:spPr>
          <a:solidFill>
            <a:srgbClr val="0A97D9"/>
          </a:solidFill>
          <a:ln>
            <a:noFill/>
          </a:ln>
          <a:effectLst/>
        </c:spPr>
      </c:pivotFmt>
      <c:pivotFmt>
        <c:idx val="9"/>
        <c:spPr>
          <a:solidFill>
            <a:srgbClr val="3F7E44"/>
          </a:solidFill>
          <a:ln>
            <a:noFill/>
          </a:ln>
          <a:effectLst/>
        </c:spPr>
      </c:pivotFmt>
      <c:pivotFmt>
        <c:idx val="10"/>
        <c:spPr>
          <a:solidFill>
            <a:srgbClr val="BF8B2E"/>
          </a:solidFill>
          <a:ln>
            <a:noFill/>
          </a:ln>
          <a:effectLst/>
        </c:spPr>
      </c:pivotFmt>
      <c:pivotFmt>
        <c:idx val="11"/>
        <c:spPr>
          <a:solidFill>
            <a:srgbClr val="FD9D24"/>
          </a:solidFill>
          <a:ln>
            <a:noFill/>
          </a:ln>
          <a:effectLst/>
        </c:spPr>
      </c:pivotFmt>
      <c:pivotFmt>
        <c:idx val="12"/>
        <c:spPr>
          <a:solidFill>
            <a:srgbClr val="FD6925"/>
          </a:solidFill>
          <a:ln>
            <a:noFill/>
          </a:ln>
          <a:effectLst/>
        </c:spPr>
      </c:pivotFmt>
      <c:pivotFmt>
        <c:idx val="13"/>
        <c:spPr>
          <a:solidFill>
            <a:srgbClr val="A21942"/>
          </a:solidFill>
          <a:ln>
            <a:noFill/>
          </a:ln>
          <a:effectLst/>
        </c:spPr>
      </c:pivotFmt>
      <c:pivotFmt>
        <c:idx val="14"/>
        <c:spPr>
          <a:solidFill>
            <a:srgbClr val="FCC30B"/>
          </a:solidFill>
          <a:ln>
            <a:noFill/>
          </a:ln>
          <a:effectLst/>
        </c:spPr>
      </c:pivotFmt>
      <c:pivotFmt>
        <c:idx val="15"/>
        <c:spPr>
          <a:solidFill>
            <a:srgbClr val="26BDE2"/>
          </a:solidFill>
          <a:ln>
            <a:noFill/>
          </a:ln>
          <a:effectLst/>
        </c:spPr>
      </c:pivotFmt>
      <c:pivotFmt>
        <c:idx val="16"/>
        <c:spPr>
          <a:solidFill>
            <a:srgbClr val="C5192D"/>
          </a:solidFill>
          <a:ln>
            <a:noFill/>
          </a:ln>
          <a:effectLst/>
        </c:spPr>
      </c:pivotFmt>
      <c:pivotFmt>
        <c:idx val="17"/>
        <c:spPr>
          <a:solidFill>
            <a:srgbClr val="4C9F38"/>
          </a:solidFill>
          <a:ln>
            <a:noFill/>
          </a:ln>
          <a:effectLst/>
        </c:spPr>
      </c:pivotFmt>
      <c:pivotFmt>
        <c:idx val="18"/>
        <c:spPr>
          <a:solidFill>
            <a:srgbClr val="DDA63A"/>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5243B"/>
          </a:solidFill>
          <a:ln>
            <a:noFill/>
          </a:ln>
          <a:effectLst/>
        </c:spPr>
      </c:pivotFmt>
      <c:pivotFmt>
        <c:idx val="21"/>
        <c:spPr>
          <a:solidFill>
            <a:srgbClr val="FF3A21"/>
          </a:solidFill>
          <a:ln>
            <a:noFill/>
          </a:ln>
          <a:effectLst/>
        </c:spPr>
      </c:pivotFmt>
      <c:pivotFmt>
        <c:idx val="22"/>
        <c:spPr>
          <a:solidFill>
            <a:srgbClr val="DD1367"/>
          </a:solidFill>
          <a:ln>
            <a:noFill/>
          </a:ln>
          <a:effectLst/>
        </c:spPr>
      </c:pivotFmt>
      <c:pivotFmt>
        <c:idx val="23"/>
        <c:spPr>
          <a:solidFill>
            <a:srgbClr val="19486A"/>
          </a:solidFill>
          <a:ln>
            <a:noFill/>
          </a:ln>
          <a:effectLst/>
        </c:spPr>
      </c:pivotFmt>
      <c:pivotFmt>
        <c:idx val="24"/>
        <c:spPr>
          <a:solidFill>
            <a:srgbClr val="00689D"/>
          </a:solidFill>
          <a:ln>
            <a:noFill/>
          </a:ln>
          <a:effectLst/>
        </c:spPr>
      </c:pivotFmt>
      <c:pivotFmt>
        <c:idx val="25"/>
        <c:spPr>
          <a:solidFill>
            <a:srgbClr val="56C02B"/>
          </a:solidFill>
          <a:ln>
            <a:noFill/>
          </a:ln>
          <a:effectLst/>
        </c:spPr>
      </c:pivotFmt>
      <c:pivotFmt>
        <c:idx val="26"/>
        <c:spPr>
          <a:solidFill>
            <a:srgbClr val="0A97D9"/>
          </a:solidFill>
          <a:ln>
            <a:noFill/>
          </a:ln>
          <a:effectLst/>
        </c:spPr>
      </c:pivotFmt>
      <c:pivotFmt>
        <c:idx val="27"/>
        <c:spPr>
          <a:solidFill>
            <a:srgbClr val="3F7E44"/>
          </a:solidFill>
          <a:ln>
            <a:noFill/>
          </a:ln>
          <a:effectLst/>
        </c:spPr>
      </c:pivotFmt>
      <c:pivotFmt>
        <c:idx val="28"/>
        <c:spPr>
          <a:solidFill>
            <a:srgbClr val="BF8B2E"/>
          </a:solidFill>
          <a:ln>
            <a:noFill/>
          </a:ln>
          <a:effectLst/>
        </c:spPr>
      </c:pivotFmt>
      <c:pivotFmt>
        <c:idx val="29"/>
        <c:spPr>
          <a:solidFill>
            <a:srgbClr val="FD9D24"/>
          </a:solidFill>
          <a:ln>
            <a:noFill/>
          </a:ln>
          <a:effectLst/>
        </c:spPr>
      </c:pivotFmt>
      <c:pivotFmt>
        <c:idx val="30"/>
        <c:spPr>
          <a:solidFill>
            <a:srgbClr val="FD6925"/>
          </a:solidFill>
          <a:ln>
            <a:noFill/>
          </a:ln>
          <a:effectLst/>
        </c:spPr>
      </c:pivotFmt>
      <c:pivotFmt>
        <c:idx val="31"/>
        <c:spPr>
          <a:solidFill>
            <a:srgbClr val="A21942"/>
          </a:solidFill>
          <a:ln>
            <a:noFill/>
          </a:ln>
          <a:effectLst/>
        </c:spPr>
      </c:pivotFmt>
      <c:pivotFmt>
        <c:idx val="32"/>
        <c:spPr>
          <a:solidFill>
            <a:srgbClr val="FCC30B"/>
          </a:solidFill>
          <a:ln>
            <a:noFill/>
          </a:ln>
          <a:effectLst/>
        </c:spPr>
      </c:pivotFmt>
      <c:pivotFmt>
        <c:idx val="33"/>
        <c:spPr>
          <a:solidFill>
            <a:srgbClr val="26BDE2"/>
          </a:solidFill>
          <a:ln>
            <a:noFill/>
          </a:ln>
          <a:effectLst/>
        </c:spPr>
      </c:pivotFmt>
      <c:pivotFmt>
        <c:idx val="34"/>
        <c:spPr>
          <a:solidFill>
            <a:srgbClr val="C5192D"/>
          </a:solidFill>
          <a:ln>
            <a:noFill/>
          </a:ln>
          <a:effectLst/>
        </c:spPr>
      </c:pivotFmt>
      <c:pivotFmt>
        <c:idx val="35"/>
        <c:spPr>
          <a:solidFill>
            <a:srgbClr val="4C9F38"/>
          </a:solidFill>
          <a:ln>
            <a:noFill/>
          </a:ln>
          <a:effectLst/>
        </c:spPr>
      </c:pivotFmt>
      <c:pivotFmt>
        <c:idx val="36"/>
        <c:spPr>
          <a:solidFill>
            <a:srgbClr val="DDA63A"/>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E5243B"/>
          </a:solidFill>
          <a:ln>
            <a:noFill/>
          </a:ln>
          <a:effectLst/>
        </c:spPr>
      </c:pivotFmt>
      <c:pivotFmt>
        <c:idx val="39"/>
        <c:spPr>
          <a:solidFill>
            <a:srgbClr val="FF3A21"/>
          </a:solidFill>
          <a:ln>
            <a:noFill/>
          </a:ln>
          <a:effectLst/>
        </c:spPr>
      </c:pivotFmt>
      <c:pivotFmt>
        <c:idx val="40"/>
        <c:spPr>
          <a:solidFill>
            <a:srgbClr val="DD1367"/>
          </a:solidFill>
          <a:ln>
            <a:noFill/>
          </a:ln>
          <a:effectLst/>
        </c:spPr>
      </c:pivotFmt>
      <c:pivotFmt>
        <c:idx val="41"/>
        <c:spPr>
          <a:solidFill>
            <a:srgbClr val="19486A"/>
          </a:solidFill>
          <a:ln>
            <a:noFill/>
          </a:ln>
          <a:effectLst/>
        </c:spPr>
      </c:pivotFmt>
      <c:pivotFmt>
        <c:idx val="42"/>
        <c:spPr>
          <a:solidFill>
            <a:srgbClr val="19486A"/>
          </a:solidFill>
          <a:ln>
            <a:noFill/>
          </a:ln>
          <a:effectLst/>
        </c:spPr>
      </c:pivotFmt>
      <c:pivotFmt>
        <c:idx val="43"/>
        <c:spPr>
          <a:solidFill>
            <a:srgbClr val="E5243B"/>
          </a:solidFill>
          <a:ln>
            <a:noFill/>
          </a:ln>
          <a:effectLst/>
        </c:spPr>
      </c:pivotFmt>
      <c:pivotFmt>
        <c:idx val="44"/>
        <c:spPr>
          <a:solidFill>
            <a:srgbClr val="FF3A21"/>
          </a:solidFill>
          <a:ln>
            <a:noFill/>
          </a:ln>
          <a:effectLst/>
        </c:spPr>
      </c:pivotFmt>
      <c:pivotFmt>
        <c:idx val="45"/>
        <c:spPr>
          <a:solidFill>
            <a:srgbClr val="DD1367"/>
          </a:solidFill>
          <a:ln>
            <a:noFill/>
          </a:ln>
          <a:effectLst/>
        </c:spPr>
      </c:pivotFmt>
      <c:pivotFmt>
        <c:idx val="46"/>
        <c:spPr>
          <a:solidFill>
            <a:srgbClr val="BF8B2E"/>
          </a:solidFill>
          <a:ln>
            <a:noFill/>
          </a:ln>
          <a:effectLst/>
        </c:spPr>
      </c:pivotFmt>
      <c:pivotFmt>
        <c:idx val="47"/>
        <c:spPr>
          <a:solidFill>
            <a:srgbClr val="FCC30B"/>
          </a:solidFill>
          <a:ln>
            <a:noFill/>
          </a:ln>
          <a:effectLst/>
        </c:spPr>
      </c:pivotFmt>
      <c:pivotFmt>
        <c:idx val="48"/>
        <c:spPr>
          <a:solidFill>
            <a:srgbClr val="FD6925"/>
          </a:solidFill>
          <a:ln>
            <a:noFill/>
          </a:ln>
          <a:effectLst/>
        </c:spPr>
      </c:pivotFmt>
      <c:pivotFmt>
        <c:idx val="49"/>
        <c:spPr>
          <a:solidFill>
            <a:srgbClr val="26BDE2"/>
          </a:solidFill>
          <a:ln>
            <a:noFill/>
          </a:ln>
          <a:effectLst/>
        </c:spPr>
      </c:pivotFmt>
      <c:pivotFmt>
        <c:idx val="50"/>
        <c:spPr>
          <a:solidFill>
            <a:srgbClr val="0A97D9"/>
          </a:solidFill>
          <a:ln>
            <a:noFill/>
          </a:ln>
          <a:effectLst/>
        </c:spPr>
      </c:pivotFmt>
      <c:pivotFmt>
        <c:idx val="51"/>
        <c:spPr>
          <a:solidFill>
            <a:srgbClr val="C5192D"/>
          </a:solidFill>
          <a:ln>
            <a:noFill/>
          </a:ln>
          <a:effectLst/>
        </c:spPr>
      </c:pivotFmt>
      <c:pivotFmt>
        <c:idx val="52"/>
        <c:spPr>
          <a:solidFill>
            <a:srgbClr val="00689D"/>
          </a:solidFill>
          <a:ln>
            <a:noFill/>
          </a:ln>
          <a:effectLst/>
        </c:spPr>
      </c:pivotFmt>
      <c:pivotFmt>
        <c:idx val="53"/>
        <c:spPr>
          <a:solidFill>
            <a:srgbClr val="DDA63A"/>
          </a:solidFill>
          <a:ln>
            <a:noFill/>
          </a:ln>
          <a:effectLst/>
        </c:spPr>
      </c:pivotFmt>
      <c:pivotFmt>
        <c:idx val="54"/>
        <c:spPr>
          <a:solidFill>
            <a:srgbClr val="4C9F38"/>
          </a:solidFill>
          <a:ln>
            <a:noFill/>
          </a:ln>
          <a:effectLst/>
        </c:spPr>
      </c:pivotFmt>
      <c:pivotFmt>
        <c:idx val="55"/>
        <c:spPr>
          <a:solidFill>
            <a:srgbClr val="FD9D24"/>
          </a:solidFill>
          <a:ln>
            <a:noFill/>
          </a:ln>
          <a:effectLst/>
        </c:spPr>
      </c:pivotFmt>
      <c:pivotFmt>
        <c:idx val="56"/>
        <c:spPr>
          <a:solidFill>
            <a:srgbClr val="3F7E44"/>
          </a:solidFill>
          <a:ln>
            <a:noFill/>
          </a:ln>
          <a:effectLst/>
        </c:spPr>
      </c:pivotFmt>
    </c:pivotFmts>
    <c:plotArea>
      <c:layout>
        <c:manualLayout>
          <c:layoutTarget val="inner"/>
          <c:xMode val="edge"/>
          <c:yMode val="edge"/>
          <c:x val="0.14149035718361291"/>
          <c:y val="0.20425406824146983"/>
          <c:w val="0.79739860778272276"/>
          <c:h val="0.70672485939257579"/>
        </c:manualLayout>
      </c:layout>
      <c:barChart>
        <c:barDir val="bar"/>
        <c:grouping val="clustered"/>
        <c:varyColors val="0"/>
        <c:ser>
          <c:idx val="0"/>
          <c:order val="0"/>
          <c:tx>
            <c:strRef>
              <c:f>PT!$B$6</c:f>
              <c:strCache>
                <c:ptCount val="1"/>
                <c:pt idx="0">
                  <c:v>Total</c:v>
                </c:pt>
              </c:strCache>
            </c:strRef>
          </c:tx>
          <c:spPr>
            <a:solidFill>
              <a:schemeClr val="accent1"/>
            </a:solidFill>
            <a:ln>
              <a:noFill/>
            </a:ln>
            <a:effectLst/>
          </c:spPr>
          <c:invertIfNegative val="0"/>
          <c:dPt>
            <c:idx val="0"/>
            <c:invertIfNegative val="0"/>
            <c:bubble3D val="0"/>
            <c:spPr>
              <a:solidFill>
                <a:srgbClr val="19486A"/>
              </a:solidFill>
              <a:ln>
                <a:noFill/>
              </a:ln>
              <a:effectLst/>
            </c:spPr>
            <c:extLst>
              <c:ext xmlns:c16="http://schemas.microsoft.com/office/drawing/2014/chart" uri="{C3380CC4-5D6E-409C-BE32-E72D297353CC}">
                <c16:uniqueId val="{00000001-EFF9-4CAA-A61C-914AC925E092}"/>
              </c:ext>
            </c:extLst>
          </c:dPt>
          <c:dPt>
            <c:idx val="1"/>
            <c:invertIfNegative val="0"/>
            <c:bubble3D val="0"/>
            <c:spPr>
              <a:solidFill>
                <a:srgbClr val="DD1367"/>
              </a:solidFill>
              <a:ln>
                <a:noFill/>
              </a:ln>
              <a:effectLst/>
            </c:spPr>
            <c:extLst>
              <c:ext xmlns:c16="http://schemas.microsoft.com/office/drawing/2014/chart" uri="{C3380CC4-5D6E-409C-BE32-E72D297353CC}">
                <c16:uniqueId val="{00000003-EFF9-4CAA-A61C-914AC925E092}"/>
              </c:ext>
            </c:extLst>
          </c:dPt>
          <c:dPt>
            <c:idx val="2"/>
            <c:invertIfNegative val="0"/>
            <c:bubble3D val="0"/>
            <c:spPr>
              <a:solidFill>
                <a:srgbClr val="FF3A21"/>
              </a:solidFill>
              <a:ln>
                <a:noFill/>
              </a:ln>
              <a:effectLst/>
            </c:spPr>
            <c:extLst>
              <c:ext xmlns:c16="http://schemas.microsoft.com/office/drawing/2014/chart" uri="{C3380CC4-5D6E-409C-BE32-E72D297353CC}">
                <c16:uniqueId val="{00000005-EFF9-4CAA-A61C-914AC925E092}"/>
              </c:ext>
            </c:extLst>
          </c:dPt>
          <c:dPt>
            <c:idx val="3"/>
            <c:invertIfNegative val="0"/>
            <c:bubble3D val="0"/>
            <c:spPr>
              <a:solidFill>
                <a:srgbClr val="E5243B"/>
              </a:solidFill>
              <a:ln>
                <a:noFill/>
              </a:ln>
              <a:effectLst/>
            </c:spPr>
            <c:extLst>
              <c:ext xmlns:c16="http://schemas.microsoft.com/office/drawing/2014/chart" uri="{C3380CC4-5D6E-409C-BE32-E72D297353CC}">
                <c16:uniqueId val="{00000007-EFF9-4CAA-A61C-914AC925E0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PT!$A$7:$A$11</c:f>
              <c:strCache>
                <c:ptCount val="4"/>
                <c:pt idx="0">
                  <c:v>17</c:v>
                </c:pt>
                <c:pt idx="1">
                  <c:v>10</c:v>
                </c:pt>
                <c:pt idx="2">
                  <c:v>5</c:v>
                </c:pt>
                <c:pt idx="3">
                  <c:v>1</c:v>
                </c:pt>
              </c:strCache>
            </c:strRef>
          </c:cat>
          <c:val>
            <c:numRef>
              <c:f>PT!$B$7:$B$11</c:f>
              <c:numCache>
                <c:formatCode>_(* #,##0.0_);_(* \(#,##0.0\);_(* "-"??_);_(@_)</c:formatCode>
                <c:ptCount val="4"/>
                <c:pt idx="0">
                  <c:v>89.63636363636364</c:v>
                </c:pt>
                <c:pt idx="1">
                  <c:v>90.63636363636364</c:v>
                </c:pt>
                <c:pt idx="2">
                  <c:v>84.909090909090907</c:v>
                </c:pt>
                <c:pt idx="3">
                  <c:v>86.63636363636364</c:v>
                </c:pt>
              </c:numCache>
            </c:numRef>
          </c:val>
          <c:extLst>
            <c:ext xmlns:c16="http://schemas.microsoft.com/office/drawing/2014/chart" uri="{C3380CC4-5D6E-409C-BE32-E72D297353CC}">
              <c16:uniqueId val="{00000008-EFF9-4CAA-A61C-914AC925E092}"/>
            </c:ext>
          </c:extLst>
        </c:ser>
        <c:dLbls>
          <c:showLegendKey val="0"/>
          <c:showVal val="1"/>
          <c:showCatName val="0"/>
          <c:showSerName val="0"/>
          <c:showPercent val="0"/>
          <c:showBubbleSize val="0"/>
        </c:dLbls>
        <c:gapWidth val="75"/>
        <c:axId val="1699879935"/>
        <c:axId val="1699880415"/>
      </c:barChart>
      <c:catAx>
        <c:axId val="16998799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SDG No.</a:t>
                </a:r>
              </a:p>
            </c:rich>
          </c:tx>
          <c:layout>
            <c:manualLayout>
              <c:xMode val="edge"/>
              <c:yMode val="edge"/>
              <c:x val="1.935501540568298E-2"/>
              <c:y val="0.474625871766029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880415"/>
        <c:crosses val="autoZero"/>
        <c:auto val="1"/>
        <c:lblAlgn val="ctr"/>
        <c:lblOffset val="100"/>
        <c:noMultiLvlLbl val="0"/>
      </c:catAx>
      <c:valAx>
        <c:axId val="1699880415"/>
        <c:scaling>
          <c:orientation val="minMax"/>
          <c:max val="110"/>
          <c:min val="10"/>
        </c:scaling>
        <c:delete val="1"/>
        <c:axPos val="b"/>
        <c:numFmt formatCode="_(* #,##0.0_);_(* \(#,##0.0\);_(* &quot;-&quot;??_);_(@_)" sourceLinked="1"/>
        <c:majorTickMark val="out"/>
        <c:minorTickMark val="none"/>
        <c:tickLblPos val="nextTo"/>
        <c:crossAx val="169987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Sustainability Dashboard Template as of 07032023 7.22AM.xlsx]PT!SDG_PT</c:name>
    <c:fmtId val="1"/>
  </c:pivotSource>
  <c:chart>
    <c:title>
      <c:tx>
        <c:rich>
          <a:bodyPr rot="0" spcFirstLastPara="1" vertOverflow="ellipsis" vert="horz" wrap="square" anchor="b" anchorCtr="0"/>
          <a:lstStyle/>
          <a:p>
            <a:pPr>
              <a:defRPr sz="1400" b="0" i="0" u="none" strike="noStrike" kern="1200" spc="0" baseline="0">
                <a:solidFill>
                  <a:srgbClr val="0070C0"/>
                </a:solidFill>
                <a:latin typeface="Oswald" pitchFamily="2" charset="0"/>
                <a:ea typeface="+mn-ea"/>
                <a:cs typeface="+mn-cs"/>
              </a:defRPr>
            </a:pPr>
            <a:r>
              <a:rPr lang="en-US">
                <a:solidFill>
                  <a:srgbClr val="0070C0"/>
                </a:solidFill>
                <a:latin typeface="Oswald" pitchFamily="2" charset="0"/>
              </a:rPr>
              <a:t>Score per </a:t>
            </a:r>
            <a:r>
              <a:rPr lang="en-US" sz="1100" b="0" i="0" u="none" strike="noStrike" kern="1200" spc="0" baseline="0">
                <a:solidFill>
                  <a:srgbClr val="0070C0"/>
                </a:solidFill>
                <a:latin typeface="Oswald" pitchFamily="2" charset="0"/>
              </a:rPr>
              <a:t>SDG</a:t>
            </a:r>
            <a:endParaRPr lang="en-US">
              <a:solidFill>
                <a:srgbClr val="0070C0"/>
              </a:solidFill>
              <a:latin typeface="Oswald" pitchFamily="2" charset="0"/>
            </a:endParaRPr>
          </a:p>
        </c:rich>
      </c:tx>
      <c:layout>
        <c:manualLayout>
          <c:xMode val="edge"/>
          <c:yMode val="edge"/>
          <c:x val="0.43101449275362319"/>
          <c:y val="0.89820772403449556"/>
        </c:manualLayout>
      </c:layout>
      <c:overlay val="0"/>
      <c:spPr>
        <a:noFill/>
        <a:ln>
          <a:noFill/>
        </a:ln>
        <a:effectLst/>
      </c:spPr>
      <c:txPr>
        <a:bodyPr rot="0" spcFirstLastPara="1" vertOverflow="ellipsis" vert="horz" wrap="square" anchor="b" anchorCtr="0"/>
        <a:lstStyle/>
        <a:p>
          <a:pPr>
            <a:defRPr sz="1400" b="0" i="0" u="none" strike="noStrike" kern="1200" spc="0" baseline="0">
              <a:solidFill>
                <a:srgbClr val="0070C0"/>
              </a:solidFill>
              <a:latin typeface="Oswald"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9486A"/>
          </a:solidFill>
          <a:ln>
            <a:noFill/>
          </a:ln>
          <a:effectLst/>
        </c:spPr>
      </c:pivotFmt>
      <c:pivotFmt>
        <c:idx val="3"/>
        <c:spPr>
          <a:solidFill>
            <a:srgbClr val="00689D"/>
          </a:solidFill>
          <a:ln>
            <a:noFill/>
          </a:ln>
          <a:effectLst/>
        </c:spPr>
      </c:pivotFmt>
      <c:pivotFmt>
        <c:idx val="4"/>
        <c:spPr>
          <a:solidFill>
            <a:srgbClr val="56C02B"/>
          </a:solidFill>
          <a:ln>
            <a:noFill/>
          </a:ln>
          <a:effectLst/>
        </c:spPr>
      </c:pivotFmt>
      <c:pivotFmt>
        <c:idx val="5"/>
        <c:spPr>
          <a:solidFill>
            <a:srgbClr val="0A97D9"/>
          </a:solidFill>
          <a:ln>
            <a:noFill/>
          </a:ln>
          <a:effectLst/>
        </c:spPr>
      </c:pivotFmt>
      <c:pivotFmt>
        <c:idx val="6"/>
        <c:spPr>
          <a:solidFill>
            <a:srgbClr val="3F7E44"/>
          </a:solidFill>
          <a:ln>
            <a:noFill/>
          </a:ln>
          <a:effectLst/>
        </c:spPr>
      </c:pivotFmt>
      <c:pivotFmt>
        <c:idx val="7"/>
        <c:spPr>
          <a:solidFill>
            <a:srgbClr val="BF8B2E"/>
          </a:solidFill>
          <a:ln>
            <a:noFill/>
          </a:ln>
          <a:effectLst/>
        </c:spPr>
      </c:pivotFmt>
      <c:pivotFmt>
        <c:idx val="8"/>
        <c:spPr>
          <a:solidFill>
            <a:srgbClr val="FD9D24"/>
          </a:solidFill>
          <a:ln>
            <a:noFill/>
          </a:ln>
          <a:effectLst/>
        </c:spPr>
      </c:pivotFmt>
      <c:pivotFmt>
        <c:idx val="9"/>
        <c:spPr>
          <a:solidFill>
            <a:srgbClr val="DD1367"/>
          </a:solidFill>
          <a:ln>
            <a:noFill/>
          </a:ln>
          <a:effectLst/>
        </c:spPr>
      </c:pivotFmt>
      <c:pivotFmt>
        <c:idx val="10"/>
        <c:spPr>
          <a:solidFill>
            <a:srgbClr val="FD6925"/>
          </a:solidFill>
          <a:ln>
            <a:noFill/>
          </a:ln>
          <a:effectLst/>
        </c:spPr>
      </c:pivotFmt>
      <c:pivotFmt>
        <c:idx val="11"/>
        <c:spPr>
          <a:solidFill>
            <a:srgbClr val="A21942"/>
          </a:solidFill>
          <a:ln>
            <a:noFill/>
          </a:ln>
          <a:effectLst/>
        </c:spPr>
      </c:pivotFmt>
      <c:pivotFmt>
        <c:idx val="12"/>
        <c:spPr>
          <a:solidFill>
            <a:srgbClr val="FCC30B"/>
          </a:solidFill>
          <a:ln>
            <a:noFill/>
          </a:ln>
          <a:effectLst/>
        </c:spPr>
      </c:pivotFmt>
      <c:pivotFmt>
        <c:idx val="13"/>
        <c:spPr>
          <a:solidFill>
            <a:srgbClr val="26BDE2"/>
          </a:solidFill>
          <a:ln>
            <a:noFill/>
          </a:ln>
          <a:effectLst/>
        </c:spPr>
      </c:pivotFmt>
      <c:pivotFmt>
        <c:idx val="14"/>
        <c:spPr>
          <a:solidFill>
            <a:srgbClr val="FF3A21"/>
          </a:solidFill>
          <a:ln>
            <a:noFill/>
          </a:ln>
          <a:effectLst/>
        </c:spPr>
      </c:pivotFmt>
      <c:pivotFmt>
        <c:idx val="15"/>
        <c:spPr>
          <a:solidFill>
            <a:srgbClr val="C5192D"/>
          </a:solidFill>
          <a:ln>
            <a:noFill/>
          </a:ln>
          <a:effectLst/>
        </c:spPr>
      </c:pivotFmt>
      <c:pivotFmt>
        <c:idx val="16"/>
        <c:spPr>
          <a:solidFill>
            <a:srgbClr val="4C9F38"/>
          </a:solidFill>
          <a:ln>
            <a:noFill/>
          </a:ln>
          <a:effectLst/>
        </c:spPr>
      </c:pivotFmt>
      <c:pivotFmt>
        <c:idx val="17"/>
        <c:spPr>
          <a:solidFill>
            <a:srgbClr val="DDA63A"/>
          </a:solidFill>
          <a:ln>
            <a:noFill/>
          </a:ln>
          <a:effectLst/>
        </c:spPr>
      </c:pivotFmt>
      <c:pivotFmt>
        <c:idx val="18"/>
        <c:spPr>
          <a:solidFill>
            <a:srgbClr val="E5243B"/>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5243B"/>
          </a:solidFill>
          <a:ln>
            <a:noFill/>
          </a:ln>
          <a:effectLst/>
        </c:spPr>
      </c:pivotFmt>
      <c:pivotFmt>
        <c:idx val="21"/>
        <c:spPr>
          <a:solidFill>
            <a:srgbClr val="DDA63A"/>
          </a:solidFill>
          <a:ln>
            <a:noFill/>
          </a:ln>
          <a:effectLst/>
        </c:spPr>
      </c:pivotFmt>
      <c:pivotFmt>
        <c:idx val="22"/>
        <c:spPr>
          <a:solidFill>
            <a:srgbClr val="4C9F38"/>
          </a:solidFill>
          <a:ln>
            <a:noFill/>
          </a:ln>
          <a:effectLst/>
        </c:spPr>
      </c:pivotFmt>
      <c:pivotFmt>
        <c:idx val="23"/>
        <c:spPr>
          <a:solidFill>
            <a:srgbClr val="C5192D"/>
          </a:solidFill>
          <a:ln>
            <a:noFill/>
          </a:ln>
          <a:effectLst/>
        </c:spPr>
      </c:pivotFmt>
      <c:pivotFmt>
        <c:idx val="24"/>
        <c:spPr>
          <a:solidFill>
            <a:srgbClr val="FF3A21"/>
          </a:solidFill>
          <a:ln>
            <a:noFill/>
          </a:ln>
          <a:effectLst/>
        </c:spPr>
      </c:pivotFmt>
      <c:pivotFmt>
        <c:idx val="25"/>
        <c:spPr>
          <a:solidFill>
            <a:srgbClr val="26BDE2"/>
          </a:solidFill>
          <a:ln>
            <a:noFill/>
          </a:ln>
          <a:effectLst/>
        </c:spPr>
      </c:pivotFmt>
      <c:pivotFmt>
        <c:idx val="26"/>
        <c:spPr>
          <a:solidFill>
            <a:srgbClr val="FCC30B"/>
          </a:solidFill>
          <a:ln>
            <a:noFill/>
          </a:ln>
          <a:effectLst/>
        </c:spPr>
      </c:pivotFmt>
      <c:pivotFmt>
        <c:idx val="27"/>
        <c:spPr>
          <a:solidFill>
            <a:srgbClr val="A21942"/>
          </a:solidFill>
          <a:ln>
            <a:noFill/>
          </a:ln>
          <a:effectLst/>
        </c:spPr>
      </c:pivotFmt>
      <c:pivotFmt>
        <c:idx val="28"/>
        <c:spPr>
          <a:solidFill>
            <a:srgbClr val="FD6925"/>
          </a:solidFill>
          <a:ln>
            <a:noFill/>
          </a:ln>
          <a:effectLst/>
        </c:spPr>
      </c:pivotFmt>
      <c:pivotFmt>
        <c:idx val="29"/>
        <c:spPr>
          <a:solidFill>
            <a:srgbClr val="DD1367"/>
          </a:solidFill>
          <a:ln>
            <a:noFill/>
          </a:ln>
          <a:effectLst/>
        </c:spPr>
      </c:pivotFmt>
      <c:pivotFmt>
        <c:idx val="30"/>
        <c:spPr>
          <a:solidFill>
            <a:srgbClr val="FD9D24"/>
          </a:solidFill>
          <a:ln>
            <a:noFill/>
          </a:ln>
          <a:effectLst/>
        </c:spPr>
      </c:pivotFmt>
      <c:pivotFmt>
        <c:idx val="31"/>
        <c:spPr>
          <a:solidFill>
            <a:srgbClr val="BF8B2E"/>
          </a:solidFill>
          <a:ln>
            <a:noFill/>
          </a:ln>
          <a:effectLst/>
        </c:spPr>
      </c:pivotFmt>
      <c:pivotFmt>
        <c:idx val="32"/>
        <c:spPr>
          <a:solidFill>
            <a:srgbClr val="3F7E44"/>
          </a:solidFill>
          <a:ln>
            <a:noFill/>
          </a:ln>
          <a:effectLst/>
        </c:spPr>
      </c:pivotFmt>
      <c:pivotFmt>
        <c:idx val="33"/>
        <c:spPr>
          <a:solidFill>
            <a:srgbClr val="0A97D9"/>
          </a:solidFill>
          <a:ln>
            <a:noFill/>
          </a:ln>
          <a:effectLst/>
        </c:spPr>
      </c:pivotFmt>
      <c:pivotFmt>
        <c:idx val="34"/>
        <c:spPr>
          <a:solidFill>
            <a:srgbClr val="56C02B"/>
          </a:solidFill>
          <a:ln>
            <a:noFill/>
          </a:ln>
          <a:effectLst/>
        </c:spPr>
      </c:pivotFmt>
      <c:pivotFmt>
        <c:idx val="35"/>
        <c:spPr>
          <a:solidFill>
            <a:srgbClr val="00689D"/>
          </a:solidFill>
          <a:ln>
            <a:noFill/>
          </a:ln>
          <a:effectLst/>
        </c:spPr>
      </c:pivotFmt>
      <c:pivotFmt>
        <c:idx val="36"/>
        <c:spPr>
          <a:solidFill>
            <a:srgbClr val="19486A"/>
          </a:solidFill>
          <a:ln>
            <a:noFill/>
          </a:ln>
          <a:effectLst/>
        </c:spPr>
      </c:pivotFmt>
      <c:pivotFmt>
        <c:idx val="37"/>
        <c:spPr>
          <a:solidFill>
            <a:srgbClr val="E5243B"/>
          </a:solidFill>
          <a:ln>
            <a:noFill/>
          </a:ln>
          <a:effectLst/>
        </c:spPr>
      </c:pivotFmt>
      <c:pivotFmt>
        <c:idx val="38"/>
        <c:spPr>
          <a:solidFill>
            <a:srgbClr val="DDA63A"/>
          </a:solidFill>
          <a:ln>
            <a:noFill/>
          </a:ln>
          <a:effectLst/>
        </c:spPr>
      </c:pivotFmt>
      <c:pivotFmt>
        <c:idx val="39"/>
        <c:spPr>
          <a:solidFill>
            <a:srgbClr val="4C9F38"/>
          </a:solidFill>
          <a:ln>
            <a:noFill/>
          </a:ln>
          <a:effectLst/>
        </c:spPr>
      </c:pivotFmt>
      <c:pivotFmt>
        <c:idx val="40"/>
        <c:spPr>
          <a:solidFill>
            <a:srgbClr val="C5192D"/>
          </a:solidFill>
          <a:ln>
            <a:noFill/>
          </a:ln>
          <a:effectLst/>
        </c:spPr>
      </c:pivotFmt>
      <c:pivotFmt>
        <c:idx val="41"/>
        <c:spPr>
          <a:solidFill>
            <a:srgbClr val="FF3A21"/>
          </a:solidFill>
          <a:ln>
            <a:noFill/>
          </a:ln>
          <a:effectLst/>
        </c:spPr>
      </c:pivotFmt>
      <c:pivotFmt>
        <c:idx val="42"/>
        <c:spPr>
          <a:solidFill>
            <a:srgbClr val="26BDE2"/>
          </a:solidFill>
          <a:ln>
            <a:noFill/>
          </a:ln>
          <a:effectLst/>
        </c:spPr>
      </c:pivotFmt>
      <c:pivotFmt>
        <c:idx val="43"/>
        <c:spPr>
          <a:solidFill>
            <a:srgbClr val="FCC30B"/>
          </a:solidFill>
          <a:ln>
            <a:noFill/>
          </a:ln>
          <a:effectLst/>
        </c:spPr>
      </c:pivotFmt>
      <c:pivotFmt>
        <c:idx val="44"/>
        <c:spPr>
          <a:solidFill>
            <a:srgbClr val="A21942"/>
          </a:solidFill>
          <a:ln>
            <a:noFill/>
          </a:ln>
          <a:effectLst/>
        </c:spPr>
      </c:pivotFmt>
      <c:pivotFmt>
        <c:idx val="45"/>
        <c:spPr>
          <a:solidFill>
            <a:srgbClr val="FD6925"/>
          </a:solidFill>
          <a:ln>
            <a:noFill/>
          </a:ln>
          <a:effectLst/>
        </c:spPr>
      </c:pivotFmt>
      <c:pivotFmt>
        <c:idx val="46"/>
        <c:spPr>
          <a:solidFill>
            <a:srgbClr val="DD1367"/>
          </a:solidFill>
          <a:ln>
            <a:noFill/>
          </a:ln>
          <a:effectLst/>
        </c:spPr>
      </c:pivotFmt>
      <c:pivotFmt>
        <c:idx val="47"/>
        <c:spPr>
          <a:solidFill>
            <a:srgbClr val="FD9D24"/>
          </a:solidFill>
          <a:ln>
            <a:noFill/>
          </a:ln>
          <a:effectLst/>
        </c:spPr>
      </c:pivotFmt>
      <c:pivotFmt>
        <c:idx val="48"/>
        <c:spPr>
          <a:solidFill>
            <a:srgbClr val="BF8B2E"/>
          </a:solidFill>
          <a:ln>
            <a:noFill/>
          </a:ln>
          <a:effectLst/>
        </c:spPr>
      </c:pivotFmt>
      <c:pivotFmt>
        <c:idx val="49"/>
        <c:spPr>
          <a:solidFill>
            <a:srgbClr val="3F7E44"/>
          </a:solidFill>
          <a:ln>
            <a:noFill/>
          </a:ln>
          <a:effectLst/>
        </c:spPr>
      </c:pivotFmt>
      <c:pivotFmt>
        <c:idx val="50"/>
        <c:spPr>
          <a:solidFill>
            <a:srgbClr val="0A97D9"/>
          </a:solidFill>
          <a:ln>
            <a:noFill/>
          </a:ln>
          <a:effectLst/>
        </c:spPr>
      </c:pivotFmt>
      <c:pivotFmt>
        <c:idx val="51"/>
        <c:spPr>
          <a:solidFill>
            <a:srgbClr val="56C02B"/>
          </a:solidFill>
          <a:ln>
            <a:noFill/>
          </a:ln>
          <a:effectLst/>
        </c:spPr>
      </c:pivotFmt>
      <c:pivotFmt>
        <c:idx val="52"/>
        <c:spPr>
          <a:solidFill>
            <a:srgbClr val="00689D"/>
          </a:solidFill>
          <a:ln>
            <a:noFill/>
          </a:ln>
          <a:effectLst/>
        </c:spPr>
      </c:pivotFmt>
      <c:pivotFmt>
        <c:idx val="53"/>
        <c:spPr>
          <a:solidFill>
            <a:srgbClr val="19486A"/>
          </a:solidFill>
          <a:ln>
            <a:noFill/>
          </a:ln>
          <a:effectLst/>
        </c:spPr>
      </c:pivotFmt>
    </c:pivotFmts>
    <c:plotArea>
      <c:layout>
        <c:manualLayout>
          <c:layoutTarget val="inner"/>
          <c:xMode val="edge"/>
          <c:yMode val="edge"/>
          <c:x val="4.0579710144927533E-2"/>
          <c:y val="0.11725534308211473"/>
          <c:w val="0.92463768115942024"/>
          <c:h val="0.70378162729658789"/>
        </c:manualLayout>
      </c:layout>
      <c:barChart>
        <c:barDir val="col"/>
        <c:grouping val="clustered"/>
        <c:varyColors val="0"/>
        <c:ser>
          <c:idx val="0"/>
          <c:order val="0"/>
          <c:tx>
            <c:strRef>
              <c:f>PT!$F$6</c:f>
              <c:strCache>
                <c:ptCount val="1"/>
                <c:pt idx="0">
                  <c:v>Total</c:v>
                </c:pt>
              </c:strCache>
            </c:strRef>
          </c:tx>
          <c:spPr>
            <a:solidFill>
              <a:schemeClr val="accent1"/>
            </a:solidFill>
            <a:ln>
              <a:noFill/>
            </a:ln>
            <a:effectLst/>
          </c:spPr>
          <c:invertIfNegative val="0"/>
          <c:dPt>
            <c:idx val="0"/>
            <c:invertIfNegative val="0"/>
            <c:bubble3D val="0"/>
            <c:spPr>
              <a:solidFill>
                <a:srgbClr val="E5243B"/>
              </a:solidFill>
              <a:ln>
                <a:noFill/>
              </a:ln>
              <a:effectLst/>
            </c:spPr>
            <c:extLst>
              <c:ext xmlns:c16="http://schemas.microsoft.com/office/drawing/2014/chart" uri="{C3380CC4-5D6E-409C-BE32-E72D297353CC}">
                <c16:uniqueId val="{00000011-7A84-4537-9991-10E8D3139D6E}"/>
              </c:ext>
            </c:extLst>
          </c:dPt>
          <c:dPt>
            <c:idx val="1"/>
            <c:invertIfNegative val="0"/>
            <c:bubble3D val="0"/>
            <c:spPr>
              <a:solidFill>
                <a:srgbClr val="DDA63A"/>
              </a:solidFill>
              <a:ln>
                <a:noFill/>
              </a:ln>
              <a:effectLst/>
            </c:spPr>
            <c:extLst>
              <c:ext xmlns:c16="http://schemas.microsoft.com/office/drawing/2014/chart" uri="{C3380CC4-5D6E-409C-BE32-E72D297353CC}">
                <c16:uniqueId val="{00000010-7A84-4537-9991-10E8D3139D6E}"/>
              </c:ext>
            </c:extLst>
          </c:dPt>
          <c:dPt>
            <c:idx val="2"/>
            <c:invertIfNegative val="0"/>
            <c:bubble3D val="0"/>
            <c:spPr>
              <a:solidFill>
                <a:srgbClr val="4C9F38"/>
              </a:solidFill>
              <a:ln>
                <a:noFill/>
              </a:ln>
              <a:effectLst/>
            </c:spPr>
            <c:extLst>
              <c:ext xmlns:c16="http://schemas.microsoft.com/office/drawing/2014/chart" uri="{C3380CC4-5D6E-409C-BE32-E72D297353CC}">
                <c16:uniqueId val="{0000000F-7A84-4537-9991-10E8D3139D6E}"/>
              </c:ext>
            </c:extLst>
          </c:dPt>
          <c:dPt>
            <c:idx val="3"/>
            <c:invertIfNegative val="0"/>
            <c:bubble3D val="0"/>
            <c:spPr>
              <a:solidFill>
                <a:srgbClr val="C5192D"/>
              </a:solidFill>
              <a:ln>
                <a:noFill/>
              </a:ln>
              <a:effectLst/>
            </c:spPr>
            <c:extLst>
              <c:ext xmlns:c16="http://schemas.microsoft.com/office/drawing/2014/chart" uri="{C3380CC4-5D6E-409C-BE32-E72D297353CC}">
                <c16:uniqueId val="{0000000E-7A84-4537-9991-10E8D3139D6E}"/>
              </c:ext>
            </c:extLst>
          </c:dPt>
          <c:dPt>
            <c:idx val="4"/>
            <c:invertIfNegative val="0"/>
            <c:bubble3D val="0"/>
            <c:spPr>
              <a:solidFill>
                <a:srgbClr val="FF3A21"/>
              </a:solidFill>
              <a:ln>
                <a:noFill/>
              </a:ln>
              <a:effectLst/>
            </c:spPr>
            <c:extLst>
              <c:ext xmlns:c16="http://schemas.microsoft.com/office/drawing/2014/chart" uri="{C3380CC4-5D6E-409C-BE32-E72D297353CC}">
                <c16:uniqueId val="{0000000D-7A84-4537-9991-10E8D3139D6E}"/>
              </c:ext>
            </c:extLst>
          </c:dPt>
          <c:dPt>
            <c:idx val="5"/>
            <c:invertIfNegative val="0"/>
            <c:bubble3D val="0"/>
            <c:spPr>
              <a:solidFill>
                <a:srgbClr val="26BDE2"/>
              </a:solidFill>
              <a:ln>
                <a:noFill/>
              </a:ln>
              <a:effectLst/>
            </c:spPr>
            <c:extLst>
              <c:ext xmlns:c16="http://schemas.microsoft.com/office/drawing/2014/chart" uri="{C3380CC4-5D6E-409C-BE32-E72D297353CC}">
                <c16:uniqueId val="{0000000C-7A84-4537-9991-10E8D3139D6E}"/>
              </c:ext>
            </c:extLst>
          </c:dPt>
          <c:dPt>
            <c:idx val="6"/>
            <c:invertIfNegative val="0"/>
            <c:bubble3D val="0"/>
            <c:spPr>
              <a:solidFill>
                <a:srgbClr val="FCC30B"/>
              </a:solidFill>
              <a:ln>
                <a:noFill/>
              </a:ln>
              <a:effectLst/>
            </c:spPr>
            <c:extLst>
              <c:ext xmlns:c16="http://schemas.microsoft.com/office/drawing/2014/chart" uri="{C3380CC4-5D6E-409C-BE32-E72D297353CC}">
                <c16:uniqueId val="{0000000B-7A84-4537-9991-10E8D3139D6E}"/>
              </c:ext>
            </c:extLst>
          </c:dPt>
          <c:dPt>
            <c:idx val="7"/>
            <c:invertIfNegative val="0"/>
            <c:bubble3D val="0"/>
            <c:spPr>
              <a:solidFill>
                <a:srgbClr val="A21942"/>
              </a:solidFill>
              <a:ln>
                <a:noFill/>
              </a:ln>
              <a:effectLst/>
            </c:spPr>
            <c:extLst>
              <c:ext xmlns:c16="http://schemas.microsoft.com/office/drawing/2014/chart" uri="{C3380CC4-5D6E-409C-BE32-E72D297353CC}">
                <c16:uniqueId val="{0000000A-7A84-4537-9991-10E8D3139D6E}"/>
              </c:ext>
            </c:extLst>
          </c:dPt>
          <c:dPt>
            <c:idx val="8"/>
            <c:invertIfNegative val="0"/>
            <c:bubble3D val="0"/>
            <c:spPr>
              <a:solidFill>
                <a:srgbClr val="FD6925"/>
              </a:solidFill>
              <a:ln>
                <a:noFill/>
              </a:ln>
              <a:effectLst/>
            </c:spPr>
            <c:extLst>
              <c:ext xmlns:c16="http://schemas.microsoft.com/office/drawing/2014/chart" uri="{C3380CC4-5D6E-409C-BE32-E72D297353CC}">
                <c16:uniqueId val="{00000009-7A84-4537-9991-10E8D3139D6E}"/>
              </c:ext>
            </c:extLst>
          </c:dPt>
          <c:dPt>
            <c:idx val="9"/>
            <c:invertIfNegative val="0"/>
            <c:bubble3D val="0"/>
            <c:spPr>
              <a:solidFill>
                <a:srgbClr val="DD1367"/>
              </a:solidFill>
              <a:ln>
                <a:noFill/>
              </a:ln>
              <a:effectLst/>
            </c:spPr>
            <c:extLst>
              <c:ext xmlns:c16="http://schemas.microsoft.com/office/drawing/2014/chart" uri="{C3380CC4-5D6E-409C-BE32-E72D297353CC}">
                <c16:uniqueId val="{00000008-7A84-4537-9991-10E8D3139D6E}"/>
              </c:ext>
            </c:extLst>
          </c:dPt>
          <c:dPt>
            <c:idx val="10"/>
            <c:invertIfNegative val="0"/>
            <c:bubble3D val="0"/>
            <c:spPr>
              <a:solidFill>
                <a:srgbClr val="FD9D24"/>
              </a:solidFill>
              <a:ln>
                <a:noFill/>
              </a:ln>
              <a:effectLst/>
            </c:spPr>
            <c:extLst>
              <c:ext xmlns:c16="http://schemas.microsoft.com/office/drawing/2014/chart" uri="{C3380CC4-5D6E-409C-BE32-E72D297353CC}">
                <c16:uniqueId val="{00000007-7A84-4537-9991-10E8D3139D6E}"/>
              </c:ext>
            </c:extLst>
          </c:dPt>
          <c:dPt>
            <c:idx val="11"/>
            <c:invertIfNegative val="0"/>
            <c:bubble3D val="0"/>
            <c:spPr>
              <a:solidFill>
                <a:srgbClr val="BF8B2E"/>
              </a:solidFill>
              <a:ln>
                <a:noFill/>
              </a:ln>
              <a:effectLst/>
            </c:spPr>
            <c:extLst>
              <c:ext xmlns:c16="http://schemas.microsoft.com/office/drawing/2014/chart" uri="{C3380CC4-5D6E-409C-BE32-E72D297353CC}">
                <c16:uniqueId val="{00000006-7A84-4537-9991-10E8D3139D6E}"/>
              </c:ext>
            </c:extLst>
          </c:dPt>
          <c:dPt>
            <c:idx val="12"/>
            <c:invertIfNegative val="0"/>
            <c:bubble3D val="0"/>
            <c:spPr>
              <a:solidFill>
                <a:srgbClr val="3F7E44"/>
              </a:solidFill>
              <a:ln>
                <a:noFill/>
              </a:ln>
              <a:effectLst/>
            </c:spPr>
            <c:extLst>
              <c:ext xmlns:c16="http://schemas.microsoft.com/office/drawing/2014/chart" uri="{C3380CC4-5D6E-409C-BE32-E72D297353CC}">
                <c16:uniqueId val="{00000005-7A84-4537-9991-10E8D3139D6E}"/>
              </c:ext>
            </c:extLst>
          </c:dPt>
          <c:dPt>
            <c:idx val="13"/>
            <c:invertIfNegative val="0"/>
            <c:bubble3D val="0"/>
            <c:spPr>
              <a:solidFill>
                <a:srgbClr val="0A97D9"/>
              </a:solidFill>
              <a:ln>
                <a:noFill/>
              </a:ln>
              <a:effectLst/>
            </c:spPr>
            <c:extLst>
              <c:ext xmlns:c16="http://schemas.microsoft.com/office/drawing/2014/chart" uri="{C3380CC4-5D6E-409C-BE32-E72D297353CC}">
                <c16:uniqueId val="{00000004-7A84-4537-9991-10E8D3139D6E}"/>
              </c:ext>
            </c:extLst>
          </c:dPt>
          <c:dPt>
            <c:idx val="14"/>
            <c:invertIfNegative val="0"/>
            <c:bubble3D val="0"/>
            <c:spPr>
              <a:solidFill>
                <a:srgbClr val="56C02B"/>
              </a:solidFill>
              <a:ln>
                <a:noFill/>
              </a:ln>
              <a:effectLst/>
            </c:spPr>
            <c:extLst>
              <c:ext xmlns:c16="http://schemas.microsoft.com/office/drawing/2014/chart" uri="{C3380CC4-5D6E-409C-BE32-E72D297353CC}">
                <c16:uniqueId val="{00000003-7A84-4537-9991-10E8D3139D6E}"/>
              </c:ext>
            </c:extLst>
          </c:dPt>
          <c:dPt>
            <c:idx val="15"/>
            <c:invertIfNegative val="0"/>
            <c:bubble3D val="0"/>
            <c:spPr>
              <a:solidFill>
                <a:srgbClr val="00689D"/>
              </a:solidFill>
              <a:ln>
                <a:noFill/>
              </a:ln>
              <a:effectLst/>
            </c:spPr>
            <c:extLst>
              <c:ext xmlns:c16="http://schemas.microsoft.com/office/drawing/2014/chart" uri="{C3380CC4-5D6E-409C-BE32-E72D297353CC}">
                <c16:uniqueId val="{00000002-7A84-4537-9991-10E8D3139D6E}"/>
              </c:ext>
            </c:extLst>
          </c:dPt>
          <c:dPt>
            <c:idx val="16"/>
            <c:invertIfNegative val="0"/>
            <c:bubble3D val="0"/>
            <c:spPr>
              <a:solidFill>
                <a:srgbClr val="19486A"/>
              </a:solidFill>
              <a:ln>
                <a:noFill/>
              </a:ln>
              <a:effectLst/>
            </c:spPr>
            <c:extLst>
              <c:ext xmlns:c16="http://schemas.microsoft.com/office/drawing/2014/chart" uri="{C3380CC4-5D6E-409C-BE32-E72D297353CC}">
                <c16:uniqueId val="{00000001-7A84-4537-9991-10E8D3139D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PT!$E$7:$E$24</c:f>
              <c:strCach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strCache>
            </c:strRef>
          </c:cat>
          <c:val>
            <c:numRef>
              <c:f>PT!$F$7:$F$24</c:f>
              <c:numCache>
                <c:formatCode>_(* #,##0.0_);_(* \(#,##0.0\);_(* "-"??_);_(@_)</c:formatCode>
                <c:ptCount val="17"/>
                <c:pt idx="0">
                  <c:v>86.63636363636364</c:v>
                </c:pt>
                <c:pt idx="1">
                  <c:v>68.090909090909093</c:v>
                </c:pt>
                <c:pt idx="2">
                  <c:v>74.727272727272734</c:v>
                </c:pt>
                <c:pt idx="3">
                  <c:v>75.36363636363636</c:v>
                </c:pt>
                <c:pt idx="4">
                  <c:v>84.909090909090907</c:v>
                </c:pt>
                <c:pt idx="5">
                  <c:v>67.727272727272734</c:v>
                </c:pt>
                <c:pt idx="6">
                  <c:v>73</c:v>
                </c:pt>
                <c:pt idx="7">
                  <c:v>76</c:v>
                </c:pt>
                <c:pt idx="8">
                  <c:v>73</c:v>
                </c:pt>
                <c:pt idx="9">
                  <c:v>90.63636363636364</c:v>
                </c:pt>
                <c:pt idx="10">
                  <c:v>72.36363636363636</c:v>
                </c:pt>
                <c:pt idx="11">
                  <c:v>72</c:v>
                </c:pt>
                <c:pt idx="12">
                  <c:v>73.727272727272734</c:v>
                </c:pt>
                <c:pt idx="13">
                  <c:v>79.909090909090907</c:v>
                </c:pt>
                <c:pt idx="14">
                  <c:v>78.727272727272734</c:v>
                </c:pt>
                <c:pt idx="15">
                  <c:v>72.454545454545453</c:v>
                </c:pt>
                <c:pt idx="16">
                  <c:v>89.63636363636364</c:v>
                </c:pt>
              </c:numCache>
            </c:numRef>
          </c:val>
          <c:extLst>
            <c:ext xmlns:c16="http://schemas.microsoft.com/office/drawing/2014/chart" uri="{C3380CC4-5D6E-409C-BE32-E72D297353CC}">
              <c16:uniqueId val="{00000000-7A84-4537-9991-10E8D3139D6E}"/>
            </c:ext>
          </c:extLst>
        </c:ser>
        <c:dLbls>
          <c:dLblPos val="outEnd"/>
          <c:showLegendKey val="0"/>
          <c:showVal val="1"/>
          <c:showCatName val="0"/>
          <c:showSerName val="0"/>
          <c:showPercent val="0"/>
          <c:showBubbleSize val="0"/>
        </c:dLbls>
        <c:gapWidth val="37"/>
        <c:axId val="1377806815"/>
        <c:axId val="1377807295"/>
      </c:barChart>
      <c:catAx>
        <c:axId val="137780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07295"/>
        <c:crosses val="autoZero"/>
        <c:auto val="1"/>
        <c:lblAlgn val="ctr"/>
        <c:lblOffset val="100"/>
        <c:noMultiLvlLbl val="0"/>
      </c:catAx>
      <c:valAx>
        <c:axId val="1377807295"/>
        <c:scaling>
          <c:orientation val="minMax"/>
        </c:scaling>
        <c:delete val="1"/>
        <c:axPos val="l"/>
        <c:numFmt formatCode="_(* #,##0.0_);_(* \(#,##0.0\);_(* &quot;-&quot;??_);_(@_)" sourceLinked="1"/>
        <c:majorTickMark val="out"/>
        <c:minorTickMark val="none"/>
        <c:tickLblPos val="nextTo"/>
        <c:crossAx val="137780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Sustainability Dashboard Template as of 07032023 7.22AM.xlsx]PT!Campus_PT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70C0"/>
                </a:solidFill>
                <a:latin typeface="Oswald" pitchFamily="2" charset="0"/>
              </a:rPr>
              <a:t>Score per</a:t>
            </a:r>
            <a:r>
              <a:rPr lang="en-US" baseline="0">
                <a:solidFill>
                  <a:srgbClr val="0070C0"/>
                </a:solidFill>
                <a:latin typeface="Oswald" pitchFamily="2" charset="0"/>
              </a:rPr>
              <a:t> Campus</a:t>
            </a:r>
            <a:endParaRPr lang="en-US">
              <a:solidFill>
                <a:srgbClr val="0070C0"/>
              </a:solidFill>
              <a:latin typeface="Oswald" pitchFamily="2" charset="0"/>
            </a:endParaRPr>
          </a:p>
        </c:rich>
      </c:tx>
      <c:layout>
        <c:manualLayout>
          <c:xMode val="edge"/>
          <c:yMode val="edge"/>
          <c:x val="0.40106280193236721"/>
          <c:y val="3.34458192725909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17261972688198"/>
          <c:y val="0.18866501687289089"/>
          <c:w val="0.79477424017649967"/>
          <c:h val="0.73514450693663291"/>
        </c:manualLayout>
      </c:layout>
      <c:barChart>
        <c:barDir val="bar"/>
        <c:grouping val="clustered"/>
        <c:varyColors val="0"/>
        <c:ser>
          <c:idx val="0"/>
          <c:order val="0"/>
          <c:tx>
            <c:strRef>
              <c:f>PT!$J$6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PT!$I$7:$I$18</c:f>
              <c:strCache>
                <c:ptCount val="11"/>
                <c:pt idx="0">
                  <c:v>San Juan</c:v>
                </c:pt>
                <c:pt idx="1">
                  <c:v>Rosario</c:v>
                </c:pt>
                <c:pt idx="2">
                  <c:v>Lobo</c:v>
                </c:pt>
                <c:pt idx="3">
                  <c:v>Lipa</c:v>
                </c:pt>
                <c:pt idx="4">
                  <c:v>Balayan</c:v>
                </c:pt>
                <c:pt idx="5">
                  <c:v>JPLPC-Malvar</c:v>
                </c:pt>
                <c:pt idx="6">
                  <c:v>Lemery</c:v>
                </c:pt>
                <c:pt idx="7">
                  <c:v>ARASOF-Nasugbu</c:v>
                </c:pt>
                <c:pt idx="8">
                  <c:v>Mabini</c:v>
                </c:pt>
                <c:pt idx="9">
                  <c:v>Alangilan</c:v>
                </c:pt>
                <c:pt idx="10">
                  <c:v>Pablo Borbon</c:v>
                </c:pt>
              </c:strCache>
            </c:strRef>
          </c:cat>
          <c:val>
            <c:numRef>
              <c:f>PT!$J$7:$J$18</c:f>
              <c:numCache>
                <c:formatCode>_(* #,##0.0_);_(* \(#,##0.0\);_(* "-"??_);_(@_)</c:formatCode>
                <c:ptCount val="11"/>
                <c:pt idx="0">
                  <c:v>67</c:v>
                </c:pt>
                <c:pt idx="1">
                  <c:v>67.647058823529406</c:v>
                </c:pt>
                <c:pt idx="2">
                  <c:v>70.764705882352942</c:v>
                </c:pt>
                <c:pt idx="3">
                  <c:v>75.764705882352942</c:v>
                </c:pt>
                <c:pt idx="4">
                  <c:v>76.235294117647058</c:v>
                </c:pt>
                <c:pt idx="5">
                  <c:v>77.411764705882348</c:v>
                </c:pt>
                <c:pt idx="6">
                  <c:v>77.647058823529406</c:v>
                </c:pt>
                <c:pt idx="7">
                  <c:v>77.82352941176471</c:v>
                </c:pt>
                <c:pt idx="8">
                  <c:v>78.294117647058826</c:v>
                </c:pt>
                <c:pt idx="9">
                  <c:v>79.352941176470594</c:v>
                </c:pt>
                <c:pt idx="10">
                  <c:v>99</c:v>
                </c:pt>
              </c:numCache>
            </c:numRef>
          </c:val>
          <c:extLst>
            <c:ext xmlns:c16="http://schemas.microsoft.com/office/drawing/2014/chart" uri="{C3380CC4-5D6E-409C-BE32-E72D297353CC}">
              <c16:uniqueId val="{00000000-4DE8-4C92-8BCC-D4FA117AAA6C}"/>
            </c:ext>
          </c:extLst>
        </c:ser>
        <c:dLbls>
          <c:showLegendKey val="0"/>
          <c:showVal val="1"/>
          <c:showCatName val="0"/>
          <c:showSerName val="0"/>
          <c:showPercent val="0"/>
          <c:showBubbleSize val="0"/>
        </c:dLbls>
        <c:gapWidth val="47"/>
        <c:axId val="104276223"/>
        <c:axId val="104259903"/>
      </c:barChart>
      <c:catAx>
        <c:axId val="10427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9903"/>
        <c:crosses val="autoZero"/>
        <c:auto val="1"/>
        <c:lblAlgn val="ctr"/>
        <c:lblOffset val="100"/>
        <c:noMultiLvlLbl val="0"/>
      </c:catAx>
      <c:valAx>
        <c:axId val="104259903"/>
        <c:scaling>
          <c:orientation val="minMax"/>
        </c:scaling>
        <c:delete val="1"/>
        <c:axPos val="b"/>
        <c:numFmt formatCode="_(* #,##0.0_);_(* \(#,##0.0\);_(* &quot;-&quot;??_);_(@_)" sourceLinked="1"/>
        <c:majorTickMark val="none"/>
        <c:minorTickMark val="none"/>
        <c:tickLblPos val="nextTo"/>
        <c:crossAx val="10427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Sustainability Dashboard Template as of 07032023 7.22AM.xlsx]PT!Campus_PT</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rgbClr val="0070C0"/>
                </a:solidFill>
                <a:latin typeface="Oswald" pitchFamily="2" charset="0"/>
              </a:rPr>
              <a:t>BatStateU SDG Score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manualLayout>
          <c:layoutTarget val="inner"/>
          <c:xMode val="edge"/>
          <c:yMode val="edge"/>
          <c:x val="0.11717285339332584"/>
          <c:y val="0.16639789614707123"/>
          <c:w val="0.76168603924509437"/>
          <c:h val="0.73754059544217643"/>
        </c:manualLayout>
      </c:layout>
      <c:doughnutChart>
        <c:varyColors val="1"/>
        <c:ser>
          <c:idx val="0"/>
          <c:order val="0"/>
          <c:tx>
            <c:strRef>
              <c:f>PT!$J$6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A7-4168-A8AD-EA4CCF50DD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A7-4168-A8AD-EA4CCF50DD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A7-4168-A8AD-EA4CCF50DD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A7-4168-A8AD-EA4CCF50DD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A7-4168-A8AD-EA4CCF50DD8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A7-4168-A8AD-EA4CCF50DD8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A7-4168-A8AD-EA4CCF50DD8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A7-4168-A8AD-EA4CCF50DD8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A7-4168-A8AD-EA4CCF50DD8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A7-4168-A8AD-EA4CCF50DD8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EA7-4168-A8AD-EA4CCF50DD85}"/>
              </c:ext>
            </c:extLst>
          </c:dPt>
          <c:cat>
            <c:strRef>
              <c:f>PT!$I$7:$I$18</c:f>
              <c:strCache>
                <c:ptCount val="11"/>
                <c:pt idx="0">
                  <c:v>San Juan</c:v>
                </c:pt>
                <c:pt idx="1">
                  <c:v>Rosario</c:v>
                </c:pt>
                <c:pt idx="2">
                  <c:v>Lobo</c:v>
                </c:pt>
                <c:pt idx="3">
                  <c:v>Lipa</c:v>
                </c:pt>
                <c:pt idx="4">
                  <c:v>Balayan</c:v>
                </c:pt>
                <c:pt idx="5">
                  <c:v>JPLPC-Malvar</c:v>
                </c:pt>
                <c:pt idx="6">
                  <c:v>Lemery</c:v>
                </c:pt>
                <c:pt idx="7">
                  <c:v>ARASOF-Nasugbu</c:v>
                </c:pt>
                <c:pt idx="8">
                  <c:v>Mabini</c:v>
                </c:pt>
                <c:pt idx="9">
                  <c:v>Alangilan</c:v>
                </c:pt>
                <c:pt idx="10">
                  <c:v>Pablo Borbon</c:v>
                </c:pt>
              </c:strCache>
            </c:strRef>
          </c:cat>
          <c:val>
            <c:numRef>
              <c:f>PT!$J$7:$J$18</c:f>
              <c:numCache>
                <c:formatCode>_(* #,##0.0_);_(* \(#,##0.0\);_(* "-"??_);_(@_)</c:formatCode>
                <c:ptCount val="11"/>
                <c:pt idx="0">
                  <c:v>67</c:v>
                </c:pt>
                <c:pt idx="1">
                  <c:v>67.647058823529406</c:v>
                </c:pt>
                <c:pt idx="2">
                  <c:v>70.764705882352942</c:v>
                </c:pt>
                <c:pt idx="3">
                  <c:v>75.764705882352942</c:v>
                </c:pt>
                <c:pt idx="4">
                  <c:v>76.235294117647058</c:v>
                </c:pt>
                <c:pt idx="5">
                  <c:v>77.411764705882348</c:v>
                </c:pt>
                <c:pt idx="6">
                  <c:v>77.647058823529406</c:v>
                </c:pt>
                <c:pt idx="7">
                  <c:v>77.82352941176471</c:v>
                </c:pt>
                <c:pt idx="8">
                  <c:v>78.294117647058826</c:v>
                </c:pt>
                <c:pt idx="9">
                  <c:v>79.352941176470594</c:v>
                </c:pt>
                <c:pt idx="10">
                  <c:v>99</c:v>
                </c:pt>
              </c:numCache>
            </c:numRef>
          </c:val>
          <c:extLst>
            <c:ext xmlns:c16="http://schemas.microsoft.com/office/drawing/2014/chart" uri="{C3380CC4-5D6E-409C-BE32-E72D297353CC}">
              <c16:uniqueId val="{00000016-FEA7-4168-A8AD-EA4CCF50DD85}"/>
            </c:ext>
          </c:extLst>
        </c:ser>
        <c:dLbls>
          <c:showLegendKey val="0"/>
          <c:showVal val="0"/>
          <c:showCatName val="0"/>
          <c:showSerName val="0"/>
          <c:showPercent val="0"/>
          <c:showBubbleSize val="0"/>
          <c:showLeaderLines val="1"/>
        </c:dLbls>
        <c:firstSliceAng val="0"/>
        <c:holeSize val="7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Sustainability Dashboard Template as of 07032023 7.22AM.xlsx]PT!Campus_PT</c:name>
    <c:fmtId val="15"/>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delete val="1"/>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dLbl>
          <c:idx val="0"/>
          <c:delete val="1"/>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delete val="1"/>
          <c:extLst>
            <c:ext xmlns:c15="http://schemas.microsoft.com/office/drawing/2012/chart" uri="{CE6537A1-D6FC-4f65-9D91-7224C49458BB}"/>
          </c:extLst>
        </c:dLbl>
      </c:pivotFmt>
      <c:pivotFmt>
        <c:idx val="38"/>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39"/>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4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pivotFmt>
      <c:pivotFmt>
        <c:idx val="41"/>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42"/>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pivotFmt>
      <c:pivotFmt>
        <c:idx val="43"/>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
        <c:idx val="44"/>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pivotFmt>
      <c:pivotFmt>
        <c:idx val="4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4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8"/>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pivotFmt>
      <c:pivotFmt>
        <c:idx val="4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5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6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3"/>
        <c:marker>
          <c:symbol val="none"/>
        </c:marker>
        <c:dLbl>
          <c:idx val="0"/>
          <c:delete val="1"/>
          <c:extLst>
            <c:ext xmlns:c15="http://schemas.microsoft.com/office/drawing/2012/chart" uri="{CE6537A1-D6FC-4f65-9D91-7224C49458BB}"/>
          </c:extLst>
        </c:dLbl>
      </c:pivotFmt>
      <c:pivotFmt>
        <c:idx val="7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76"/>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77"/>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78"/>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7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8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
        <c:idx val="81"/>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pivotFmt>
      <c:pivotFmt>
        <c:idx val="82"/>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pivotFmt>
      <c:pivotFmt>
        <c:idx val="83"/>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pivotFmt>
      <c:pivotFmt>
        <c:idx val="84"/>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pivotFmt>
      <c:pivotFmt>
        <c:idx val="85"/>
        <c:marker>
          <c:symbol val="none"/>
        </c:marker>
        <c:dLbl>
          <c:idx val="0"/>
          <c:delete val="1"/>
          <c:extLst>
            <c:ext xmlns:c15="http://schemas.microsoft.com/office/drawing/2012/chart" uri="{CE6537A1-D6FC-4f65-9D91-7224C49458BB}"/>
          </c:extLst>
        </c:dLbl>
      </c:pivotFmt>
      <c:pivotFmt>
        <c:idx val="8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88"/>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89"/>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9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9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92"/>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
        <c:idx val="93"/>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pivotFmt>
      <c:pivotFmt>
        <c:idx val="94"/>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pivotFmt>
      <c:pivotFmt>
        <c:idx val="95"/>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pivotFmt>
      <c:pivotFmt>
        <c:idx val="96"/>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pivotFmt>
      <c:pivotFmt>
        <c:idx val="97"/>
        <c:marker>
          <c:symbol val="none"/>
        </c:marker>
        <c:dLbl>
          <c:idx val="0"/>
          <c:delete val="1"/>
          <c:extLst>
            <c:ext xmlns:c15="http://schemas.microsoft.com/office/drawing/2012/chart" uri="{CE6537A1-D6FC-4f65-9D91-7224C49458BB}"/>
          </c:extLst>
        </c:dLbl>
      </c:pivotFmt>
      <c:pivotFmt>
        <c:idx val="9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0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01"/>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102"/>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10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04"/>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
        <c:idx val="105"/>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pivotFmt>
      <c:pivotFmt>
        <c:idx val="106"/>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pivotFmt>
      <c:pivotFmt>
        <c:idx val="107"/>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pivotFmt>
      <c:pivotFmt>
        <c:idx val="108"/>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pivotFmt>
      <c:pivotFmt>
        <c:idx val="109"/>
        <c:marker>
          <c:symbol val="none"/>
        </c:marker>
        <c:dLbl>
          <c:idx val="0"/>
          <c:delete val="1"/>
          <c:extLst>
            <c:ext xmlns:c15="http://schemas.microsoft.com/office/drawing/2012/chart" uri="{CE6537A1-D6FC-4f65-9D91-7224C49458BB}"/>
          </c:extLst>
        </c:dLbl>
      </c:pivotFmt>
      <c:pivotFmt>
        <c:idx val="1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12"/>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1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114"/>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1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16"/>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
        <c:idx val="117"/>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pivotFmt>
      <c:pivotFmt>
        <c:idx val="118"/>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pivotFmt>
      <c:pivotFmt>
        <c:idx val="119"/>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pivotFmt>
      <c:pivotFmt>
        <c:idx val="12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pivotFmt>
    </c:pivotFmts>
    <c:plotArea>
      <c:layout>
        <c:manualLayout>
          <c:layoutTarget val="inner"/>
          <c:xMode val="edge"/>
          <c:yMode val="edge"/>
          <c:x val="7.9282254039900135E-2"/>
          <c:y val="3.0244026188176291E-2"/>
          <c:w val="0.85771210911056761"/>
          <c:h val="0.91829367054025313"/>
        </c:manualLayout>
      </c:layout>
      <c:doughnutChart>
        <c:varyColors val="1"/>
        <c:ser>
          <c:idx val="0"/>
          <c:order val="0"/>
          <c:tx>
            <c:strRef>
              <c:f>PT!$J$6</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31-006B-4A26-A8B7-D21F384BF250}"/>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33-006B-4A26-A8B7-D21F384BF250}"/>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35-006B-4A26-A8B7-D21F384BF250}"/>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37-006B-4A26-A8B7-D21F384BF250}"/>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39-006B-4A26-A8B7-D21F384BF250}"/>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3B-006B-4A26-A8B7-D21F384BF250}"/>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3D-006B-4A26-A8B7-D21F384BF250}"/>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3F-006B-4A26-A8B7-D21F384BF250}"/>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41-006B-4A26-A8B7-D21F384BF250}"/>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43-006B-4A26-A8B7-D21F384BF250}"/>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45-006B-4A26-A8B7-D21F384BF250}"/>
              </c:ext>
            </c:extLst>
          </c:dPt>
          <c:cat>
            <c:strRef>
              <c:f>PT!$I$7:$I$18</c:f>
              <c:strCache>
                <c:ptCount val="11"/>
                <c:pt idx="0">
                  <c:v>San Juan</c:v>
                </c:pt>
                <c:pt idx="1">
                  <c:v>Rosario</c:v>
                </c:pt>
                <c:pt idx="2">
                  <c:v>Lobo</c:v>
                </c:pt>
                <c:pt idx="3">
                  <c:v>Lipa</c:v>
                </c:pt>
                <c:pt idx="4">
                  <c:v>Balayan</c:v>
                </c:pt>
                <c:pt idx="5">
                  <c:v>JPLPC-Malvar</c:v>
                </c:pt>
                <c:pt idx="6">
                  <c:v>Lemery</c:v>
                </c:pt>
                <c:pt idx="7">
                  <c:v>ARASOF-Nasugbu</c:v>
                </c:pt>
                <c:pt idx="8">
                  <c:v>Mabini</c:v>
                </c:pt>
                <c:pt idx="9">
                  <c:v>Alangilan</c:v>
                </c:pt>
                <c:pt idx="10">
                  <c:v>Pablo Borbon</c:v>
                </c:pt>
              </c:strCache>
            </c:strRef>
          </c:cat>
          <c:val>
            <c:numRef>
              <c:f>PT!$J$7:$J$18</c:f>
              <c:numCache>
                <c:formatCode>_(* #,##0.0_);_(* \(#,##0.0\);_(* "-"??_);_(@_)</c:formatCode>
                <c:ptCount val="11"/>
                <c:pt idx="0">
                  <c:v>67</c:v>
                </c:pt>
                <c:pt idx="1">
                  <c:v>67.647058823529406</c:v>
                </c:pt>
                <c:pt idx="2">
                  <c:v>70.764705882352942</c:v>
                </c:pt>
                <c:pt idx="3">
                  <c:v>75.764705882352942</c:v>
                </c:pt>
                <c:pt idx="4">
                  <c:v>76.235294117647058</c:v>
                </c:pt>
                <c:pt idx="5">
                  <c:v>77.411764705882348</c:v>
                </c:pt>
                <c:pt idx="6">
                  <c:v>77.647058823529406</c:v>
                </c:pt>
                <c:pt idx="7">
                  <c:v>77.82352941176471</c:v>
                </c:pt>
                <c:pt idx="8">
                  <c:v>78.294117647058826</c:v>
                </c:pt>
                <c:pt idx="9">
                  <c:v>79.352941176470594</c:v>
                </c:pt>
                <c:pt idx="10">
                  <c:v>99</c:v>
                </c:pt>
              </c:numCache>
            </c:numRef>
          </c:val>
          <c:extLst>
            <c:ext xmlns:c16="http://schemas.microsoft.com/office/drawing/2014/chart" uri="{C3380CC4-5D6E-409C-BE32-E72D297353CC}">
              <c16:uniqueId val="{00000046-006B-4A26-A8B7-D21F384BF250}"/>
            </c:ext>
          </c:extLst>
        </c:ser>
        <c:dLbls>
          <c:showLegendKey val="0"/>
          <c:showVal val="0"/>
          <c:showCatName val="0"/>
          <c:showSerName val="0"/>
          <c:showPercent val="0"/>
          <c:showBubbleSize val="0"/>
          <c:showLeaderLines val="1"/>
        </c:dLbls>
        <c:firstSliceAng val="0"/>
        <c:holeSize val="9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Sustainability Dashboard Template as of 07032023 7.22AM.xlsx]PT!SDG_PT</c:name>
    <c:fmtId val="8"/>
  </c:pivotSource>
  <c:chart>
    <c:title>
      <c:tx>
        <c:rich>
          <a:bodyPr rot="0" spcFirstLastPara="1" vertOverflow="ellipsis" vert="horz" wrap="square" anchor="ctr" anchorCtr="1"/>
          <a:lstStyle/>
          <a:p>
            <a:pPr algn="ctr" rtl="0">
              <a:defRPr lang="en-US" sz="1100" b="0" i="0" u="none" strike="noStrike" kern="1200" spc="0" baseline="0">
                <a:solidFill>
                  <a:srgbClr val="0070C0"/>
                </a:solidFill>
                <a:latin typeface="Oswald" pitchFamily="2" charset="0"/>
                <a:ea typeface="+mn-ea"/>
                <a:cs typeface="+mn-cs"/>
              </a:defRPr>
            </a:pPr>
            <a:r>
              <a:rPr lang="en-US" sz="1100" b="0" i="0" u="none" strike="noStrike" kern="1200" spc="0" baseline="0">
                <a:solidFill>
                  <a:srgbClr val="0070C0"/>
                </a:solidFill>
                <a:latin typeface="Oswald" pitchFamily="2" charset="0"/>
                <a:ea typeface="+mn-ea"/>
                <a:cs typeface="+mn-cs"/>
              </a:rPr>
              <a:t>Campus SDG Score</a:t>
            </a:r>
          </a:p>
        </c:rich>
      </c:tx>
      <c:overlay val="0"/>
      <c:spPr>
        <a:noFill/>
        <a:ln>
          <a:noFill/>
        </a:ln>
        <a:effectLst/>
      </c:spPr>
      <c:txPr>
        <a:bodyPr rot="0" spcFirstLastPara="1" vertOverflow="ellipsis" vert="horz" wrap="square" anchor="ctr" anchorCtr="1"/>
        <a:lstStyle/>
        <a:p>
          <a:pPr algn="ctr" rtl="0">
            <a:defRPr lang="en-US" sz="1100" b="0" i="0" u="none" strike="noStrike" kern="1200" spc="0" baseline="0">
              <a:solidFill>
                <a:srgbClr val="0070C0"/>
              </a:solidFill>
              <a:latin typeface="Oswald" pitchFamily="2"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s>
    <c:plotArea>
      <c:layout>
        <c:manualLayout>
          <c:layoutTarget val="inner"/>
          <c:xMode val="edge"/>
          <c:yMode val="edge"/>
          <c:x val="7.3025871766029246E-2"/>
          <c:y val="0.11925729283839522"/>
          <c:w val="0.86982127234095741"/>
          <c:h val="0.83502842144731904"/>
        </c:manualLayout>
      </c:layout>
      <c:doughnutChart>
        <c:varyColors val="1"/>
        <c:ser>
          <c:idx val="0"/>
          <c:order val="0"/>
          <c:tx>
            <c:strRef>
              <c:f>PT!$F$6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6A-4C41-9DC5-220419AD63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6A-4C41-9DC5-220419AD63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6A-4C41-9DC5-220419AD631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6A-4C41-9DC5-220419AD63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6A-4C41-9DC5-220419AD63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D6A-4C41-9DC5-220419AD631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D6A-4C41-9DC5-220419AD631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D6A-4C41-9DC5-220419AD631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D6A-4C41-9DC5-220419AD631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D6A-4C41-9DC5-220419AD631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D6A-4C41-9DC5-220419AD631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D6A-4C41-9DC5-220419AD631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D6A-4C41-9DC5-220419AD631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D6A-4C41-9DC5-220419AD631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D6A-4C41-9DC5-220419AD631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D6A-4C41-9DC5-220419AD631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D6A-4C41-9DC5-220419AD631E}"/>
              </c:ext>
            </c:extLst>
          </c:dPt>
          <c:cat>
            <c:strRef>
              <c:f>PT!$E$7:$E$24</c:f>
              <c:strCach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strCache>
            </c:strRef>
          </c:cat>
          <c:val>
            <c:numRef>
              <c:f>PT!$F$7:$F$24</c:f>
              <c:numCache>
                <c:formatCode>_(* #,##0.0_);_(* \(#,##0.0\);_(* "-"??_);_(@_)</c:formatCode>
                <c:ptCount val="17"/>
                <c:pt idx="0">
                  <c:v>86.63636363636364</c:v>
                </c:pt>
                <c:pt idx="1">
                  <c:v>68.090909090909093</c:v>
                </c:pt>
                <c:pt idx="2">
                  <c:v>74.727272727272734</c:v>
                </c:pt>
                <c:pt idx="3">
                  <c:v>75.36363636363636</c:v>
                </c:pt>
                <c:pt idx="4">
                  <c:v>84.909090909090907</c:v>
                </c:pt>
                <c:pt idx="5">
                  <c:v>67.727272727272734</c:v>
                </c:pt>
                <c:pt idx="6">
                  <c:v>73</c:v>
                </c:pt>
                <c:pt idx="7">
                  <c:v>76</c:v>
                </c:pt>
                <c:pt idx="8">
                  <c:v>73</c:v>
                </c:pt>
                <c:pt idx="9">
                  <c:v>90.63636363636364</c:v>
                </c:pt>
                <c:pt idx="10">
                  <c:v>72.36363636363636</c:v>
                </c:pt>
                <c:pt idx="11">
                  <c:v>72</c:v>
                </c:pt>
                <c:pt idx="12">
                  <c:v>73.727272727272734</c:v>
                </c:pt>
                <c:pt idx="13">
                  <c:v>79.909090909090907</c:v>
                </c:pt>
                <c:pt idx="14">
                  <c:v>78.727272727272734</c:v>
                </c:pt>
                <c:pt idx="15">
                  <c:v>72.454545454545453</c:v>
                </c:pt>
                <c:pt idx="16">
                  <c:v>89.63636363636364</c:v>
                </c:pt>
              </c:numCache>
            </c:numRef>
          </c:val>
          <c:extLst>
            <c:ext xmlns:c16="http://schemas.microsoft.com/office/drawing/2014/chart" uri="{C3380CC4-5D6E-409C-BE32-E72D297353CC}">
              <c16:uniqueId val="{00000022-AD6A-4C41-9DC5-220419AD631E}"/>
            </c:ext>
          </c:extLst>
        </c:ser>
        <c:dLbls>
          <c:showLegendKey val="0"/>
          <c:showVal val="0"/>
          <c:showCatName val="0"/>
          <c:showSerName val="0"/>
          <c:showPercent val="0"/>
          <c:showBubbleSize val="0"/>
          <c:showLeaderLines val="1"/>
        </c:dLbls>
        <c:firstSliceAng val="0"/>
        <c:holeSize val="8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Sustainability Dashboard Template as of 07032023 7.22AM.xlsx]PT!PivotTable2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PT!$B$29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20-40AE-BB16-4C8AAF8A35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20-40AE-BB16-4C8AAF8A35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PT!$A$30:$A$32</c:f>
              <c:strCache>
                <c:ptCount val="2"/>
                <c:pt idx="0">
                  <c:v>Actual</c:v>
                </c:pt>
                <c:pt idx="1">
                  <c:v>Target</c:v>
                </c:pt>
              </c:strCache>
            </c:strRef>
          </c:cat>
          <c:val>
            <c:numRef>
              <c:f>PT!$B$30:$B$32</c:f>
              <c:numCache>
                <c:formatCode>General</c:formatCode>
                <c:ptCount val="2"/>
                <c:pt idx="0">
                  <c:v>99.529411764705884</c:v>
                </c:pt>
                <c:pt idx="1">
                  <c:v>0.47058823529411598</c:v>
                </c:pt>
              </c:numCache>
            </c:numRef>
          </c:val>
          <c:extLst>
            <c:ext xmlns:c16="http://schemas.microsoft.com/office/drawing/2014/chart" uri="{C3380CC4-5D6E-409C-BE32-E72D297353CC}">
              <c16:uniqueId val="{00000000-F58A-46C0-BF30-BF25AB46E7F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Sustainability Dashboard Template as of 07032023 7.22AM.xlsx]CampusScore!PivotTable4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CAMPUS</a:t>
            </a:r>
            <a:r>
              <a:rPr lang="en-PH" baseline="0"/>
              <a:t> SCORE</a:t>
            </a:r>
            <a:endParaRPr lang="en-PH"/>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649313737865027E-2"/>
          <c:y val="0.13413043478260869"/>
          <c:w val="0.93166475278576089"/>
          <c:h val="0.80983510213397236"/>
        </c:manualLayout>
      </c:layout>
      <c:barChart>
        <c:barDir val="col"/>
        <c:grouping val="clustered"/>
        <c:varyColors val="0"/>
        <c:ser>
          <c:idx val="0"/>
          <c:order val="0"/>
          <c:tx>
            <c:strRef>
              <c:f>CampusScore!$B$43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CampusScore!$A$44:$A$61</c:f>
              <c:strCache>
                <c:ptCount val="17"/>
                <c:pt idx="0">
                  <c:v>SDG 1</c:v>
                </c:pt>
                <c:pt idx="1">
                  <c:v>SDG 2</c:v>
                </c:pt>
                <c:pt idx="2">
                  <c:v>SDG 3</c:v>
                </c:pt>
                <c:pt idx="3">
                  <c:v>SDG 4</c:v>
                </c:pt>
                <c:pt idx="4">
                  <c:v>SDG 5</c:v>
                </c:pt>
                <c:pt idx="5">
                  <c:v>SDG 6</c:v>
                </c:pt>
                <c:pt idx="6">
                  <c:v>SDG 7</c:v>
                </c:pt>
                <c:pt idx="7">
                  <c:v>SDG 8</c:v>
                </c:pt>
                <c:pt idx="8">
                  <c:v>SDG 9</c:v>
                </c:pt>
                <c:pt idx="9">
                  <c:v>SDG 10</c:v>
                </c:pt>
                <c:pt idx="10">
                  <c:v>SDG 11</c:v>
                </c:pt>
                <c:pt idx="11">
                  <c:v>SDG 12</c:v>
                </c:pt>
                <c:pt idx="12">
                  <c:v>SDG 13</c:v>
                </c:pt>
                <c:pt idx="13">
                  <c:v>SDG 14</c:v>
                </c:pt>
                <c:pt idx="14">
                  <c:v>SDG 15</c:v>
                </c:pt>
                <c:pt idx="15">
                  <c:v>SDG 16</c:v>
                </c:pt>
                <c:pt idx="16">
                  <c:v>SDG 17</c:v>
                </c:pt>
              </c:strCache>
            </c:strRef>
          </c:cat>
          <c:val>
            <c:numRef>
              <c:f>CampusScore!$B$44:$B$61</c:f>
              <c:numCache>
                <c:formatCode>General</c:formatCode>
                <c:ptCount val="17"/>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numCache>
            </c:numRef>
          </c:val>
          <c:extLst>
            <c:ext xmlns:c16="http://schemas.microsoft.com/office/drawing/2014/chart" uri="{C3380CC4-5D6E-409C-BE32-E72D297353CC}">
              <c16:uniqueId val="{00000000-5437-4D47-938B-F413391A2149}"/>
            </c:ext>
          </c:extLst>
        </c:ser>
        <c:dLbls>
          <c:showLegendKey val="0"/>
          <c:showVal val="1"/>
          <c:showCatName val="0"/>
          <c:showSerName val="0"/>
          <c:showPercent val="0"/>
          <c:showBubbleSize val="0"/>
        </c:dLbls>
        <c:gapWidth val="100"/>
        <c:overlap val="-24"/>
        <c:axId val="1280392064"/>
        <c:axId val="1280393024"/>
      </c:barChart>
      <c:catAx>
        <c:axId val="12803920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93024"/>
        <c:crosses val="autoZero"/>
        <c:auto val="1"/>
        <c:lblAlgn val="ctr"/>
        <c:lblOffset val="100"/>
        <c:noMultiLvlLbl val="0"/>
      </c:catAx>
      <c:valAx>
        <c:axId val="128039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9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hyperlink" Target="#'SDG2'!A1"/><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6.jpeg"/><Relationship Id="rId2" Type="http://schemas.openxmlformats.org/officeDocument/2006/relationships/image" Target="../media/image2.jpeg"/><Relationship Id="rId16" Type="http://schemas.openxmlformats.org/officeDocument/2006/relationships/hyperlink" Target="#'SDG1'!A1"/><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7.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574184</xdr:colOff>
      <xdr:row>12</xdr:row>
      <xdr:rowOff>59389</xdr:rowOff>
    </xdr:from>
    <xdr:to>
      <xdr:col>4</xdr:col>
      <xdr:colOff>124730</xdr:colOff>
      <xdr:row>19</xdr:row>
      <xdr:rowOff>97489</xdr:rowOff>
    </xdr:to>
    <xdr:pic>
      <xdr:nvPicPr>
        <xdr:cNvPr id="25" name="image658.jpeg">
          <a:extLst>
            <a:ext uri="{FF2B5EF4-FFF2-40B4-BE49-F238E27FC236}">
              <a16:creationId xmlns:a16="http://schemas.microsoft.com/office/drawing/2014/main" id="{4B45C5E9-BAAE-424A-B27B-1E56680932FA}"/>
            </a:ext>
          </a:extLst>
        </xdr:cNvPr>
        <xdr:cNvPicPr>
          <a:picLocks noChangeAspect="1"/>
        </xdr:cNvPicPr>
      </xdr:nvPicPr>
      <xdr:blipFill>
        <a:blip xmlns:r="http://schemas.openxmlformats.org/officeDocument/2006/relationships" r:embed="rId1" cstate="print"/>
        <a:stretch>
          <a:fillRect/>
        </a:stretch>
      </xdr:blipFill>
      <xdr:spPr>
        <a:xfrm>
          <a:off x="1179302" y="2535889"/>
          <a:ext cx="1365899" cy="1371600"/>
        </a:xfrm>
        <a:prstGeom prst="rect">
          <a:avLst/>
        </a:prstGeom>
      </xdr:spPr>
    </xdr:pic>
    <xdr:clientData/>
  </xdr:twoCellAnchor>
  <xdr:twoCellAnchor editAs="oneCell">
    <xdr:from>
      <xdr:col>1</xdr:col>
      <xdr:colOff>585390</xdr:colOff>
      <xdr:row>21</xdr:row>
      <xdr:rowOff>126623</xdr:rowOff>
    </xdr:from>
    <xdr:to>
      <xdr:col>4</xdr:col>
      <xdr:colOff>125493</xdr:colOff>
      <xdr:row>28</xdr:row>
      <xdr:rowOff>164723</xdr:rowOff>
    </xdr:to>
    <xdr:pic>
      <xdr:nvPicPr>
        <xdr:cNvPr id="26" name="image665.jpeg">
          <a:extLst>
            <a:ext uri="{FF2B5EF4-FFF2-40B4-BE49-F238E27FC236}">
              <a16:creationId xmlns:a16="http://schemas.microsoft.com/office/drawing/2014/main" id="{983FBD38-D2DD-4014-9E85-09482E4ABEEC}"/>
            </a:ext>
          </a:extLst>
        </xdr:cNvPr>
        <xdr:cNvPicPr>
          <a:picLocks noChangeAspect="1"/>
        </xdr:cNvPicPr>
      </xdr:nvPicPr>
      <xdr:blipFill>
        <a:blip xmlns:r="http://schemas.openxmlformats.org/officeDocument/2006/relationships" r:embed="rId2" cstate="print"/>
        <a:stretch>
          <a:fillRect/>
        </a:stretch>
      </xdr:blipFill>
      <xdr:spPr>
        <a:xfrm>
          <a:off x="1190508" y="4317623"/>
          <a:ext cx="1355456" cy="1371600"/>
        </a:xfrm>
        <a:prstGeom prst="rect">
          <a:avLst/>
        </a:prstGeom>
      </xdr:spPr>
    </xdr:pic>
    <xdr:clientData/>
  </xdr:twoCellAnchor>
  <xdr:twoCellAnchor editAs="oneCell">
    <xdr:from>
      <xdr:col>4</xdr:col>
      <xdr:colOff>440199</xdr:colOff>
      <xdr:row>21</xdr:row>
      <xdr:rowOff>126623</xdr:rowOff>
    </xdr:from>
    <xdr:to>
      <xdr:col>6</xdr:col>
      <xdr:colOff>599802</xdr:colOff>
      <xdr:row>28</xdr:row>
      <xdr:rowOff>164723</xdr:rowOff>
    </xdr:to>
    <xdr:pic>
      <xdr:nvPicPr>
        <xdr:cNvPr id="27" name="image668.jpeg">
          <a:extLst>
            <a:ext uri="{FF2B5EF4-FFF2-40B4-BE49-F238E27FC236}">
              <a16:creationId xmlns:a16="http://schemas.microsoft.com/office/drawing/2014/main" id="{A9459933-038E-4D00-9C01-C7826FE7C44C}"/>
            </a:ext>
          </a:extLst>
        </xdr:cNvPr>
        <xdr:cNvPicPr>
          <a:picLocks noChangeAspect="1"/>
        </xdr:cNvPicPr>
      </xdr:nvPicPr>
      <xdr:blipFill>
        <a:blip xmlns:r="http://schemas.openxmlformats.org/officeDocument/2006/relationships" r:embed="rId3" cstate="print"/>
        <a:stretch>
          <a:fillRect/>
        </a:stretch>
      </xdr:blipFill>
      <xdr:spPr>
        <a:xfrm>
          <a:off x="2860670" y="5270123"/>
          <a:ext cx="1369838" cy="1371600"/>
        </a:xfrm>
        <a:prstGeom prst="rect">
          <a:avLst/>
        </a:prstGeom>
      </xdr:spPr>
    </xdr:pic>
    <xdr:clientData/>
  </xdr:twoCellAnchor>
  <xdr:twoCellAnchor editAs="oneCell">
    <xdr:from>
      <xdr:col>13</xdr:col>
      <xdr:colOff>186131</xdr:colOff>
      <xdr:row>2</xdr:row>
      <xdr:rowOff>126626</xdr:rowOff>
    </xdr:from>
    <xdr:to>
      <xdr:col>15</xdr:col>
      <xdr:colOff>337226</xdr:colOff>
      <xdr:row>9</xdr:row>
      <xdr:rowOff>164726</xdr:rowOff>
    </xdr:to>
    <xdr:pic>
      <xdr:nvPicPr>
        <xdr:cNvPr id="28" name="image655.jpeg">
          <a:extLst>
            <a:ext uri="{FF2B5EF4-FFF2-40B4-BE49-F238E27FC236}">
              <a16:creationId xmlns:a16="http://schemas.microsoft.com/office/drawing/2014/main" id="{85AC1B1D-429D-4888-B4C0-E74F2605EF64}"/>
            </a:ext>
          </a:extLst>
        </xdr:cNvPr>
        <xdr:cNvPicPr>
          <a:picLocks noChangeAspect="1"/>
        </xdr:cNvPicPr>
      </xdr:nvPicPr>
      <xdr:blipFill>
        <a:blip xmlns:r="http://schemas.openxmlformats.org/officeDocument/2006/relationships" r:embed="rId4" cstate="print"/>
        <a:stretch>
          <a:fillRect/>
        </a:stretch>
      </xdr:blipFill>
      <xdr:spPr>
        <a:xfrm>
          <a:off x="8052660" y="698126"/>
          <a:ext cx="1361331" cy="1371600"/>
        </a:xfrm>
        <a:prstGeom prst="rect">
          <a:avLst/>
        </a:prstGeom>
      </xdr:spPr>
    </xdr:pic>
    <xdr:clientData/>
  </xdr:twoCellAnchor>
  <xdr:twoCellAnchor editAs="oneCell">
    <xdr:from>
      <xdr:col>10</xdr:col>
      <xdr:colOff>411039</xdr:colOff>
      <xdr:row>2</xdr:row>
      <xdr:rowOff>111077</xdr:rowOff>
    </xdr:from>
    <xdr:to>
      <xdr:col>12</xdr:col>
      <xdr:colOff>562211</xdr:colOff>
      <xdr:row>9</xdr:row>
      <xdr:rowOff>149177</xdr:rowOff>
    </xdr:to>
    <xdr:pic>
      <xdr:nvPicPr>
        <xdr:cNvPr id="29" name="image660.jpeg">
          <a:extLst>
            <a:ext uri="{FF2B5EF4-FFF2-40B4-BE49-F238E27FC236}">
              <a16:creationId xmlns:a16="http://schemas.microsoft.com/office/drawing/2014/main" id="{A4288695-0617-4225-BFA6-D192A522C576}"/>
            </a:ext>
          </a:extLst>
        </xdr:cNvPr>
        <xdr:cNvPicPr>
          <a:picLocks noChangeAspect="1"/>
        </xdr:cNvPicPr>
      </xdr:nvPicPr>
      <xdr:blipFill>
        <a:blip xmlns:r="http://schemas.openxmlformats.org/officeDocument/2006/relationships" r:embed="rId5" cstate="print"/>
        <a:stretch>
          <a:fillRect/>
        </a:stretch>
      </xdr:blipFill>
      <xdr:spPr>
        <a:xfrm>
          <a:off x="6462215" y="682577"/>
          <a:ext cx="1361408" cy="1371600"/>
        </a:xfrm>
        <a:prstGeom prst="rect">
          <a:avLst/>
        </a:prstGeom>
      </xdr:spPr>
    </xdr:pic>
    <xdr:clientData/>
  </xdr:twoCellAnchor>
  <xdr:twoCellAnchor editAs="oneCell">
    <xdr:from>
      <xdr:col>10</xdr:col>
      <xdr:colOff>411039</xdr:colOff>
      <xdr:row>11</xdr:row>
      <xdr:rowOff>66256</xdr:rowOff>
    </xdr:from>
    <xdr:to>
      <xdr:col>12</xdr:col>
      <xdr:colOff>562138</xdr:colOff>
      <xdr:row>18</xdr:row>
      <xdr:rowOff>104356</xdr:rowOff>
    </xdr:to>
    <xdr:pic>
      <xdr:nvPicPr>
        <xdr:cNvPr id="30" name="image661.jpeg">
          <a:extLst>
            <a:ext uri="{FF2B5EF4-FFF2-40B4-BE49-F238E27FC236}">
              <a16:creationId xmlns:a16="http://schemas.microsoft.com/office/drawing/2014/main" id="{FD2875D2-CFCF-4C02-A72D-D5C1B0950214}"/>
            </a:ext>
          </a:extLst>
        </xdr:cNvPr>
        <xdr:cNvPicPr>
          <a:picLocks noChangeAspect="1"/>
        </xdr:cNvPicPr>
      </xdr:nvPicPr>
      <xdr:blipFill>
        <a:blip xmlns:r="http://schemas.openxmlformats.org/officeDocument/2006/relationships" r:embed="rId6" cstate="print"/>
        <a:stretch>
          <a:fillRect/>
        </a:stretch>
      </xdr:blipFill>
      <xdr:spPr>
        <a:xfrm>
          <a:off x="6462215" y="2352256"/>
          <a:ext cx="1361335" cy="1371600"/>
        </a:xfrm>
        <a:prstGeom prst="rect">
          <a:avLst/>
        </a:prstGeom>
      </xdr:spPr>
    </xdr:pic>
    <xdr:clientData/>
  </xdr:twoCellAnchor>
  <xdr:twoCellAnchor editAs="oneCell">
    <xdr:from>
      <xdr:col>13</xdr:col>
      <xdr:colOff>181569</xdr:colOff>
      <xdr:row>13</xdr:row>
      <xdr:rowOff>21427</xdr:rowOff>
    </xdr:from>
    <xdr:to>
      <xdr:col>15</xdr:col>
      <xdr:colOff>337226</xdr:colOff>
      <xdr:row>20</xdr:row>
      <xdr:rowOff>59527</xdr:rowOff>
    </xdr:to>
    <xdr:pic>
      <xdr:nvPicPr>
        <xdr:cNvPr id="31" name="image666.jpeg">
          <a:extLst>
            <a:ext uri="{FF2B5EF4-FFF2-40B4-BE49-F238E27FC236}">
              <a16:creationId xmlns:a16="http://schemas.microsoft.com/office/drawing/2014/main" id="{D338AC7B-E8B7-47B5-9DD7-B890C139F10A}"/>
            </a:ext>
          </a:extLst>
        </xdr:cNvPr>
        <xdr:cNvPicPr>
          <a:picLocks noChangeAspect="1"/>
        </xdr:cNvPicPr>
      </xdr:nvPicPr>
      <xdr:blipFill>
        <a:blip xmlns:r="http://schemas.openxmlformats.org/officeDocument/2006/relationships" r:embed="rId7" cstate="print"/>
        <a:stretch>
          <a:fillRect/>
        </a:stretch>
      </xdr:blipFill>
      <xdr:spPr>
        <a:xfrm>
          <a:off x="8048098" y="2688427"/>
          <a:ext cx="1365893" cy="1371600"/>
        </a:xfrm>
        <a:prstGeom prst="rect">
          <a:avLst/>
        </a:prstGeom>
      </xdr:spPr>
    </xdr:pic>
    <xdr:clientData/>
  </xdr:twoCellAnchor>
  <xdr:twoCellAnchor editAs="oneCell">
    <xdr:from>
      <xdr:col>13</xdr:col>
      <xdr:colOff>192767</xdr:colOff>
      <xdr:row>21</xdr:row>
      <xdr:rowOff>126623</xdr:rowOff>
    </xdr:from>
    <xdr:to>
      <xdr:col>15</xdr:col>
      <xdr:colOff>348432</xdr:colOff>
      <xdr:row>28</xdr:row>
      <xdr:rowOff>164723</xdr:rowOff>
    </xdr:to>
    <xdr:pic>
      <xdr:nvPicPr>
        <xdr:cNvPr id="32" name="image669.jpeg">
          <a:extLst>
            <a:ext uri="{FF2B5EF4-FFF2-40B4-BE49-F238E27FC236}">
              <a16:creationId xmlns:a16="http://schemas.microsoft.com/office/drawing/2014/main" id="{3810D00B-01B6-41D7-9085-A1150CD1C4C3}"/>
            </a:ext>
          </a:extLst>
        </xdr:cNvPr>
        <xdr:cNvPicPr>
          <a:picLocks noChangeAspect="1"/>
        </xdr:cNvPicPr>
      </xdr:nvPicPr>
      <xdr:blipFill>
        <a:blip xmlns:r="http://schemas.openxmlformats.org/officeDocument/2006/relationships" r:embed="rId8" cstate="print"/>
        <a:stretch>
          <a:fillRect/>
        </a:stretch>
      </xdr:blipFill>
      <xdr:spPr>
        <a:xfrm>
          <a:off x="8059296" y="4317623"/>
          <a:ext cx="1365901" cy="1371600"/>
        </a:xfrm>
        <a:prstGeom prst="rect">
          <a:avLst/>
        </a:prstGeom>
      </xdr:spPr>
    </xdr:pic>
    <xdr:clientData/>
  </xdr:twoCellAnchor>
  <xdr:twoCellAnchor editAs="oneCell">
    <xdr:from>
      <xdr:col>10</xdr:col>
      <xdr:colOff>422245</xdr:colOff>
      <xdr:row>21</xdr:row>
      <xdr:rowOff>126623</xdr:rowOff>
    </xdr:from>
    <xdr:to>
      <xdr:col>12</xdr:col>
      <xdr:colOff>577911</xdr:colOff>
      <xdr:row>28</xdr:row>
      <xdr:rowOff>164723</xdr:rowOff>
    </xdr:to>
    <xdr:pic>
      <xdr:nvPicPr>
        <xdr:cNvPr id="33" name="image656.jpeg">
          <a:extLst>
            <a:ext uri="{FF2B5EF4-FFF2-40B4-BE49-F238E27FC236}">
              <a16:creationId xmlns:a16="http://schemas.microsoft.com/office/drawing/2014/main" id="{1372DAE6-DFA9-4736-8E7D-2CD34BC47B54}"/>
            </a:ext>
          </a:extLst>
        </xdr:cNvPr>
        <xdr:cNvPicPr>
          <a:picLocks noChangeAspect="1"/>
        </xdr:cNvPicPr>
      </xdr:nvPicPr>
      <xdr:blipFill>
        <a:blip xmlns:r="http://schemas.openxmlformats.org/officeDocument/2006/relationships" r:embed="rId9" cstate="print"/>
        <a:stretch>
          <a:fillRect/>
        </a:stretch>
      </xdr:blipFill>
      <xdr:spPr>
        <a:xfrm>
          <a:off x="6473421" y="4317623"/>
          <a:ext cx="1365902" cy="1371600"/>
        </a:xfrm>
        <a:prstGeom prst="rect">
          <a:avLst/>
        </a:prstGeom>
      </xdr:spPr>
    </xdr:pic>
    <xdr:clientData/>
  </xdr:twoCellAnchor>
  <xdr:twoCellAnchor editAs="oneCell">
    <xdr:from>
      <xdr:col>19</xdr:col>
      <xdr:colOff>307083</xdr:colOff>
      <xdr:row>2</xdr:row>
      <xdr:rowOff>122284</xdr:rowOff>
    </xdr:from>
    <xdr:to>
      <xdr:col>21</xdr:col>
      <xdr:colOff>462737</xdr:colOff>
      <xdr:row>9</xdr:row>
      <xdr:rowOff>160384</xdr:rowOff>
    </xdr:to>
    <xdr:pic>
      <xdr:nvPicPr>
        <xdr:cNvPr id="34" name="image663.jpeg">
          <a:extLst>
            <a:ext uri="{FF2B5EF4-FFF2-40B4-BE49-F238E27FC236}">
              <a16:creationId xmlns:a16="http://schemas.microsoft.com/office/drawing/2014/main" id="{3A99AA56-EBB1-4AC3-8CF1-96E8463236A0}"/>
            </a:ext>
          </a:extLst>
        </xdr:cNvPr>
        <xdr:cNvPicPr>
          <a:picLocks noChangeAspect="1"/>
        </xdr:cNvPicPr>
      </xdr:nvPicPr>
      <xdr:blipFill>
        <a:blip xmlns:r="http://schemas.openxmlformats.org/officeDocument/2006/relationships" r:embed="rId10" cstate="print"/>
        <a:stretch>
          <a:fillRect/>
        </a:stretch>
      </xdr:blipFill>
      <xdr:spPr>
        <a:xfrm>
          <a:off x="11804318" y="693784"/>
          <a:ext cx="1365890" cy="1371600"/>
        </a:xfrm>
        <a:prstGeom prst="rect">
          <a:avLst/>
        </a:prstGeom>
      </xdr:spPr>
    </xdr:pic>
    <xdr:clientData/>
  </xdr:twoCellAnchor>
  <xdr:twoCellAnchor editAs="oneCell">
    <xdr:from>
      <xdr:col>19</xdr:col>
      <xdr:colOff>309321</xdr:colOff>
      <xdr:row>12</xdr:row>
      <xdr:rowOff>64622</xdr:rowOff>
    </xdr:from>
    <xdr:to>
      <xdr:col>21</xdr:col>
      <xdr:colOff>460499</xdr:colOff>
      <xdr:row>19</xdr:row>
      <xdr:rowOff>102722</xdr:rowOff>
    </xdr:to>
    <xdr:pic>
      <xdr:nvPicPr>
        <xdr:cNvPr id="35" name="image662.jpeg">
          <a:extLst>
            <a:ext uri="{FF2B5EF4-FFF2-40B4-BE49-F238E27FC236}">
              <a16:creationId xmlns:a16="http://schemas.microsoft.com/office/drawing/2014/main" id="{E31FB0B7-3B86-42AA-B260-31651567F7DD}"/>
            </a:ext>
          </a:extLst>
        </xdr:cNvPr>
        <xdr:cNvPicPr>
          <a:picLocks noChangeAspect="1"/>
        </xdr:cNvPicPr>
      </xdr:nvPicPr>
      <xdr:blipFill>
        <a:blip xmlns:r="http://schemas.openxmlformats.org/officeDocument/2006/relationships" r:embed="rId11" cstate="print"/>
        <a:stretch>
          <a:fillRect/>
        </a:stretch>
      </xdr:blipFill>
      <xdr:spPr>
        <a:xfrm>
          <a:off x="11806556" y="2541122"/>
          <a:ext cx="1361414" cy="1371600"/>
        </a:xfrm>
        <a:prstGeom prst="rect">
          <a:avLst/>
        </a:prstGeom>
      </xdr:spPr>
    </xdr:pic>
    <xdr:clientData/>
  </xdr:twoCellAnchor>
  <xdr:twoCellAnchor editAs="oneCell">
    <xdr:from>
      <xdr:col>19</xdr:col>
      <xdr:colOff>312101</xdr:colOff>
      <xdr:row>22</xdr:row>
      <xdr:rowOff>6961</xdr:rowOff>
    </xdr:from>
    <xdr:to>
      <xdr:col>21</xdr:col>
      <xdr:colOff>471705</xdr:colOff>
      <xdr:row>29</xdr:row>
      <xdr:rowOff>45061</xdr:rowOff>
    </xdr:to>
    <xdr:pic>
      <xdr:nvPicPr>
        <xdr:cNvPr id="36" name="image667.jpeg">
          <a:extLst>
            <a:ext uri="{FF2B5EF4-FFF2-40B4-BE49-F238E27FC236}">
              <a16:creationId xmlns:a16="http://schemas.microsoft.com/office/drawing/2014/main" id="{6B377B1E-C7A0-4868-B945-BC5E95844BF9}"/>
            </a:ext>
          </a:extLst>
        </xdr:cNvPr>
        <xdr:cNvPicPr>
          <a:picLocks noChangeAspect="1"/>
        </xdr:cNvPicPr>
      </xdr:nvPicPr>
      <xdr:blipFill>
        <a:blip xmlns:r="http://schemas.openxmlformats.org/officeDocument/2006/relationships" r:embed="rId12" cstate="print"/>
        <a:stretch>
          <a:fillRect/>
        </a:stretch>
      </xdr:blipFill>
      <xdr:spPr>
        <a:xfrm>
          <a:off x="11809336" y="4388461"/>
          <a:ext cx="1369840" cy="1371600"/>
        </a:xfrm>
        <a:prstGeom prst="rect">
          <a:avLst/>
        </a:prstGeom>
      </xdr:spPr>
    </xdr:pic>
    <xdr:clientData/>
  </xdr:twoCellAnchor>
  <xdr:twoCellAnchor editAs="oneCell">
    <xdr:from>
      <xdr:col>22</xdr:col>
      <xdr:colOff>93486</xdr:colOff>
      <xdr:row>3</xdr:row>
      <xdr:rowOff>62990</xdr:rowOff>
    </xdr:from>
    <xdr:to>
      <xdr:col>24</xdr:col>
      <xdr:colOff>237905</xdr:colOff>
      <xdr:row>10</xdr:row>
      <xdr:rowOff>101090</xdr:rowOff>
    </xdr:to>
    <xdr:pic>
      <xdr:nvPicPr>
        <xdr:cNvPr id="37" name="image670.jpeg">
          <a:extLst>
            <a:ext uri="{FF2B5EF4-FFF2-40B4-BE49-F238E27FC236}">
              <a16:creationId xmlns:a16="http://schemas.microsoft.com/office/drawing/2014/main" id="{8D6CBFCB-5299-49CE-9587-D67A777A2A61}"/>
            </a:ext>
          </a:extLst>
        </xdr:cNvPr>
        <xdr:cNvPicPr>
          <a:picLocks noChangeAspect="1"/>
        </xdr:cNvPicPr>
      </xdr:nvPicPr>
      <xdr:blipFill>
        <a:blip xmlns:r="http://schemas.openxmlformats.org/officeDocument/2006/relationships" r:embed="rId13" cstate="print"/>
        <a:stretch>
          <a:fillRect/>
        </a:stretch>
      </xdr:blipFill>
      <xdr:spPr>
        <a:xfrm>
          <a:off x="13406074" y="1777490"/>
          <a:ext cx="1354655" cy="1371600"/>
        </a:xfrm>
        <a:prstGeom prst="rect">
          <a:avLst/>
        </a:prstGeom>
      </xdr:spPr>
    </xdr:pic>
    <xdr:clientData/>
  </xdr:twoCellAnchor>
  <xdr:twoCellAnchor editAs="oneCell">
    <xdr:from>
      <xdr:col>23</xdr:col>
      <xdr:colOff>9348</xdr:colOff>
      <xdr:row>12</xdr:row>
      <xdr:rowOff>74194</xdr:rowOff>
    </xdr:from>
    <xdr:to>
      <xdr:col>25</xdr:col>
      <xdr:colOff>168953</xdr:colOff>
      <xdr:row>19</xdr:row>
      <xdr:rowOff>112294</xdr:rowOff>
    </xdr:to>
    <xdr:pic>
      <xdr:nvPicPr>
        <xdr:cNvPr id="38" name="image657.jpeg">
          <a:extLst>
            <a:ext uri="{FF2B5EF4-FFF2-40B4-BE49-F238E27FC236}">
              <a16:creationId xmlns:a16="http://schemas.microsoft.com/office/drawing/2014/main" id="{29C26714-FFAA-40C3-BDE5-31D245AA5FD4}"/>
            </a:ext>
          </a:extLst>
        </xdr:cNvPr>
        <xdr:cNvPicPr>
          <a:picLocks noChangeAspect="1"/>
        </xdr:cNvPicPr>
      </xdr:nvPicPr>
      <xdr:blipFill>
        <a:blip xmlns:r="http://schemas.openxmlformats.org/officeDocument/2006/relationships" r:embed="rId14" cstate="print"/>
        <a:stretch>
          <a:fillRect/>
        </a:stretch>
      </xdr:blipFill>
      <xdr:spPr>
        <a:xfrm>
          <a:off x="13927054" y="3503194"/>
          <a:ext cx="1369840" cy="1371600"/>
        </a:xfrm>
        <a:prstGeom prst="rect">
          <a:avLst/>
        </a:prstGeom>
      </xdr:spPr>
    </xdr:pic>
    <xdr:clientData/>
  </xdr:twoCellAnchor>
  <xdr:twoCellAnchor editAs="oneCell">
    <xdr:from>
      <xdr:col>22</xdr:col>
      <xdr:colOff>104692</xdr:colOff>
      <xdr:row>21</xdr:row>
      <xdr:rowOff>96604</xdr:rowOff>
    </xdr:from>
    <xdr:to>
      <xdr:col>24</xdr:col>
      <xdr:colOff>247847</xdr:colOff>
      <xdr:row>28</xdr:row>
      <xdr:rowOff>134704</xdr:rowOff>
    </xdr:to>
    <xdr:pic>
      <xdr:nvPicPr>
        <xdr:cNvPr id="39" name="image664.jpeg">
          <a:extLst>
            <a:ext uri="{FF2B5EF4-FFF2-40B4-BE49-F238E27FC236}">
              <a16:creationId xmlns:a16="http://schemas.microsoft.com/office/drawing/2014/main" id="{797B78E7-8001-4852-99B1-573BC3C45A5E}"/>
            </a:ext>
          </a:extLst>
        </xdr:cNvPr>
        <xdr:cNvPicPr>
          <a:picLocks noChangeAspect="1"/>
        </xdr:cNvPicPr>
      </xdr:nvPicPr>
      <xdr:blipFill>
        <a:blip xmlns:r="http://schemas.openxmlformats.org/officeDocument/2006/relationships" r:embed="rId15" cstate="print"/>
        <a:stretch>
          <a:fillRect/>
        </a:stretch>
      </xdr:blipFill>
      <xdr:spPr>
        <a:xfrm>
          <a:off x="13417280" y="5240104"/>
          <a:ext cx="1353391" cy="1371600"/>
        </a:xfrm>
        <a:prstGeom prst="rect">
          <a:avLst/>
        </a:prstGeom>
      </xdr:spPr>
    </xdr:pic>
    <xdr:clientData/>
  </xdr:twoCellAnchor>
  <xdr:twoCellAnchor editAs="oneCell">
    <xdr:from>
      <xdr:col>4</xdr:col>
      <xdr:colOff>428993</xdr:colOff>
      <xdr:row>2</xdr:row>
      <xdr:rowOff>182656</xdr:rowOff>
    </xdr:from>
    <xdr:to>
      <xdr:col>6</xdr:col>
      <xdr:colOff>575612</xdr:colOff>
      <xdr:row>10</xdr:row>
      <xdr:rowOff>30256</xdr:rowOff>
    </xdr:to>
    <xdr:pic>
      <xdr:nvPicPr>
        <xdr:cNvPr id="47" name="image654.jpeg">
          <a:hlinkClick xmlns:r="http://schemas.openxmlformats.org/officeDocument/2006/relationships" r:id="rId16"/>
          <a:extLst>
            <a:ext uri="{FF2B5EF4-FFF2-40B4-BE49-F238E27FC236}">
              <a16:creationId xmlns:a16="http://schemas.microsoft.com/office/drawing/2014/main" id="{55DAC1A9-57C0-D2C9-5E9A-007153A8412F}"/>
            </a:ext>
          </a:extLst>
        </xdr:cNvPr>
        <xdr:cNvPicPr>
          <a:picLocks noChangeAspect="1"/>
        </xdr:cNvPicPr>
      </xdr:nvPicPr>
      <xdr:blipFill>
        <a:blip xmlns:r="http://schemas.openxmlformats.org/officeDocument/2006/relationships" r:embed="rId17" cstate="print"/>
        <a:stretch>
          <a:fillRect/>
        </a:stretch>
      </xdr:blipFill>
      <xdr:spPr>
        <a:xfrm>
          <a:off x="2849464" y="1706656"/>
          <a:ext cx="1356854" cy="1371600"/>
        </a:xfrm>
        <a:prstGeom prst="rect">
          <a:avLst/>
        </a:prstGeom>
      </xdr:spPr>
    </xdr:pic>
    <xdr:clientData/>
  </xdr:twoCellAnchor>
  <xdr:twoCellAnchor editAs="oneCell">
    <xdr:from>
      <xdr:col>1</xdr:col>
      <xdr:colOff>574184</xdr:colOff>
      <xdr:row>2</xdr:row>
      <xdr:rowOff>182656</xdr:rowOff>
    </xdr:from>
    <xdr:to>
      <xdr:col>4</xdr:col>
      <xdr:colOff>110403</xdr:colOff>
      <xdr:row>10</xdr:row>
      <xdr:rowOff>30256</xdr:rowOff>
    </xdr:to>
    <xdr:pic>
      <xdr:nvPicPr>
        <xdr:cNvPr id="48" name="image659.jpeg">
          <a:hlinkClick xmlns:r="http://schemas.openxmlformats.org/officeDocument/2006/relationships" r:id="rId18"/>
          <a:extLst>
            <a:ext uri="{FF2B5EF4-FFF2-40B4-BE49-F238E27FC236}">
              <a16:creationId xmlns:a16="http://schemas.microsoft.com/office/drawing/2014/main" id="{73EADF43-0C3B-BDBD-C16F-414B056892B5}"/>
            </a:ext>
          </a:extLst>
        </xdr:cNvPr>
        <xdr:cNvPicPr>
          <a:picLocks noChangeAspect="1"/>
        </xdr:cNvPicPr>
      </xdr:nvPicPr>
      <xdr:blipFill>
        <a:blip xmlns:r="http://schemas.openxmlformats.org/officeDocument/2006/relationships" r:embed="rId19" cstate="print"/>
        <a:stretch>
          <a:fillRect/>
        </a:stretch>
      </xdr:blipFill>
      <xdr:spPr>
        <a:xfrm>
          <a:off x="1179302" y="754156"/>
          <a:ext cx="1351572" cy="13716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231779</xdr:colOff>
      <xdr:row>0</xdr:row>
      <xdr:rowOff>38099</xdr:rowOff>
    </xdr:from>
    <xdr:to>
      <xdr:col>8</xdr:col>
      <xdr:colOff>10166</xdr:colOff>
      <xdr:row>0</xdr:row>
      <xdr:rowOff>568841</xdr:rowOff>
    </xdr:to>
    <xdr:pic>
      <xdr:nvPicPr>
        <xdr:cNvPr id="3" name="image665.jpeg">
          <a:extLst>
            <a:ext uri="{FF2B5EF4-FFF2-40B4-BE49-F238E27FC236}">
              <a16:creationId xmlns:a16="http://schemas.microsoft.com/office/drawing/2014/main" id="{C4107FA0-1F30-450D-A2FD-DB9B0CA176B2}"/>
            </a:ext>
          </a:extLst>
        </xdr:cNvPr>
        <xdr:cNvPicPr>
          <a:picLocks noChangeAspect="1"/>
        </xdr:cNvPicPr>
      </xdr:nvPicPr>
      <xdr:blipFill>
        <a:blip xmlns:r="http://schemas.openxmlformats.org/officeDocument/2006/relationships" r:embed="rId1" cstate="print"/>
        <a:stretch>
          <a:fillRect/>
        </a:stretch>
      </xdr:blipFill>
      <xdr:spPr>
        <a:xfrm>
          <a:off x="14183636" y="38099"/>
          <a:ext cx="812530" cy="82220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163290</xdr:colOff>
      <xdr:row>0</xdr:row>
      <xdr:rowOff>9524</xdr:rowOff>
    </xdr:from>
    <xdr:to>
      <xdr:col>8</xdr:col>
      <xdr:colOff>7208</xdr:colOff>
      <xdr:row>0</xdr:row>
      <xdr:rowOff>567784</xdr:rowOff>
    </xdr:to>
    <xdr:pic>
      <xdr:nvPicPr>
        <xdr:cNvPr id="3" name="image668.jpeg">
          <a:extLst>
            <a:ext uri="{FF2B5EF4-FFF2-40B4-BE49-F238E27FC236}">
              <a16:creationId xmlns:a16="http://schemas.microsoft.com/office/drawing/2014/main" id="{02562125-6772-4663-B5B0-27D396FD1DE8}"/>
            </a:ext>
          </a:extLst>
        </xdr:cNvPr>
        <xdr:cNvPicPr>
          <a:picLocks noChangeAspect="1"/>
        </xdr:cNvPicPr>
      </xdr:nvPicPr>
      <xdr:blipFill>
        <a:blip xmlns:r="http://schemas.openxmlformats.org/officeDocument/2006/relationships" r:embed="rId1" cstate="print"/>
        <a:stretch>
          <a:fillRect/>
        </a:stretch>
      </xdr:blipFill>
      <xdr:spPr>
        <a:xfrm>
          <a:off x="14115147" y="9524"/>
          <a:ext cx="878061" cy="8725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161925</xdr:colOff>
      <xdr:row>0</xdr:row>
      <xdr:rowOff>0</xdr:rowOff>
    </xdr:from>
    <xdr:to>
      <xdr:col>8</xdr:col>
      <xdr:colOff>6874</xdr:colOff>
      <xdr:row>1</xdr:row>
      <xdr:rowOff>2178</xdr:rowOff>
    </xdr:to>
    <xdr:pic>
      <xdr:nvPicPr>
        <xdr:cNvPr id="3" name="image655.jpeg">
          <a:extLst>
            <a:ext uri="{FF2B5EF4-FFF2-40B4-BE49-F238E27FC236}">
              <a16:creationId xmlns:a16="http://schemas.microsoft.com/office/drawing/2014/main" id="{5ADA8A06-0E17-4299-9673-A9DB990F1C3C}"/>
            </a:ext>
          </a:extLst>
        </xdr:cNvPr>
        <xdr:cNvPicPr>
          <a:picLocks noChangeAspect="1"/>
        </xdr:cNvPicPr>
      </xdr:nvPicPr>
      <xdr:blipFill>
        <a:blip xmlns:r="http://schemas.openxmlformats.org/officeDocument/2006/relationships" r:embed="rId1" cstate="print"/>
        <a:stretch>
          <a:fillRect/>
        </a:stretch>
      </xdr:blipFill>
      <xdr:spPr>
        <a:xfrm>
          <a:off x="14113782" y="0"/>
          <a:ext cx="879092" cy="87992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147415</xdr:colOff>
      <xdr:row>0</xdr:row>
      <xdr:rowOff>0</xdr:rowOff>
    </xdr:from>
    <xdr:to>
      <xdr:col>8</xdr:col>
      <xdr:colOff>9529</xdr:colOff>
      <xdr:row>1</xdr:row>
      <xdr:rowOff>1442</xdr:rowOff>
    </xdr:to>
    <xdr:pic>
      <xdr:nvPicPr>
        <xdr:cNvPr id="3" name="image660.jpeg">
          <a:extLst>
            <a:ext uri="{FF2B5EF4-FFF2-40B4-BE49-F238E27FC236}">
              <a16:creationId xmlns:a16="http://schemas.microsoft.com/office/drawing/2014/main" id="{9F1570AB-5DD9-4D8B-B894-59A681924467}"/>
            </a:ext>
          </a:extLst>
        </xdr:cNvPr>
        <xdr:cNvPicPr>
          <a:picLocks noChangeAspect="1"/>
        </xdr:cNvPicPr>
      </xdr:nvPicPr>
      <xdr:blipFill>
        <a:blip xmlns:r="http://schemas.openxmlformats.org/officeDocument/2006/relationships" r:embed="rId1" cstate="print"/>
        <a:stretch>
          <a:fillRect/>
        </a:stretch>
      </xdr:blipFill>
      <xdr:spPr>
        <a:xfrm>
          <a:off x="14099272" y="0"/>
          <a:ext cx="896257" cy="90205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195040</xdr:colOff>
      <xdr:row>0</xdr:row>
      <xdr:rowOff>9071</xdr:rowOff>
    </xdr:from>
    <xdr:to>
      <xdr:col>8</xdr:col>
      <xdr:colOff>8790</xdr:colOff>
      <xdr:row>0</xdr:row>
      <xdr:rowOff>570979</xdr:rowOff>
    </xdr:to>
    <xdr:pic>
      <xdr:nvPicPr>
        <xdr:cNvPr id="3" name="image661.jpeg">
          <a:extLst>
            <a:ext uri="{FF2B5EF4-FFF2-40B4-BE49-F238E27FC236}">
              <a16:creationId xmlns:a16="http://schemas.microsoft.com/office/drawing/2014/main" id="{A9FA3EF6-98C6-46EC-855F-A4B5FB9E3CA3}"/>
            </a:ext>
          </a:extLst>
        </xdr:cNvPr>
        <xdr:cNvPicPr>
          <a:picLocks noChangeAspect="1"/>
        </xdr:cNvPicPr>
      </xdr:nvPicPr>
      <xdr:blipFill>
        <a:blip xmlns:r="http://schemas.openxmlformats.org/officeDocument/2006/relationships" r:embed="rId1" cstate="print"/>
        <a:stretch>
          <a:fillRect/>
        </a:stretch>
      </xdr:blipFill>
      <xdr:spPr>
        <a:xfrm>
          <a:off x="14146897" y="9071"/>
          <a:ext cx="847893" cy="85337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173266</xdr:colOff>
      <xdr:row>0</xdr:row>
      <xdr:rowOff>9071</xdr:rowOff>
    </xdr:from>
    <xdr:to>
      <xdr:col>8</xdr:col>
      <xdr:colOff>18144</xdr:colOff>
      <xdr:row>0</xdr:row>
      <xdr:rowOff>893514</xdr:rowOff>
    </xdr:to>
    <xdr:pic>
      <xdr:nvPicPr>
        <xdr:cNvPr id="3" name="image666.jpeg">
          <a:extLst>
            <a:ext uri="{FF2B5EF4-FFF2-40B4-BE49-F238E27FC236}">
              <a16:creationId xmlns:a16="http://schemas.microsoft.com/office/drawing/2014/main" id="{65711BAC-1F51-4446-B737-FAF3F72ED368}"/>
            </a:ext>
          </a:extLst>
        </xdr:cNvPr>
        <xdr:cNvPicPr>
          <a:picLocks noChangeAspect="1"/>
        </xdr:cNvPicPr>
      </xdr:nvPicPr>
      <xdr:blipFill>
        <a:blip xmlns:r="http://schemas.openxmlformats.org/officeDocument/2006/relationships" r:embed="rId1" cstate="print"/>
        <a:stretch>
          <a:fillRect/>
        </a:stretch>
      </xdr:blipFill>
      <xdr:spPr>
        <a:xfrm>
          <a:off x="14125123" y="9071"/>
          <a:ext cx="879021" cy="88444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211874</xdr:colOff>
      <xdr:row>0</xdr:row>
      <xdr:rowOff>28575</xdr:rowOff>
    </xdr:from>
    <xdr:to>
      <xdr:col>8</xdr:col>
      <xdr:colOff>13355</xdr:colOff>
      <xdr:row>0</xdr:row>
      <xdr:rowOff>567690</xdr:rowOff>
    </xdr:to>
    <xdr:pic>
      <xdr:nvPicPr>
        <xdr:cNvPr id="3" name="image669.jpeg">
          <a:extLst>
            <a:ext uri="{FF2B5EF4-FFF2-40B4-BE49-F238E27FC236}">
              <a16:creationId xmlns:a16="http://schemas.microsoft.com/office/drawing/2014/main" id="{DDBDA350-4681-4E0B-8F53-FB72265566FD}"/>
            </a:ext>
          </a:extLst>
        </xdr:cNvPr>
        <xdr:cNvPicPr>
          <a:picLocks noChangeAspect="1"/>
        </xdr:cNvPicPr>
      </xdr:nvPicPr>
      <xdr:blipFill>
        <a:blip xmlns:r="http://schemas.openxmlformats.org/officeDocument/2006/relationships" r:embed="rId1" cstate="print"/>
        <a:stretch>
          <a:fillRect/>
        </a:stretch>
      </xdr:blipFill>
      <xdr:spPr>
        <a:xfrm>
          <a:off x="14163731" y="28575"/>
          <a:ext cx="835624" cy="8382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251736</xdr:colOff>
      <xdr:row>0</xdr:row>
      <xdr:rowOff>45355</xdr:rowOff>
    </xdr:from>
    <xdr:to>
      <xdr:col>8</xdr:col>
      <xdr:colOff>12902</xdr:colOff>
      <xdr:row>0</xdr:row>
      <xdr:rowOff>566846</xdr:rowOff>
    </xdr:to>
    <xdr:pic>
      <xdr:nvPicPr>
        <xdr:cNvPr id="3" name="image656.jpeg">
          <a:extLst>
            <a:ext uri="{FF2B5EF4-FFF2-40B4-BE49-F238E27FC236}">
              <a16:creationId xmlns:a16="http://schemas.microsoft.com/office/drawing/2014/main" id="{F44E1F6F-60FE-40B7-AC1A-9D6558E62DF8}"/>
            </a:ext>
          </a:extLst>
        </xdr:cNvPr>
        <xdr:cNvPicPr>
          <a:picLocks noChangeAspect="1"/>
        </xdr:cNvPicPr>
      </xdr:nvPicPr>
      <xdr:blipFill>
        <a:blip xmlns:r="http://schemas.openxmlformats.org/officeDocument/2006/relationships" r:embed="rId1" cstate="print"/>
        <a:stretch>
          <a:fillRect/>
        </a:stretch>
      </xdr:blipFill>
      <xdr:spPr>
        <a:xfrm>
          <a:off x="14203593" y="45355"/>
          <a:ext cx="795309" cy="79771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197454</xdr:colOff>
      <xdr:row>0</xdr:row>
      <xdr:rowOff>9525</xdr:rowOff>
    </xdr:from>
    <xdr:to>
      <xdr:col>8</xdr:col>
      <xdr:colOff>12889</xdr:colOff>
      <xdr:row>0</xdr:row>
      <xdr:rowOff>570321</xdr:rowOff>
    </xdr:to>
    <xdr:pic>
      <xdr:nvPicPr>
        <xdr:cNvPr id="3" name="image663.jpeg">
          <a:extLst>
            <a:ext uri="{FF2B5EF4-FFF2-40B4-BE49-F238E27FC236}">
              <a16:creationId xmlns:a16="http://schemas.microsoft.com/office/drawing/2014/main" id="{57A189B7-1A23-4F90-B42B-8E4C7A1685E6}"/>
            </a:ext>
          </a:extLst>
        </xdr:cNvPr>
        <xdr:cNvPicPr>
          <a:picLocks noChangeAspect="1"/>
        </xdr:cNvPicPr>
      </xdr:nvPicPr>
      <xdr:blipFill>
        <a:blip xmlns:r="http://schemas.openxmlformats.org/officeDocument/2006/relationships" r:embed="rId1" cstate="print"/>
        <a:stretch>
          <a:fillRect/>
        </a:stretch>
      </xdr:blipFill>
      <xdr:spPr>
        <a:xfrm>
          <a:off x="14149311" y="9525"/>
          <a:ext cx="849578" cy="85226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171928</xdr:colOff>
      <xdr:row>0</xdr:row>
      <xdr:rowOff>0</xdr:rowOff>
    </xdr:from>
    <xdr:to>
      <xdr:col>8</xdr:col>
      <xdr:colOff>17939</xdr:colOff>
      <xdr:row>1</xdr:row>
      <xdr:rowOff>454</xdr:rowOff>
    </xdr:to>
    <xdr:pic>
      <xdr:nvPicPr>
        <xdr:cNvPr id="3" name="image662.jpeg">
          <a:extLst>
            <a:ext uri="{FF2B5EF4-FFF2-40B4-BE49-F238E27FC236}">
              <a16:creationId xmlns:a16="http://schemas.microsoft.com/office/drawing/2014/main" id="{04254E13-2DC9-4AB1-B785-17488FE36CD3}"/>
            </a:ext>
          </a:extLst>
        </xdr:cNvPr>
        <xdr:cNvPicPr>
          <a:picLocks noChangeAspect="1"/>
        </xdr:cNvPicPr>
      </xdr:nvPicPr>
      <xdr:blipFill>
        <a:blip xmlns:r="http://schemas.openxmlformats.org/officeDocument/2006/relationships" r:embed="rId1" cstate="print"/>
        <a:stretch>
          <a:fillRect/>
        </a:stretch>
      </xdr:blipFill>
      <xdr:spPr>
        <a:xfrm>
          <a:off x="14123785" y="0"/>
          <a:ext cx="880154" cy="885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571500</xdr:colOff>
      <xdr:row>23</xdr:row>
      <xdr:rowOff>180975</xdr:rowOff>
    </xdr:from>
    <xdr:to>
      <xdr:col>22</xdr:col>
      <xdr:colOff>438150</xdr:colOff>
      <xdr:row>41</xdr:row>
      <xdr:rowOff>85725</xdr:rowOff>
    </xdr:to>
    <xdr:graphicFrame macro="">
      <xdr:nvGraphicFramePr>
        <xdr:cNvPr id="11" name="Chart 1">
          <a:extLst>
            <a:ext uri="{FF2B5EF4-FFF2-40B4-BE49-F238E27FC236}">
              <a16:creationId xmlns:a16="http://schemas.microsoft.com/office/drawing/2014/main" id="{61BE88E6-9D77-8127-A81F-80B3C9304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571500</xdr:colOff>
      <xdr:row>6</xdr:row>
      <xdr:rowOff>0</xdr:rowOff>
    </xdr:from>
    <xdr:to>
      <xdr:col>22</xdr:col>
      <xdr:colOff>438150</xdr:colOff>
      <xdr:row>23</xdr:row>
      <xdr:rowOff>95250</xdr:rowOff>
    </xdr:to>
    <xdr:graphicFrame macro="">
      <xdr:nvGraphicFramePr>
        <xdr:cNvPr id="12" name="Chart 1">
          <a:extLst>
            <a:ext uri="{FF2B5EF4-FFF2-40B4-BE49-F238E27FC236}">
              <a16:creationId xmlns:a16="http://schemas.microsoft.com/office/drawing/2014/main" id="{35359E8B-7D7C-7E86-C5E5-A29F3B85B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6</xdr:row>
      <xdr:rowOff>0</xdr:rowOff>
    </xdr:from>
    <xdr:to>
      <xdr:col>11</xdr:col>
      <xdr:colOff>485775</xdr:colOff>
      <xdr:row>23</xdr:row>
      <xdr:rowOff>95250</xdr:rowOff>
    </xdr:to>
    <xdr:graphicFrame macro="">
      <xdr:nvGraphicFramePr>
        <xdr:cNvPr id="13" name="Chart 2">
          <a:extLst>
            <a:ext uri="{FF2B5EF4-FFF2-40B4-BE49-F238E27FC236}">
              <a16:creationId xmlns:a16="http://schemas.microsoft.com/office/drawing/2014/main" id="{39DFD1B4-5198-36B8-47FD-57F2F0C54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9526</xdr:colOff>
      <xdr:row>1</xdr:row>
      <xdr:rowOff>19050</xdr:rowOff>
    </xdr:from>
    <xdr:to>
      <xdr:col>11</xdr:col>
      <xdr:colOff>485776</xdr:colOff>
      <xdr:row>5</xdr:row>
      <xdr:rowOff>171450</xdr:rowOff>
    </xdr:to>
    <mc:AlternateContent xmlns:mc="http://schemas.openxmlformats.org/markup-compatibility/2006" xmlns:a14="http://schemas.microsoft.com/office/drawing/2010/main">
      <mc:Choice Requires="a14">
        <xdr:graphicFrame macro="">
          <xdr:nvGraphicFramePr>
            <xdr:cNvPr id="10" name="SDG">
              <a:extLst>
                <a:ext uri="{FF2B5EF4-FFF2-40B4-BE49-F238E27FC236}">
                  <a16:creationId xmlns:a16="http://schemas.microsoft.com/office/drawing/2014/main" id="{13B6D80E-6D96-F7BA-7CAF-7335ECE695F6}"/>
                </a:ext>
              </a:extLst>
            </xdr:cNvPr>
            <xdr:cNvGraphicFramePr/>
          </xdr:nvGraphicFramePr>
          <xdr:xfrm>
            <a:off x="0" y="0"/>
            <a:ext cx="0" cy="0"/>
          </xdr:xfrm>
          <a:graphic>
            <a:graphicData uri="http://schemas.microsoft.com/office/drawing/2010/slicer">
              <sle:slicer xmlns:sle="http://schemas.microsoft.com/office/drawing/2010/slicer" name="SDG"/>
            </a:graphicData>
          </a:graphic>
        </xdr:graphicFrame>
      </mc:Choice>
      <mc:Fallback xmlns="">
        <xdr:sp macro="" textlink="">
          <xdr:nvSpPr>
            <xdr:cNvPr id="0" name=""/>
            <xdr:cNvSpPr>
              <a:spLocks noTextEdit="1"/>
            </xdr:cNvSpPr>
          </xdr:nvSpPr>
          <xdr:spPr>
            <a:xfrm>
              <a:off x="152401" y="152400"/>
              <a:ext cx="6572250" cy="9144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1</xdr:row>
      <xdr:rowOff>19050</xdr:rowOff>
    </xdr:from>
    <xdr:to>
      <xdr:col>22</xdr:col>
      <xdr:colOff>438150</xdr:colOff>
      <xdr:row>5</xdr:row>
      <xdr:rowOff>171450</xdr:rowOff>
    </xdr:to>
    <mc:AlternateContent xmlns:mc="http://schemas.openxmlformats.org/markup-compatibility/2006" xmlns:a14="http://schemas.microsoft.com/office/drawing/2010/main">
      <mc:Choice Requires="a14">
        <xdr:graphicFrame macro="">
          <xdr:nvGraphicFramePr>
            <xdr:cNvPr id="2" name="Campus 2">
              <a:extLst>
                <a:ext uri="{FF2B5EF4-FFF2-40B4-BE49-F238E27FC236}">
                  <a16:creationId xmlns:a16="http://schemas.microsoft.com/office/drawing/2014/main" id="{DF7F9827-FA67-4CEB-9B5D-848EB03D8B5F}"/>
                </a:ext>
              </a:extLst>
            </xdr:cNvPr>
            <xdr:cNvGraphicFramePr/>
          </xdr:nvGraphicFramePr>
          <xdr:xfrm>
            <a:off x="0" y="0"/>
            <a:ext cx="0" cy="0"/>
          </xdr:xfrm>
          <a:graphic>
            <a:graphicData uri="http://schemas.microsoft.com/office/drawing/2010/slicer">
              <sle:slicer xmlns:sle="http://schemas.microsoft.com/office/drawing/2010/slicer" name="Campus 2"/>
            </a:graphicData>
          </a:graphic>
        </xdr:graphicFrame>
      </mc:Choice>
      <mc:Fallback xmlns="">
        <xdr:sp macro="" textlink="">
          <xdr:nvSpPr>
            <xdr:cNvPr id="0" name=""/>
            <xdr:cNvSpPr>
              <a:spLocks noTextEdit="1"/>
            </xdr:cNvSpPr>
          </xdr:nvSpPr>
          <xdr:spPr>
            <a:xfrm>
              <a:off x="6810375" y="152400"/>
              <a:ext cx="6572250" cy="9144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23</xdr:row>
      <xdr:rowOff>180975</xdr:rowOff>
    </xdr:from>
    <xdr:to>
      <xdr:col>6</xdr:col>
      <xdr:colOff>161925</xdr:colOff>
      <xdr:row>41</xdr:row>
      <xdr:rowOff>57149</xdr:rowOff>
    </xdr:to>
    <xdr:graphicFrame macro="">
      <xdr:nvGraphicFramePr>
        <xdr:cNvPr id="5" name="Chart 4">
          <a:extLst>
            <a:ext uri="{FF2B5EF4-FFF2-40B4-BE49-F238E27FC236}">
              <a16:creationId xmlns:a16="http://schemas.microsoft.com/office/drawing/2014/main" id="{EEE87EF6-61B5-D595-6173-2675A45E7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323850</xdr:colOff>
      <xdr:row>32</xdr:row>
      <xdr:rowOff>22968</xdr:rowOff>
    </xdr:from>
    <xdr:to>
      <xdr:col>4</xdr:col>
      <xdr:colOff>457200</xdr:colOff>
      <xdr:row>34</xdr:row>
      <xdr:rowOff>161378</xdr:rowOff>
    </xdr:to>
    <xdr:sp macro="" textlink="PT!J18">
      <xdr:nvSpPr>
        <xdr:cNvPr id="6" name="TextBox 5">
          <a:extLst>
            <a:ext uri="{FF2B5EF4-FFF2-40B4-BE49-F238E27FC236}">
              <a16:creationId xmlns:a16="http://schemas.microsoft.com/office/drawing/2014/main" id="{F6A55879-D20D-A115-0AE3-FD8DE7659449}"/>
            </a:ext>
          </a:extLst>
        </xdr:cNvPr>
        <xdr:cNvSpPr txBox="1"/>
      </xdr:nvSpPr>
      <xdr:spPr>
        <a:xfrm>
          <a:off x="1076325" y="6061818"/>
          <a:ext cx="1352550" cy="5194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F7F996-E330-4C71-996E-F42606CF9A02}" type="TxLink">
            <a:rPr lang="en-US" sz="2700" b="0" i="0" u="none" strike="noStrike">
              <a:solidFill>
                <a:srgbClr val="FF0000"/>
              </a:solidFill>
              <a:latin typeface="Roboto" panose="02000000000000000000" pitchFamily="2" charset="0"/>
              <a:ea typeface="Roboto" panose="02000000000000000000" pitchFamily="2" charset="0"/>
              <a:cs typeface="Times New Roman"/>
            </a:rPr>
            <a:pPr algn="ctr"/>
            <a:t> 77.0 </a:t>
          </a:fld>
          <a:endParaRPr lang="en-PH" sz="2700">
            <a:solidFill>
              <a:srgbClr val="FF0000"/>
            </a:solidFill>
            <a:latin typeface="Roboto" panose="02000000000000000000" pitchFamily="2" charset="0"/>
            <a:ea typeface="Roboto" panose="02000000000000000000" pitchFamily="2" charset="0"/>
          </a:endParaRPr>
        </a:p>
      </xdr:txBody>
    </xdr:sp>
    <xdr:clientData/>
  </xdr:twoCellAnchor>
  <xdr:twoCellAnchor>
    <xdr:from>
      <xdr:col>0</xdr:col>
      <xdr:colOff>123825</xdr:colOff>
      <xdr:row>24</xdr:row>
      <xdr:rowOff>114300</xdr:rowOff>
    </xdr:from>
    <xdr:to>
      <xdr:col>6</xdr:col>
      <xdr:colOff>133350</xdr:colOff>
      <xdr:row>42</xdr:row>
      <xdr:rowOff>38099</xdr:rowOff>
    </xdr:to>
    <xdr:graphicFrame macro="">
      <xdr:nvGraphicFramePr>
        <xdr:cNvPr id="8" name="Chart 7">
          <a:extLst>
            <a:ext uri="{FF2B5EF4-FFF2-40B4-BE49-F238E27FC236}">
              <a16:creationId xmlns:a16="http://schemas.microsoft.com/office/drawing/2014/main" id="{B2771C77-A7AC-8D9F-A4D9-2CB4D89F5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333375</xdr:colOff>
      <xdr:row>23</xdr:row>
      <xdr:rowOff>180975</xdr:rowOff>
    </xdr:from>
    <xdr:to>
      <xdr:col>11</xdr:col>
      <xdr:colOff>485775</xdr:colOff>
      <xdr:row>41</xdr:row>
      <xdr:rowOff>85725</xdr:rowOff>
    </xdr:to>
    <xdr:graphicFrame macro="">
      <xdr:nvGraphicFramePr>
        <xdr:cNvPr id="14" name="Chart 13">
          <a:extLst>
            <a:ext uri="{FF2B5EF4-FFF2-40B4-BE49-F238E27FC236}">
              <a16:creationId xmlns:a16="http://schemas.microsoft.com/office/drawing/2014/main" id="{DCA3725E-55D8-4EA2-A6DE-17B1304F3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28575</xdr:colOff>
      <xdr:row>32</xdr:row>
      <xdr:rowOff>57150</xdr:rowOff>
    </xdr:from>
    <xdr:to>
      <xdr:col>10</xdr:col>
      <xdr:colOff>161925</xdr:colOff>
      <xdr:row>34</xdr:row>
      <xdr:rowOff>104775</xdr:rowOff>
    </xdr:to>
    <xdr:sp macro="" textlink="PT!F24">
      <xdr:nvSpPr>
        <xdr:cNvPr id="16" name="TextBox 15">
          <a:extLst>
            <a:ext uri="{FF2B5EF4-FFF2-40B4-BE49-F238E27FC236}">
              <a16:creationId xmlns:a16="http://schemas.microsoft.com/office/drawing/2014/main" id="{98B344EE-FFDA-489D-A969-F37A2FF47B14}"/>
            </a:ext>
          </a:extLst>
        </xdr:cNvPr>
        <xdr:cNvSpPr txBox="1"/>
      </xdr:nvSpPr>
      <xdr:spPr>
        <a:xfrm>
          <a:off x="4438650" y="6096000"/>
          <a:ext cx="1352550"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502EA2D-5B0D-4A40-A597-B76022B0A9F0}" type="TxLink">
            <a:rPr lang="en-US" sz="2700" b="0" i="0" u="none" strike="noStrike">
              <a:solidFill>
                <a:srgbClr val="FF0000"/>
              </a:solidFill>
              <a:latin typeface="Roboto" panose="02000000000000000000" pitchFamily="2" charset="0"/>
              <a:ea typeface="Roboto" panose="02000000000000000000" pitchFamily="2" charset="0"/>
              <a:cs typeface="Times New Roman"/>
            </a:rPr>
            <a:pPr marL="0" indent="0" algn="ctr"/>
            <a:t> 77.0 </a:t>
          </a:fld>
          <a:endParaRPr lang="en-PH" sz="2700" b="0" i="0" u="none" strike="noStrike">
            <a:solidFill>
              <a:srgbClr val="FF0000"/>
            </a:solidFill>
            <a:latin typeface="Roboto" panose="02000000000000000000" pitchFamily="2" charset="0"/>
            <a:ea typeface="Roboto" panose="02000000000000000000" pitchFamily="2" charset="0"/>
            <a:cs typeface="Times New Roman"/>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156941</xdr:colOff>
      <xdr:row>0</xdr:row>
      <xdr:rowOff>0</xdr:rowOff>
    </xdr:from>
    <xdr:to>
      <xdr:col>8</xdr:col>
      <xdr:colOff>7769</xdr:colOff>
      <xdr:row>0</xdr:row>
      <xdr:rowOff>570873</xdr:rowOff>
    </xdr:to>
    <xdr:pic>
      <xdr:nvPicPr>
        <xdr:cNvPr id="3" name="image667.jpeg">
          <a:extLst>
            <a:ext uri="{FF2B5EF4-FFF2-40B4-BE49-F238E27FC236}">
              <a16:creationId xmlns:a16="http://schemas.microsoft.com/office/drawing/2014/main" id="{3118EE08-A408-4E55-8281-41D60A20CE57}"/>
            </a:ext>
          </a:extLst>
        </xdr:cNvPr>
        <xdr:cNvPicPr>
          <a:picLocks noChangeAspect="1"/>
        </xdr:cNvPicPr>
      </xdr:nvPicPr>
      <xdr:blipFill>
        <a:blip xmlns:r="http://schemas.openxmlformats.org/officeDocument/2006/relationships" r:embed="rId1" cstate="print"/>
        <a:stretch>
          <a:fillRect/>
        </a:stretch>
      </xdr:blipFill>
      <xdr:spPr>
        <a:xfrm>
          <a:off x="14108798" y="0"/>
          <a:ext cx="884971" cy="88519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178606</xdr:colOff>
      <xdr:row>0</xdr:row>
      <xdr:rowOff>0</xdr:rowOff>
    </xdr:from>
    <xdr:to>
      <xdr:col>7</xdr:col>
      <xdr:colOff>1030628</xdr:colOff>
      <xdr:row>0</xdr:row>
      <xdr:rowOff>570321</xdr:rowOff>
    </xdr:to>
    <xdr:pic>
      <xdr:nvPicPr>
        <xdr:cNvPr id="3" name="image670.jpeg">
          <a:extLst>
            <a:ext uri="{FF2B5EF4-FFF2-40B4-BE49-F238E27FC236}">
              <a16:creationId xmlns:a16="http://schemas.microsoft.com/office/drawing/2014/main" id="{572EC230-0F3E-405D-8878-66EA434E1783}"/>
            </a:ext>
          </a:extLst>
        </xdr:cNvPr>
        <xdr:cNvPicPr>
          <a:picLocks noChangeAspect="1"/>
        </xdr:cNvPicPr>
      </xdr:nvPicPr>
      <xdr:blipFill>
        <a:blip xmlns:r="http://schemas.openxmlformats.org/officeDocument/2006/relationships" r:embed="rId1" cstate="print"/>
        <a:stretch>
          <a:fillRect/>
        </a:stretch>
      </xdr:blipFill>
      <xdr:spPr>
        <a:xfrm>
          <a:off x="14130463" y="0"/>
          <a:ext cx="852022" cy="86178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136394</xdr:colOff>
      <xdr:row>0</xdr:row>
      <xdr:rowOff>0</xdr:rowOff>
    </xdr:from>
    <xdr:to>
      <xdr:col>8</xdr:col>
      <xdr:colOff>15478</xdr:colOff>
      <xdr:row>1</xdr:row>
      <xdr:rowOff>0</xdr:rowOff>
    </xdr:to>
    <xdr:pic>
      <xdr:nvPicPr>
        <xdr:cNvPr id="3" name="image657.jpeg">
          <a:extLst>
            <a:ext uri="{FF2B5EF4-FFF2-40B4-BE49-F238E27FC236}">
              <a16:creationId xmlns:a16="http://schemas.microsoft.com/office/drawing/2014/main" id="{6CD91248-DB61-4074-BA54-AF5620EB5B05}"/>
            </a:ext>
          </a:extLst>
        </xdr:cNvPr>
        <xdr:cNvPicPr>
          <a:picLocks noChangeAspect="1"/>
        </xdr:cNvPicPr>
      </xdr:nvPicPr>
      <xdr:blipFill>
        <a:blip xmlns:r="http://schemas.openxmlformats.org/officeDocument/2006/relationships" r:embed="rId1" cstate="print"/>
        <a:stretch>
          <a:fillRect/>
        </a:stretch>
      </xdr:blipFill>
      <xdr:spPr>
        <a:xfrm>
          <a:off x="14088251" y="0"/>
          <a:ext cx="913227" cy="91621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169543</xdr:colOff>
      <xdr:row>0</xdr:row>
      <xdr:rowOff>0</xdr:rowOff>
    </xdr:from>
    <xdr:to>
      <xdr:col>8</xdr:col>
      <xdr:colOff>10371</xdr:colOff>
      <xdr:row>1</xdr:row>
      <xdr:rowOff>454</xdr:rowOff>
    </xdr:to>
    <xdr:pic>
      <xdr:nvPicPr>
        <xdr:cNvPr id="3" name="image664.jpeg">
          <a:extLst>
            <a:ext uri="{FF2B5EF4-FFF2-40B4-BE49-F238E27FC236}">
              <a16:creationId xmlns:a16="http://schemas.microsoft.com/office/drawing/2014/main" id="{B263CE24-5A6C-4CE1-9D44-77F1CC6B09D7}"/>
            </a:ext>
          </a:extLst>
        </xdr:cNvPr>
        <xdr:cNvPicPr>
          <a:picLocks noChangeAspect="1"/>
        </xdr:cNvPicPr>
      </xdr:nvPicPr>
      <xdr:blipFill>
        <a:blip xmlns:r="http://schemas.openxmlformats.org/officeDocument/2006/relationships" r:embed="rId1" cstate="print"/>
        <a:stretch>
          <a:fillRect/>
        </a:stretch>
      </xdr:blipFill>
      <xdr:spPr>
        <a:xfrm>
          <a:off x="14121400" y="0"/>
          <a:ext cx="874971" cy="885825"/>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0.40104</cdr:x>
      <cdr:y>0.49826</cdr:y>
    </cdr:from>
    <cdr:to>
      <cdr:x>0.65729</cdr:x>
      <cdr:y>0.63021</cdr:y>
    </cdr:to>
    <cdr:sp macro="" textlink="">
      <cdr:nvSpPr>
        <cdr:cNvPr id="2" name="TextBox 1">
          <a:extLst xmlns:a="http://schemas.openxmlformats.org/drawingml/2006/main">
            <a:ext uri="{FF2B5EF4-FFF2-40B4-BE49-F238E27FC236}">
              <a16:creationId xmlns:a16="http://schemas.microsoft.com/office/drawing/2014/main" id="{6D3E826E-4CED-1CB1-7787-EB7FF4E67806}"/>
            </a:ext>
          </a:extLst>
        </cdr:cNvPr>
        <cdr:cNvSpPr txBox="1"/>
      </cdr:nvSpPr>
      <cdr:spPr>
        <a:xfrm xmlns:a="http://schemas.openxmlformats.org/drawingml/2006/main">
          <a:off x="1833563" y="1366838"/>
          <a:ext cx="1171575"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PH" sz="1100"/>
        </a:p>
      </cdr:txBody>
    </cdr:sp>
  </cdr:relSizeAnchor>
  <cdr:relSizeAnchor xmlns:cdr="http://schemas.openxmlformats.org/drawingml/2006/chartDrawing">
    <cdr:from>
      <cdr:x>0.01111</cdr:x>
      <cdr:y>0.01852</cdr:y>
    </cdr:from>
    <cdr:to>
      <cdr:x>0.26736</cdr:x>
      <cdr:y>0.15046</cdr:y>
    </cdr:to>
    <cdr:sp macro="" textlink="">
      <cdr:nvSpPr>
        <cdr:cNvPr id="3" name="TextBox 1">
          <a:extLst xmlns:a="http://schemas.openxmlformats.org/drawingml/2006/main">
            <a:ext uri="{FF2B5EF4-FFF2-40B4-BE49-F238E27FC236}">
              <a16:creationId xmlns:a16="http://schemas.microsoft.com/office/drawing/2014/main" id="{D9A50B5F-FB62-5C2C-1D78-70608D8DAF73}"/>
            </a:ext>
          </a:extLst>
        </cdr:cNvPr>
        <cdr:cNvSpPr txBox="1"/>
      </cdr:nvSpPr>
      <cdr:spPr>
        <a:xfrm xmlns:a="http://schemas.openxmlformats.org/drawingml/2006/main">
          <a:off x="50800" y="50800"/>
          <a:ext cx="1171575" cy="361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PH" sz="1100"/>
        </a:p>
      </cdr:txBody>
    </cdr:sp>
  </cdr:relSizeAnchor>
</c:userShapes>
</file>

<file path=xl/drawings/drawing4.xml><?xml version="1.0" encoding="utf-8"?>
<c:userShapes xmlns:c="http://schemas.openxmlformats.org/drawingml/2006/chart">
  <cdr:relSizeAnchor xmlns:cdr="http://schemas.openxmlformats.org/drawingml/2006/chartDrawing">
    <cdr:from>
      <cdr:x>0.40104</cdr:x>
      <cdr:y>0.49826</cdr:y>
    </cdr:from>
    <cdr:to>
      <cdr:x>0.65729</cdr:x>
      <cdr:y>0.63021</cdr:y>
    </cdr:to>
    <cdr:sp macro="" textlink="">
      <cdr:nvSpPr>
        <cdr:cNvPr id="2" name="TextBox 1">
          <a:extLst xmlns:a="http://schemas.openxmlformats.org/drawingml/2006/main">
            <a:ext uri="{FF2B5EF4-FFF2-40B4-BE49-F238E27FC236}">
              <a16:creationId xmlns:a16="http://schemas.microsoft.com/office/drawing/2014/main" id="{6D3E826E-4CED-1CB1-7787-EB7FF4E67806}"/>
            </a:ext>
          </a:extLst>
        </cdr:cNvPr>
        <cdr:cNvSpPr txBox="1"/>
      </cdr:nvSpPr>
      <cdr:spPr>
        <a:xfrm xmlns:a="http://schemas.openxmlformats.org/drawingml/2006/main">
          <a:off x="1833563" y="1366838"/>
          <a:ext cx="1171575"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PH" sz="1100"/>
        </a:p>
      </cdr:txBody>
    </cdr:sp>
  </cdr:relSizeAnchor>
  <cdr:relSizeAnchor xmlns:cdr="http://schemas.openxmlformats.org/drawingml/2006/chartDrawing">
    <cdr:from>
      <cdr:x>0.01111</cdr:x>
      <cdr:y>0.01852</cdr:y>
    </cdr:from>
    <cdr:to>
      <cdr:x>0.26736</cdr:x>
      <cdr:y>0.15046</cdr:y>
    </cdr:to>
    <cdr:sp macro="" textlink="">
      <cdr:nvSpPr>
        <cdr:cNvPr id="3" name="TextBox 1">
          <a:extLst xmlns:a="http://schemas.openxmlformats.org/drawingml/2006/main">
            <a:ext uri="{FF2B5EF4-FFF2-40B4-BE49-F238E27FC236}">
              <a16:creationId xmlns:a16="http://schemas.microsoft.com/office/drawing/2014/main" id="{D9A50B5F-FB62-5C2C-1D78-70608D8DAF73}"/>
            </a:ext>
          </a:extLst>
        </cdr:cNvPr>
        <cdr:cNvSpPr txBox="1"/>
      </cdr:nvSpPr>
      <cdr:spPr>
        <a:xfrm xmlns:a="http://schemas.openxmlformats.org/drawingml/2006/main">
          <a:off x="50800" y="50800"/>
          <a:ext cx="1171575" cy="361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PH" sz="1100"/>
        </a:p>
      </cdr:txBody>
    </cdr:sp>
  </cdr:relSizeAnchor>
  <cdr:relSizeAnchor xmlns:cdr="http://schemas.openxmlformats.org/drawingml/2006/chartDrawing">
    <cdr:from>
      <cdr:x>0.40104</cdr:x>
      <cdr:y>0.49826</cdr:y>
    </cdr:from>
    <cdr:to>
      <cdr:x>0.65729</cdr:x>
      <cdr:y>0.63021</cdr:y>
    </cdr:to>
    <cdr:sp macro="" textlink="">
      <cdr:nvSpPr>
        <cdr:cNvPr id="4" name="TextBox 1">
          <a:extLst xmlns:a="http://schemas.openxmlformats.org/drawingml/2006/main">
            <a:ext uri="{FF2B5EF4-FFF2-40B4-BE49-F238E27FC236}">
              <a16:creationId xmlns:a16="http://schemas.microsoft.com/office/drawing/2014/main" id="{6D3E826E-4CED-1CB1-7787-EB7FF4E67806}"/>
            </a:ext>
          </a:extLst>
        </cdr:cNvPr>
        <cdr:cNvSpPr txBox="1"/>
      </cdr:nvSpPr>
      <cdr:spPr>
        <a:xfrm xmlns:a="http://schemas.openxmlformats.org/drawingml/2006/main">
          <a:off x="1833563" y="1366838"/>
          <a:ext cx="1171575"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PH" sz="1100"/>
        </a:p>
      </cdr:txBody>
    </cdr:sp>
  </cdr:relSizeAnchor>
  <cdr:relSizeAnchor xmlns:cdr="http://schemas.openxmlformats.org/drawingml/2006/chartDrawing">
    <cdr:from>
      <cdr:x>0.01111</cdr:x>
      <cdr:y>0.01852</cdr:y>
    </cdr:from>
    <cdr:to>
      <cdr:x>0.26736</cdr:x>
      <cdr:y>0.15046</cdr:y>
    </cdr:to>
    <cdr:sp macro="" textlink="">
      <cdr:nvSpPr>
        <cdr:cNvPr id="5" name="TextBox 1">
          <a:extLst xmlns:a="http://schemas.openxmlformats.org/drawingml/2006/main">
            <a:ext uri="{FF2B5EF4-FFF2-40B4-BE49-F238E27FC236}">
              <a16:creationId xmlns:a16="http://schemas.microsoft.com/office/drawing/2014/main" id="{D9A50B5F-FB62-5C2C-1D78-70608D8DAF73}"/>
            </a:ext>
          </a:extLst>
        </cdr:cNvPr>
        <cdr:cNvSpPr txBox="1"/>
      </cdr:nvSpPr>
      <cdr:spPr>
        <a:xfrm xmlns:a="http://schemas.openxmlformats.org/drawingml/2006/main">
          <a:off x="50800" y="50800"/>
          <a:ext cx="1171575" cy="361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PH" sz="1100"/>
        </a:p>
      </cdr:txBody>
    </cdr:sp>
  </cdr:relSizeAnchor>
  <cdr:relSizeAnchor xmlns:cdr="http://schemas.openxmlformats.org/drawingml/2006/chartDrawing">
    <cdr:from>
      <cdr:x>0.40104</cdr:x>
      <cdr:y>0.49826</cdr:y>
    </cdr:from>
    <cdr:to>
      <cdr:x>0.65729</cdr:x>
      <cdr:y>0.63021</cdr:y>
    </cdr:to>
    <cdr:sp macro="" textlink="">
      <cdr:nvSpPr>
        <cdr:cNvPr id="6" name="TextBox 1">
          <a:extLst xmlns:a="http://schemas.openxmlformats.org/drawingml/2006/main">
            <a:ext uri="{FF2B5EF4-FFF2-40B4-BE49-F238E27FC236}">
              <a16:creationId xmlns:a16="http://schemas.microsoft.com/office/drawing/2014/main" id="{6D3E826E-4CED-1CB1-7787-EB7FF4E67806}"/>
            </a:ext>
          </a:extLst>
        </cdr:cNvPr>
        <cdr:cNvSpPr txBox="1"/>
      </cdr:nvSpPr>
      <cdr:spPr>
        <a:xfrm xmlns:a="http://schemas.openxmlformats.org/drawingml/2006/main">
          <a:off x="1833563" y="1366838"/>
          <a:ext cx="1171575"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PH" sz="1100"/>
        </a:p>
      </cdr:txBody>
    </cdr:sp>
  </cdr:relSizeAnchor>
  <cdr:relSizeAnchor xmlns:cdr="http://schemas.openxmlformats.org/drawingml/2006/chartDrawing">
    <cdr:from>
      <cdr:x>0.01111</cdr:x>
      <cdr:y>0.01852</cdr:y>
    </cdr:from>
    <cdr:to>
      <cdr:x>0.26736</cdr:x>
      <cdr:y>0.15046</cdr:y>
    </cdr:to>
    <cdr:sp macro="" textlink="">
      <cdr:nvSpPr>
        <cdr:cNvPr id="7" name="TextBox 1">
          <a:extLst xmlns:a="http://schemas.openxmlformats.org/drawingml/2006/main">
            <a:ext uri="{FF2B5EF4-FFF2-40B4-BE49-F238E27FC236}">
              <a16:creationId xmlns:a16="http://schemas.microsoft.com/office/drawing/2014/main" id="{D9A50B5F-FB62-5C2C-1D78-70608D8DAF73}"/>
            </a:ext>
          </a:extLst>
        </cdr:cNvPr>
        <cdr:cNvSpPr txBox="1"/>
      </cdr:nvSpPr>
      <cdr:spPr>
        <a:xfrm xmlns:a="http://schemas.openxmlformats.org/drawingml/2006/main">
          <a:off x="50800" y="50800"/>
          <a:ext cx="1171575" cy="361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PH" sz="1100"/>
        </a:p>
      </cdr:txBody>
    </cdr:sp>
  </cdr:relSizeAnchor>
  <cdr:relSizeAnchor xmlns:cdr="http://schemas.openxmlformats.org/drawingml/2006/chartDrawing">
    <cdr:from>
      <cdr:x>0.40104</cdr:x>
      <cdr:y>0.49826</cdr:y>
    </cdr:from>
    <cdr:to>
      <cdr:x>0.65729</cdr:x>
      <cdr:y>0.63021</cdr:y>
    </cdr:to>
    <cdr:sp macro="" textlink="">
      <cdr:nvSpPr>
        <cdr:cNvPr id="8" name="TextBox 1">
          <a:extLst xmlns:a="http://schemas.openxmlformats.org/drawingml/2006/main">
            <a:ext uri="{FF2B5EF4-FFF2-40B4-BE49-F238E27FC236}">
              <a16:creationId xmlns:a16="http://schemas.microsoft.com/office/drawing/2014/main" id="{6D3E826E-4CED-1CB1-7787-EB7FF4E67806}"/>
            </a:ext>
          </a:extLst>
        </cdr:cNvPr>
        <cdr:cNvSpPr txBox="1"/>
      </cdr:nvSpPr>
      <cdr:spPr>
        <a:xfrm xmlns:a="http://schemas.openxmlformats.org/drawingml/2006/main">
          <a:off x="1833563" y="1366838"/>
          <a:ext cx="1171575"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PH" sz="1100"/>
        </a:p>
      </cdr:txBody>
    </cdr:sp>
  </cdr:relSizeAnchor>
  <cdr:relSizeAnchor xmlns:cdr="http://schemas.openxmlformats.org/drawingml/2006/chartDrawing">
    <cdr:from>
      <cdr:x>0.01111</cdr:x>
      <cdr:y>0.01852</cdr:y>
    </cdr:from>
    <cdr:to>
      <cdr:x>0.26736</cdr:x>
      <cdr:y>0.15046</cdr:y>
    </cdr:to>
    <cdr:sp macro="" textlink="">
      <cdr:nvSpPr>
        <cdr:cNvPr id="9" name="TextBox 1">
          <a:extLst xmlns:a="http://schemas.openxmlformats.org/drawingml/2006/main">
            <a:ext uri="{FF2B5EF4-FFF2-40B4-BE49-F238E27FC236}">
              <a16:creationId xmlns:a16="http://schemas.microsoft.com/office/drawing/2014/main" id="{D9A50B5F-FB62-5C2C-1D78-70608D8DAF73}"/>
            </a:ext>
          </a:extLst>
        </cdr:cNvPr>
        <cdr:cNvSpPr txBox="1"/>
      </cdr:nvSpPr>
      <cdr:spPr>
        <a:xfrm xmlns:a="http://schemas.openxmlformats.org/drawingml/2006/main">
          <a:off x="50800" y="50800"/>
          <a:ext cx="1171575" cy="361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PH" sz="11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8</xdr:col>
      <xdr:colOff>19050</xdr:colOff>
      <xdr:row>19</xdr:row>
      <xdr:rowOff>85725</xdr:rowOff>
    </xdr:from>
    <xdr:to>
      <xdr:col>9</xdr:col>
      <xdr:colOff>1254126</xdr:colOff>
      <xdr:row>29</xdr:row>
      <xdr:rowOff>95250</xdr:rowOff>
    </xdr:to>
    <mc:AlternateContent xmlns:mc="http://schemas.openxmlformats.org/markup-compatibility/2006" xmlns:a14="http://schemas.microsoft.com/office/drawing/2010/main">
      <mc:Choice Requires="a14">
        <xdr:graphicFrame macro="">
          <xdr:nvGraphicFramePr>
            <xdr:cNvPr id="2" name="Campus 1">
              <a:extLst>
                <a:ext uri="{FF2B5EF4-FFF2-40B4-BE49-F238E27FC236}">
                  <a16:creationId xmlns:a16="http://schemas.microsoft.com/office/drawing/2014/main" id="{5EF2BC59-8A32-4BBB-8692-2840DA7DFE0E}"/>
                </a:ext>
              </a:extLst>
            </xdr:cNvPr>
            <xdr:cNvGraphicFramePr/>
          </xdr:nvGraphicFramePr>
          <xdr:xfrm>
            <a:off x="0" y="0"/>
            <a:ext cx="0" cy="0"/>
          </xdr:xfrm>
          <a:graphic>
            <a:graphicData uri="http://schemas.microsoft.com/office/drawing/2010/slicer">
              <sle:slicer xmlns:sle="http://schemas.microsoft.com/office/drawing/2010/slicer" name="Campus 1"/>
            </a:graphicData>
          </a:graphic>
        </xdr:graphicFrame>
      </mc:Choice>
      <mc:Fallback xmlns="">
        <xdr:sp macro="" textlink="">
          <xdr:nvSpPr>
            <xdr:cNvPr id="0" name=""/>
            <xdr:cNvSpPr>
              <a:spLocks noTextEdit="1"/>
            </xdr:cNvSpPr>
          </xdr:nvSpPr>
          <xdr:spPr>
            <a:xfrm>
              <a:off x="8372475" y="3705225"/>
              <a:ext cx="2454276" cy="19145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1399181</xdr:colOff>
      <xdr:row>19</xdr:row>
      <xdr:rowOff>85725</xdr:rowOff>
    </xdr:from>
    <xdr:to>
      <xdr:col>14</xdr:col>
      <xdr:colOff>485774</xdr:colOff>
      <xdr:row>26</xdr:row>
      <xdr:rowOff>152399</xdr:rowOff>
    </xdr:to>
    <mc:AlternateContent xmlns:mc="http://schemas.openxmlformats.org/markup-compatibility/2006" xmlns:a14="http://schemas.microsoft.com/office/drawing/2010/main">
      <mc:Choice Requires="a14">
        <xdr:graphicFrame macro="">
          <xdr:nvGraphicFramePr>
            <xdr:cNvPr id="3" name="SDG 1">
              <a:extLst>
                <a:ext uri="{FF2B5EF4-FFF2-40B4-BE49-F238E27FC236}">
                  <a16:creationId xmlns:a16="http://schemas.microsoft.com/office/drawing/2014/main" id="{D9F0EC58-F9F7-48F1-A256-D8555E009541}"/>
                </a:ext>
              </a:extLst>
            </xdr:cNvPr>
            <xdr:cNvGraphicFramePr/>
          </xdr:nvGraphicFramePr>
          <xdr:xfrm>
            <a:off x="0" y="0"/>
            <a:ext cx="0" cy="0"/>
          </xdr:xfrm>
          <a:graphic>
            <a:graphicData uri="http://schemas.microsoft.com/office/drawing/2010/slicer">
              <sle:slicer xmlns:sle="http://schemas.microsoft.com/office/drawing/2010/slicer" name="SDG 1"/>
            </a:graphicData>
          </a:graphic>
        </xdr:graphicFrame>
      </mc:Choice>
      <mc:Fallback xmlns="">
        <xdr:sp macro="" textlink="">
          <xdr:nvSpPr>
            <xdr:cNvPr id="0" name=""/>
            <xdr:cNvSpPr>
              <a:spLocks noTextEdit="1"/>
            </xdr:cNvSpPr>
          </xdr:nvSpPr>
          <xdr:spPr>
            <a:xfrm>
              <a:off x="10943231" y="3705225"/>
              <a:ext cx="3525243" cy="140017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242889</xdr:colOff>
      <xdr:row>25</xdr:row>
      <xdr:rowOff>76200</xdr:rowOff>
    </xdr:from>
    <xdr:to>
      <xdr:col>5</xdr:col>
      <xdr:colOff>1219201</xdr:colOff>
      <xdr:row>36</xdr:row>
      <xdr:rowOff>0</xdr:rowOff>
    </xdr:to>
    <xdr:graphicFrame macro="">
      <xdr:nvGraphicFramePr>
        <xdr:cNvPr id="4" name="Chart 3">
          <a:extLst>
            <a:ext uri="{FF2B5EF4-FFF2-40B4-BE49-F238E27FC236}">
              <a16:creationId xmlns:a16="http://schemas.microsoft.com/office/drawing/2014/main" id="{F5F4E43A-7D4A-01A4-8A5D-228599188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590550</xdr:colOff>
      <xdr:row>19</xdr:row>
      <xdr:rowOff>85725</xdr:rowOff>
    </xdr:from>
    <xdr:to>
      <xdr:col>15</xdr:col>
      <xdr:colOff>1000126</xdr:colOff>
      <xdr:row>36</xdr:row>
      <xdr:rowOff>173355</xdr:rowOff>
    </xdr:to>
    <mc:AlternateContent xmlns:mc="http://schemas.openxmlformats.org/markup-compatibility/2006" xmlns:a14="http://schemas.microsoft.com/office/drawing/2010/main">
      <mc:Choice Requires="a14">
        <xdr:graphicFrame macro="">
          <xdr:nvGraphicFramePr>
            <xdr:cNvPr id="6" name="Campus">
              <a:extLst>
                <a:ext uri="{FF2B5EF4-FFF2-40B4-BE49-F238E27FC236}">
                  <a16:creationId xmlns:a16="http://schemas.microsoft.com/office/drawing/2014/main" id="{06335DB9-8188-4EF3-86A6-7AC040310D47}"/>
                </a:ext>
              </a:extLst>
            </xdr:cNvPr>
            <xdr:cNvGraphicFramePr/>
          </xdr:nvGraphicFramePr>
          <xdr:xfrm>
            <a:off x="0" y="0"/>
            <a:ext cx="0" cy="0"/>
          </xdr:xfrm>
          <a:graphic>
            <a:graphicData uri="http://schemas.microsoft.com/office/drawing/2010/slicer">
              <sle:slicer xmlns:sle="http://schemas.microsoft.com/office/drawing/2010/slicer" name="Campus"/>
            </a:graphicData>
          </a:graphic>
        </xdr:graphicFrame>
      </mc:Choice>
      <mc:Fallback xmlns="">
        <xdr:sp macro="" textlink="">
          <xdr:nvSpPr>
            <xdr:cNvPr id="0" name=""/>
            <xdr:cNvSpPr>
              <a:spLocks noTextEdit="1"/>
            </xdr:cNvSpPr>
          </xdr:nvSpPr>
          <xdr:spPr>
            <a:xfrm>
              <a:off x="14611350" y="3705225"/>
              <a:ext cx="1514476" cy="33337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7</xdr:row>
      <xdr:rowOff>180975</xdr:rowOff>
    </xdr:from>
    <xdr:to>
      <xdr:col>6</xdr:col>
      <xdr:colOff>942975</xdr:colOff>
      <xdr:row>10</xdr:row>
      <xdr:rowOff>0</xdr:rowOff>
    </xdr:to>
    <xdr:sp macro="" textlink="J18">
      <xdr:nvSpPr>
        <xdr:cNvPr id="8" name="TextBox 7">
          <a:extLst>
            <a:ext uri="{FF2B5EF4-FFF2-40B4-BE49-F238E27FC236}">
              <a16:creationId xmlns:a16="http://schemas.microsoft.com/office/drawing/2014/main" id="{D04E8942-CB24-16C2-512A-6FBF50E71168}"/>
            </a:ext>
          </a:extLst>
        </xdr:cNvPr>
        <xdr:cNvSpPr txBox="1"/>
      </xdr:nvSpPr>
      <xdr:spPr>
        <a:xfrm>
          <a:off x="6810375" y="1514475"/>
          <a:ext cx="752475"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791CF5-CD06-42E3-A6F6-DE4C01B33F79}" type="TxLink">
            <a:rPr lang="en-US" sz="1100" b="0" i="0" u="none" strike="noStrike">
              <a:solidFill>
                <a:srgbClr val="000000"/>
              </a:solidFill>
              <a:latin typeface="Times New Roman"/>
              <a:cs typeface="Times New Roman"/>
            </a:rPr>
            <a:pPr/>
            <a:t> 77.0 </a:t>
          </a:fld>
          <a:endParaRPr lang="en-PH"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0</xdr:row>
      <xdr:rowOff>133350</xdr:rowOff>
    </xdr:from>
    <xdr:to>
      <xdr:col>20</xdr:col>
      <xdr:colOff>476249</xdr:colOff>
      <xdr:row>17</xdr:row>
      <xdr:rowOff>47625</xdr:rowOff>
    </xdr:to>
    <xdr:graphicFrame macro="">
      <xdr:nvGraphicFramePr>
        <xdr:cNvPr id="6" name="Chart 5">
          <a:extLst>
            <a:ext uri="{FF2B5EF4-FFF2-40B4-BE49-F238E27FC236}">
              <a16:creationId xmlns:a16="http://schemas.microsoft.com/office/drawing/2014/main" id="{DE904089-2065-1F7C-9985-0ACDF8FC8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147415</xdr:colOff>
      <xdr:row>0</xdr:row>
      <xdr:rowOff>9524</xdr:rowOff>
    </xdr:from>
    <xdr:to>
      <xdr:col>8</xdr:col>
      <xdr:colOff>8772</xdr:colOff>
      <xdr:row>1</xdr:row>
      <xdr:rowOff>1572</xdr:rowOff>
    </xdr:to>
    <xdr:pic>
      <xdr:nvPicPr>
        <xdr:cNvPr id="2" name="image654.jpeg">
          <a:extLst>
            <a:ext uri="{FF2B5EF4-FFF2-40B4-BE49-F238E27FC236}">
              <a16:creationId xmlns:a16="http://schemas.microsoft.com/office/drawing/2014/main" id="{0483729C-788D-4DC2-A03E-4AC7E3E59BC9}"/>
            </a:ext>
          </a:extLst>
        </xdr:cNvPr>
        <xdr:cNvPicPr>
          <a:picLocks noChangeAspect="1"/>
        </xdr:cNvPicPr>
      </xdr:nvPicPr>
      <xdr:blipFill>
        <a:blip xmlns:r="http://schemas.openxmlformats.org/officeDocument/2006/relationships" r:embed="rId1" cstate="print"/>
        <a:stretch>
          <a:fillRect/>
        </a:stretch>
      </xdr:blipFill>
      <xdr:spPr>
        <a:xfrm>
          <a:off x="14099272" y="9524"/>
          <a:ext cx="895500" cy="8954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203411</xdr:colOff>
      <xdr:row>0</xdr:row>
      <xdr:rowOff>28574</xdr:rowOff>
    </xdr:from>
    <xdr:to>
      <xdr:col>8</xdr:col>
      <xdr:colOff>11061</xdr:colOff>
      <xdr:row>0</xdr:row>
      <xdr:rowOff>579119</xdr:rowOff>
    </xdr:to>
    <xdr:pic>
      <xdr:nvPicPr>
        <xdr:cNvPr id="2" name="image659.jpeg">
          <a:extLst>
            <a:ext uri="{FF2B5EF4-FFF2-40B4-BE49-F238E27FC236}">
              <a16:creationId xmlns:a16="http://schemas.microsoft.com/office/drawing/2014/main" id="{4554FB8E-F42B-47BA-A058-B19E3757F789}"/>
            </a:ext>
          </a:extLst>
        </xdr:cNvPr>
        <xdr:cNvPicPr>
          <a:picLocks noChangeAspect="1"/>
        </xdr:cNvPicPr>
      </xdr:nvPicPr>
      <xdr:blipFill>
        <a:blip xmlns:r="http://schemas.openxmlformats.org/officeDocument/2006/relationships" r:embed="rId1" cstate="print"/>
        <a:stretch>
          <a:fillRect/>
        </a:stretch>
      </xdr:blipFill>
      <xdr:spPr>
        <a:xfrm>
          <a:off x="14155268" y="28574"/>
          <a:ext cx="841793" cy="8477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147415</xdr:colOff>
      <xdr:row>0</xdr:row>
      <xdr:rowOff>28575</xdr:rowOff>
    </xdr:from>
    <xdr:to>
      <xdr:col>8</xdr:col>
      <xdr:colOff>4</xdr:colOff>
      <xdr:row>1</xdr:row>
      <xdr:rowOff>3697</xdr:rowOff>
    </xdr:to>
    <xdr:pic>
      <xdr:nvPicPr>
        <xdr:cNvPr id="3" name="image658.jpeg">
          <a:extLst>
            <a:ext uri="{FF2B5EF4-FFF2-40B4-BE49-F238E27FC236}">
              <a16:creationId xmlns:a16="http://schemas.microsoft.com/office/drawing/2014/main" id="{2467872E-FC13-4A6A-AC6E-866B3F45377C}"/>
            </a:ext>
          </a:extLst>
        </xdr:cNvPr>
        <xdr:cNvPicPr>
          <a:picLocks noChangeAspect="1"/>
        </xdr:cNvPicPr>
      </xdr:nvPicPr>
      <xdr:blipFill>
        <a:blip xmlns:r="http://schemas.openxmlformats.org/officeDocument/2006/relationships" r:embed="rId1" cstate="print"/>
        <a:stretch>
          <a:fillRect/>
        </a:stretch>
      </xdr:blipFill>
      <xdr:spPr>
        <a:xfrm>
          <a:off x="14099272" y="28575"/>
          <a:ext cx="886732" cy="89133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a Analyst" refreshedDate="45100.646760185184" createdVersion="8" refreshedVersion="8" minRefreshableVersion="3" recordCount="17" xr:uid="{67A194ED-C8FA-4CD8-BB5D-EA3D601B6E6E}">
  <cacheSource type="worksheet">
    <worksheetSource ref="A1:C18" sheet="CampusScore"/>
  </cacheSource>
  <cacheFields count="3">
    <cacheField name="SUSTAINABLE DEVELOPMENT GOALS" numFmtId="0">
      <sharedItems count="17">
        <s v="SDG 1"/>
        <s v="SDG 2"/>
        <s v="SDG 3"/>
        <s v="SDG 4"/>
        <s v="SDG 5"/>
        <s v="SDG 6"/>
        <s v="SDG 7"/>
        <s v="SDG 8"/>
        <s v="SDG 9"/>
        <s v="SDG 10"/>
        <s v="SDG 11"/>
        <s v="SDG 12"/>
        <s v="SDG 13"/>
        <s v="SDG 14"/>
        <s v="SDG 15"/>
        <s v="SDG 16"/>
        <s v="SDG 17"/>
      </sharedItems>
    </cacheField>
    <cacheField name="INDICATOR" numFmtId="0">
      <sharedItems/>
    </cacheField>
    <cacheField name="SCORE" numFmtId="164">
      <sharedItems containsSemiMixedTypes="0" containsString="0" containsNumber="1" containsInteger="1" minValue="100"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a Analyst" refreshedDate="45100.646760532407" createdVersion="8" refreshedVersion="8" minRefreshableVersion="3" recordCount="187" xr:uid="{9DD516B1-3224-43AA-9D72-18098BB444FB}">
  <cacheSource type="worksheet">
    <worksheetSource name="Table6"/>
  </cacheSource>
  <cacheFields count="8">
    <cacheField name="Campus" numFmtId="164">
      <sharedItems count="11">
        <s v="Pablo Borbon"/>
        <s v="Lemery"/>
        <s v="Rosario"/>
        <s v="San Juan"/>
        <s v="Alangilan"/>
        <s v="Mabini"/>
        <s v="Balayan"/>
        <s v="Lipa"/>
        <s v="JPLPC-Malvar"/>
        <s v="ARASOF-Nasugbu"/>
        <s v="Lobo"/>
      </sharedItems>
    </cacheField>
    <cacheField name="SDG" numFmtId="164">
      <sharedItems containsSemiMixedTypes="0" containsString="0" containsNumber="1" containsInteger="1" minValue="1" maxValue="17"/>
    </cacheField>
    <cacheField name="SDG  " numFmtId="0">
      <sharedItems/>
    </cacheField>
    <cacheField name="SDG " numFmtId="164">
      <sharedItems/>
    </cacheField>
    <cacheField name="SCORE" numFmtId="164">
      <sharedItems containsSemiMixedTypes="0" containsString="0" containsNumber="1" containsInteger="1" minValue="15" maxValue="100"/>
    </cacheField>
    <cacheField name="INDICATOR" numFmtId="0">
      <sharedItems/>
    </cacheField>
    <cacheField name="Top 4" numFmtId="164">
      <sharedItems containsSemiMixedTypes="0" containsString="0" containsNumber="1" containsInteger="1" minValue="15" maxValue="200"/>
    </cacheField>
    <cacheField name="Target" numFmtId="164">
      <sharedItems containsSemiMixedTypes="0" containsString="0" containsNumber="1" containsInteger="1" minValue="100" maxValue="1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a Analyst" refreshedDate="45100.646760648146" createdVersion="8" refreshedVersion="8" minRefreshableVersion="3" recordCount="2" xr:uid="{29FB0C62-0456-4E56-B146-8ECDCA9B5056}">
  <cacheSource type="worksheet">
    <worksheetSource ref="E1:G3" sheet="PT"/>
  </cacheSource>
  <cacheFields count="3">
    <cacheField name="ALL SDGs" numFmtId="0">
      <sharedItems count="2">
        <s v="Actual"/>
        <s v="Target"/>
      </sharedItems>
    </cacheField>
    <cacheField name="SDG Score" numFmtId="43">
      <sharedItems containsSemiMixedTypes="0" containsString="0" containsNumber="1" minValue="0.47058823529411598" maxValue="99.529411764705884"/>
    </cacheField>
    <cacheField name="Target" numFmtId="0">
      <sharedItems containsSemiMixedTypes="0" containsString="0" containsNumber="1" containsInteger="1" minValue="100" maxValue="1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ta Analyst" refreshedDate="45110.360348148148" backgroundQuery="1" createdVersion="8" refreshedVersion="8" minRefreshableVersion="3" recordCount="0" supportSubquery="1" supportAdvancedDrill="1" xr:uid="{DF5AEC58-1448-4DE6-9664-0C08551FF601}">
  <cacheSource type="external" connectionId="1"/>
  <cacheFields count="2">
    <cacheField name="[Measures].[Count of Target]" caption="Count of Target" numFmtId="0" hierarchy="39" level="32767"/>
    <cacheField name="[Measures].[Average of SCORE]" caption="Average of SCORE" numFmtId="0" hierarchy="32" level="32767"/>
  </cacheFields>
  <cacheHierarchies count="42">
    <cacheHierarchy uniqueName="[Range].[SDG 1]" caption="SDG 1" attribute="1" defaultMemberUniqueName="[Range].[SDG 1].[All]" allUniqueName="[Range].[SDG 1].[All]" dimensionUniqueName="[Range]" displayFolder="" count="0" memberValueDatatype="130" unbalanced="0"/>
    <cacheHierarchy uniqueName="[Range].[SDG Title]" caption="SDG Title" attribute="1" defaultMemberUniqueName="[Range].[SDG Title].[All]" allUniqueName="[Range].[SDG Title].[All]" dimensionUniqueName="[Range]" displayFolder="" count="0" memberValueDatatype="130" unbalanced="0"/>
    <cacheHierarchy uniqueName="[Range].[SDG Section]" caption="SDG Section" attribute="1" defaultMemberUniqueName="[Range].[SDG Section].[All]" allUniqueName="[Range].[SDG Section].[All]" dimensionUniqueName="[Range]" displayFolder="" count="0" memberValueDatatype="5" unbalanced="0"/>
    <cacheHierarchy uniqueName="[Range].[Column1]" caption="Column1" attribute="1" defaultMemberUniqueName="[Range].[Column1].[All]" allUniqueName="[Range].[Column1].[All]" dimensionUniqueName="[Range]" displayFolder="" count="0" memberValueDatatype="130" unbalanced="0"/>
    <cacheHierarchy uniqueName="[Range].[Content No.]" caption="Content No." attribute="1" defaultMemberUniqueName="[Range].[Content No.].[All]" allUniqueName="[Range].[Content No.].[All]" dimensionUniqueName="[Range]" displayFolder="" count="0" memberValueDatatype="130" unbalanced="0"/>
    <cacheHierarchy uniqueName="[Range].[SDG Section Content]" caption="SDG Section Content" attribute="1" defaultMemberUniqueName="[Range].[SDG Section Content].[All]" allUniqueName="[Range].[SDG Section Content].[All]" dimensionUniqueName="[Range]" displayFolder="" count="0" memberValueDatatype="130" unbalanced="0"/>
    <cacheHierarchy uniqueName="[Range].[TotalPointsSet]" caption="TotalPointsSet" attribute="1" defaultMemberUniqueName="[Range].[TotalPointsSet].[All]" allUniqueName="[Range].[TotalPointsSet].[All]" dimensionUniqueName="[Range]" displayFolder="" count="0" memberValueDatatype="20" unbalanced="0"/>
    <cacheHierarchy uniqueName="[Range].[PointsGained (Score)]" caption="PointsGained (Score)" attribute="1" defaultMemberUniqueName="[Range].[PointsGained (Score)].[All]" allUniqueName="[Range].[PointsGained (Score)].[All]" dimensionUniqueName="[Range]" displayFolder="" count="0" memberValueDatatype="130" unbalanced="0"/>
    <cacheHierarchy uniqueName="[Range 1].[SDG 1]" caption="SDG 1" attribute="1" defaultMemberUniqueName="[Range 1].[SDG 1].[All]" allUniqueName="[Range 1].[SDG 1].[All]" dimensionUniqueName="[Range 1]" displayFolder="" count="0" memberValueDatatype="130" unbalanced="0"/>
    <cacheHierarchy uniqueName="[Range 1].[NO POVERTY]" caption="NO POVERTY" attribute="1" defaultMemberUniqueName="[Range 1].[NO POVERTY].[All]" allUniqueName="[Range 1].[NO POVERTY].[All]" dimensionUniqueName="[Range 1]" displayFolder="" count="0" memberValueDatatype="130" unbalanced="0"/>
    <cacheHierarchy uniqueName="[Range 1].[100]" caption="100" attribute="1" defaultMemberUniqueName="[Range 1].[100].[All]" allUniqueName="[Range 1].[100].[All]" dimensionUniqueName="[Range 1]" displayFolder="" count="0" memberValueDatatype="20" unbalanced="0"/>
    <cacheHierarchy uniqueName="[Range 2].[SDG 1]" caption="SDG 1" attribute="1" defaultMemberUniqueName="[Range 2].[SDG 1].[All]" allUniqueName="[Range 2].[SDG 1].[All]" dimensionUniqueName="[Range 2]" displayFolder="" count="0" memberValueDatatype="130" unbalanced="0"/>
    <cacheHierarchy uniqueName="[Range 2].[NO POVERTY]" caption="NO POVERTY" attribute="1" defaultMemberUniqueName="[Range 2].[NO POVERTY].[All]" allUniqueName="[Range 2].[NO POVERTY].[All]" dimensionUniqueName="[Range 2]" displayFolder="" count="0" memberValueDatatype="130" unbalanced="0"/>
    <cacheHierarchy uniqueName="[Range 2].[100]" caption="100" attribute="1" defaultMemberUniqueName="[Range 2].[100].[All]" allUniqueName="[Range 2].[100].[All]" dimensionUniqueName="[Range 2]" displayFolder="" count="0" memberValueDatatype="20" unbalanced="0"/>
    <cacheHierarchy uniqueName="[Range 3].[SUSTAINABLE DEVELOPMENT GOALS]" caption="SUSTAINABLE DEVELOPMENT GOALS" attribute="1" defaultMemberUniqueName="[Range 3].[SUSTAINABLE DEVELOPMENT GOALS].[All]" allUniqueName="[Range 3].[SUSTAINABLE DEVELOPMENT GOALS].[All]" dimensionUniqueName="[Range 3]" displayFolder="" count="0" memberValueDatatype="130" unbalanced="0"/>
    <cacheHierarchy uniqueName="[Range 3].[INDICATOR]" caption="INDICATOR" attribute="1" defaultMemberUniqueName="[Range 3].[INDICATOR].[All]" allUniqueName="[Range 3].[INDICATOR].[All]" dimensionUniqueName="[Range 3]" displayFolder="" count="0" memberValueDatatype="130" unbalanced="0"/>
    <cacheHierarchy uniqueName="[Range 3].[SCORE]" caption="SCORE" attribute="1" defaultMemberUniqueName="[Range 3].[SCORE].[All]" allUniqueName="[Range 3].[SCORE].[All]" dimensionUniqueName="[Range 3]" displayFolder="" count="0" memberValueDatatype="20" unbalanced="0"/>
    <cacheHierarchy uniqueName="[Table6].[Campus]" caption="Campus" attribute="1" defaultMemberUniqueName="[Table6].[Campus].[All]" allUniqueName="[Table6].[Campus].[All]" dimensionUniqueName="[Table6]" displayFolder="" count="0" memberValueDatatype="130" unbalanced="0"/>
    <cacheHierarchy uniqueName="[Table6].[SDG]" caption="SDG" attribute="1" defaultMemberUniqueName="[Table6].[SDG].[All]" allUniqueName="[Table6].[SDG].[All]" dimensionUniqueName="[Table6]" displayFolder="" count="0" memberValueDatatype="20" unbalanced="0"/>
    <cacheHierarchy uniqueName="[Table6].[SDG 2]" caption="SDG 2" attribute="1" defaultMemberUniqueName="[Table6].[SDG 2].[All]" allUniqueName="[Table6].[SDG 2].[All]" dimensionUniqueName="[Table6]" displayFolder="" count="0" memberValueDatatype="130" unbalanced="0"/>
    <cacheHierarchy uniqueName="[Table6].[SDG 3]" caption="SDG 3" attribute="1" defaultMemberUniqueName="[Table6].[SDG 3].[All]" allUniqueName="[Table6].[SDG 3].[All]" dimensionUniqueName="[Table6]" displayFolder="" count="0" memberValueDatatype="130" unbalanced="0"/>
    <cacheHierarchy uniqueName="[Table6].[SCORE]" caption="SCORE" attribute="1" defaultMemberUniqueName="[Table6].[SCORE].[All]" allUniqueName="[Table6].[SCORE].[All]" dimensionUniqueName="[Table6]" displayFolder="" count="0" memberValueDatatype="20" unbalanced="0"/>
    <cacheHierarchy uniqueName="[Table6].[INDICATOR]" caption="INDICATOR" attribute="1" defaultMemberUniqueName="[Table6].[INDICATOR].[All]" allUniqueName="[Table6].[INDICATOR].[All]" dimensionUniqueName="[Table6]" displayFolder="" count="0" memberValueDatatype="130" unbalanced="0"/>
    <cacheHierarchy uniqueName="[Table6].[Top 4]" caption="Top 4" attribute="1" defaultMemberUniqueName="[Table6].[Top 4].[All]" allUniqueName="[Table6].[Top 4].[All]" dimensionUniqueName="[Table6]" displayFolder="" count="0" memberValueDatatype="20" unbalanced="0"/>
    <cacheHierarchy uniqueName="[Table6].[Target]" caption="Target" attribute="1" defaultMemberUniqueName="[Table6].[Target].[All]" allUniqueName="[Table6].[Target].[All]" dimensionUniqueName="[Table6]" displayFolder="" count="0" memberValueDatatype="20" unbalanced="0"/>
    <cacheHierarchy uniqueName="[Measures].[__XL_Count Range]" caption="__XL_Count Range" measure="1" displayFolder="" measureGroup="Range" count="0" hidden="1"/>
    <cacheHierarchy uniqueName="[Measures].[__XL_Count Table6]" caption="__XL_Count Table6" measure="1" displayFolder="" measureGroup="Table6"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SCORE 2]" caption="Sum of SCORE 2" measure="1" displayFolder="" measureGroup="Table6" count="0" hidden="1">
      <extLst>
        <ext xmlns:x15="http://schemas.microsoft.com/office/spreadsheetml/2010/11/main" uri="{B97F6D7D-B522-45F9-BDA1-12C45D357490}">
          <x15:cacheHierarchy aggregatedColumn="21"/>
        </ext>
      </extLst>
    </cacheHierarchy>
    <cacheHierarchy uniqueName="[Measures].[Average of SCORE]" caption="Average of SCORE" measure="1" displayFolder="" measureGroup="Table6"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Top 4]" caption="Sum of Top 4" measure="1" displayFolder="" measureGroup="Table6" count="0" hidden="1">
      <extLst>
        <ext xmlns:x15="http://schemas.microsoft.com/office/spreadsheetml/2010/11/main" uri="{B97F6D7D-B522-45F9-BDA1-12C45D357490}">
          <x15:cacheHierarchy aggregatedColumn="23"/>
        </ext>
      </extLst>
    </cacheHierarchy>
    <cacheHierarchy uniqueName="[Measures].[Average of Top 4]" caption="Average of Top 4" measure="1" displayFolder="" measureGroup="Table6" count="0" hidden="1">
      <extLst>
        <ext xmlns:x15="http://schemas.microsoft.com/office/spreadsheetml/2010/11/main" uri="{B97F6D7D-B522-45F9-BDA1-12C45D357490}">
          <x15:cacheHierarchy aggregatedColumn="23"/>
        </ext>
      </extLst>
    </cacheHierarchy>
    <cacheHierarchy uniqueName="[Measures].[Max of SCORE]" caption="Max of SCORE" measure="1" displayFolder="" measureGroup="Table6"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able6" count="0" hidden="1">
      <extLst>
        <ext xmlns:x15="http://schemas.microsoft.com/office/spreadsheetml/2010/11/main" uri="{B97F6D7D-B522-45F9-BDA1-12C45D357490}">
          <x15:cacheHierarchy aggregatedColumn="24"/>
        </ext>
      </extLst>
    </cacheHierarchy>
    <cacheHierarchy uniqueName="[Measures].[Average of Target]" caption="Average of Target" measure="1" displayFolder="" measureGroup="Table6" count="0" hidden="1">
      <extLst>
        <ext xmlns:x15="http://schemas.microsoft.com/office/spreadsheetml/2010/11/main" uri="{B97F6D7D-B522-45F9-BDA1-12C45D357490}">
          <x15:cacheHierarchy aggregatedColumn="24"/>
        </ext>
      </extLst>
    </cacheHierarchy>
    <cacheHierarchy uniqueName="[Measures].[Count of SDG]" caption="Count of SDG" measure="1" displayFolder="" measureGroup="Table6" count="0" hidden="1">
      <extLst>
        <ext xmlns:x15="http://schemas.microsoft.com/office/spreadsheetml/2010/11/main" uri="{B97F6D7D-B522-45F9-BDA1-12C45D357490}">
          <x15:cacheHierarchy aggregatedColumn="18"/>
        </ext>
      </extLst>
    </cacheHierarchy>
    <cacheHierarchy uniqueName="[Measures].[Count of Target]" caption="Count of Target" measure="1" displayFolder="" measureGroup="Table6"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95]" caption="Sum of 95" measure="1" displayFolder="" measureGroup="Range 2"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16"/>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Table6" uniqueName="[Table6]" caption="Table6"/>
  </dimensions>
  <measureGroups count="5">
    <measureGroup name="Range" caption="Range"/>
    <measureGroup name="Range 1" caption="Range 1"/>
    <measureGroup name="Range 2" caption="Range 2"/>
    <measureGroup name="Range 3" caption="Range 3"/>
    <measureGroup name="Table6" caption="Table6"/>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Data Analyst" refreshedDate="45110.360350694442" backgroundQuery="1" createdVersion="8" refreshedVersion="8" minRefreshableVersion="3" recordCount="0" supportSubquery="1" supportAdvancedDrill="1" xr:uid="{856219A2-CE75-4A58-8910-36E03931B53D}">
  <cacheSource type="external" connectionId="1"/>
  <cacheFields count="3">
    <cacheField name="[Table6].[Campus].[Campus]" caption="Campus" numFmtId="0" hierarchy="17" level="1">
      <sharedItems count="11">
        <s v="Alangilan"/>
        <s v="ARASOF-Nasugbu"/>
        <s v="Balayan"/>
        <s v="JPLPC-Malvar"/>
        <s v="Lemery"/>
        <s v="Lipa"/>
        <s v="Lobo"/>
        <s v="Mabini"/>
        <s v="Pablo Borbon"/>
        <s v="Rosario"/>
        <s v="San Juan"/>
      </sharedItems>
    </cacheField>
    <cacheField name="[Measures].[Average of SCORE]" caption="Average of SCORE" numFmtId="0" hierarchy="32" level="32767"/>
    <cacheField name="[Table6].[SDG].[SDG]" caption="SDG" numFmtId="0" hierarchy="18" level="1">
      <sharedItems containsSemiMixedTypes="0" containsNonDate="0" containsString="0"/>
    </cacheField>
  </cacheFields>
  <cacheHierarchies count="42">
    <cacheHierarchy uniqueName="[Range].[SDG 1]" caption="SDG 1" attribute="1" defaultMemberUniqueName="[Range].[SDG 1].[All]" allUniqueName="[Range].[SDG 1].[All]" dimensionUniqueName="[Range]" displayFolder="" count="0" memberValueDatatype="130" unbalanced="0"/>
    <cacheHierarchy uniqueName="[Range].[SDG Title]" caption="SDG Title" attribute="1" defaultMemberUniqueName="[Range].[SDG Title].[All]" allUniqueName="[Range].[SDG Title].[All]" dimensionUniqueName="[Range]" displayFolder="" count="0" memberValueDatatype="130" unbalanced="0"/>
    <cacheHierarchy uniqueName="[Range].[SDG Section]" caption="SDG Section" attribute="1" defaultMemberUniqueName="[Range].[SDG Section].[All]" allUniqueName="[Range].[SDG Section].[All]" dimensionUniqueName="[Range]" displayFolder="" count="0" memberValueDatatype="5" unbalanced="0"/>
    <cacheHierarchy uniqueName="[Range].[Column1]" caption="Column1" attribute="1" defaultMemberUniqueName="[Range].[Column1].[All]" allUniqueName="[Range].[Column1].[All]" dimensionUniqueName="[Range]" displayFolder="" count="0" memberValueDatatype="130" unbalanced="0"/>
    <cacheHierarchy uniqueName="[Range].[Content No.]" caption="Content No." attribute="1" defaultMemberUniqueName="[Range].[Content No.].[All]" allUniqueName="[Range].[Content No.].[All]" dimensionUniqueName="[Range]" displayFolder="" count="0" memberValueDatatype="130" unbalanced="0"/>
    <cacheHierarchy uniqueName="[Range].[SDG Section Content]" caption="SDG Section Content" attribute="1" defaultMemberUniqueName="[Range].[SDG Section Content].[All]" allUniqueName="[Range].[SDG Section Content].[All]" dimensionUniqueName="[Range]" displayFolder="" count="0" memberValueDatatype="130" unbalanced="0"/>
    <cacheHierarchy uniqueName="[Range].[TotalPointsSet]" caption="TotalPointsSet" attribute="1" defaultMemberUniqueName="[Range].[TotalPointsSet].[All]" allUniqueName="[Range].[TotalPointsSet].[All]" dimensionUniqueName="[Range]" displayFolder="" count="0" memberValueDatatype="20" unbalanced="0"/>
    <cacheHierarchy uniqueName="[Range].[PointsGained (Score)]" caption="PointsGained (Score)" attribute="1" defaultMemberUniqueName="[Range].[PointsGained (Score)].[All]" allUniqueName="[Range].[PointsGained (Score)].[All]" dimensionUniqueName="[Range]" displayFolder="" count="0" memberValueDatatype="130" unbalanced="0"/>
    <cacheHierarchy uniqueName="[Range 1].[SDG 1]" caption="SDG 1" attribute="1" defaultMemberUniqueName="[Range 1].[SDG 1].[All]" allUniqueName="[Range 1].[SDG 1].[All]" dimensionUniqueName="[Range 1]" displayFolder="" count="0" memberValueDatatype="130" unbalanced="0"/>
    <cacheHierarchy uniqueName="[Range 1].[NO POVERTY]" caption="NO POVERTY" attribute="1" defaultMemberUniqueName="[Range 1].[NO POVERTY].[All]" allUniqueName="[Range 1].[NO POVERTY].[All]" dimensionUniqueName="[Range 1]" displayFolder="" count="0" memberValueDatatype="130" unbalanced="0"/>
    <cacheHierarchy uniqueName="[Range 1].[100]" caption="100" attribute="1" defaultMemberUniqueName="[Range 1].[100].[All]" allUniqueName="[Range 1].[100].[All]" dimensionUniqueName="[Range 1]" displayFolder="" count="0" memberValueDatatype="20" unbalanced="0"/>
    <cacheHierarchy uniqueName="[Range 2].[SDG 1]" caption="SDG 1" attribute="1" defaultMemberUniqueName="[Range 2].[SDG 1].[All]" allUniqueName="[Range 2].[SDG 1].[All]" dimensionUniqueName="[Range 2]" displayFolder="" count="0" memberValueDatatype="130" unbalanced="0"/>
    <cacheHierarchy uniqueName="[Range 2].[NO POVERTY]" caption="NO POVERTY" attribute="1" defaultMemberUniqueName="[Range 2].[NO POVERTY].[All]" allUniqueName="[Range 2].[NO POVERTY].[All]" dimensionUniqueName="[Range 2]" displayFolder="" count="0" memberValueDatatype="130" unbalanced="0"/>
    <cacheHierarchy uniqueName="[Range 2].[100]" caption="100" attribute="1" defaultMemberUniqueName="[Range 2].[100].[All]" allUniqueName="[Range 2].[100].[All]" dimensionUniqueName="[Range 2]" displayFolder="" count="0" memberValueDatatype="20" unbalanced="0"/>
    <cacheHierarchy uniqueName="[Range 3].[SUSTAINABLE DEVELOPMENT GOALS]" caption="SUSTAINABLE DEVELOPMENT GOALS" attribute="1" defaultMemberUniqueName="[Range 3].[SUSTAINABLE DEVELOPMENT GOALS].[All]" allUniqueName="[Range 3].[SUSTAINABLE DEVELOPMENT GOALS].[All]" dimensionUniqueName="[Range 3]" displayFolder="" count="0" memberValueDatatype="130" unbalanced="0"/>
    <cacheHierarchy uniqueName="[Range 3].[INDICATOR]" caption="INDICATOR" attribute="1" defaultMemberUniqueName="[Range 3].[INDICATOR].[All]" allUniqueName="[Range 3].[INDICATOR].[All]" dimensionUniqueName="[Range 3]" displayFolder="" count="0" memberValueDatatype="130" unbalanced="0"/>
    <cacheHierarchy uniqueName="[Range 3].[SCORE]" caption="SCORE" attribute="1" defaultMemberUniqueName="[Range 3].[SCORE].[All]" allUniqueName="[Range 3].[SCORE].[All]" dimensionUniqueName="[Range 3]" displayFolder="" count="0" memberValueDatatype="20" unbalanced="0"/>
    <cacheHierarchy uniqueName="[Table6].[Campus]" caption="Campus" attribute="1" defaultMemberUniqueName="[Table6].[Campus].[All]" allUniqueName="[Table6].[Campus].[All]" dimensionUniqueName="[Table6]" displayFolder="" count="2" memberValueDatatype="130" unbalanced="0">
      <fieldsUsage count="2">
        <fieldUsage x="-1"/>
        <fieldUsage x="0"/>
      </fieldsUsage>
    </cacheHierarchy>
    <cacheHierarchy uniqueName="[Table6].[SDG]" caption="SDG" attribute="1" defaultMemberUniqueName="[Table6].[SDG].[All]" allUniqueName="[Table6].[SDG].[All]" dimensionUniqueName="[Table6]" displayFolder="" count="2" memberValueDatatype="20" unbalanced="0">
      <fieldsUsage count="2">
        <fieldUsage x="-1"/>
        <fieldUsage x="2"/>
      </fieldsUsage>
    </cacheHierarchy>
    <cacheHierarchy uniqueName="[Table6].[SDG 2]" caption="SDG 2" attribute="1" defaultMemberUniqueName="[Table6].[SDG 2].[All]" allUniqueName="[Table6].[SDG 2].[All]" dimensionUniqueName="[Table6]" displayFolder="" count="0" memberValueDatatype="130" unbalanced="0"/>
    <cacheHierarchy uniqueName="[Table6].[SDG 3]" caption="SDG 3" attribute="1" defaultMemberUniqueName="[Table6].[SDG 3].[All]" allUniqueName="[Table6].[SDG 3].[All]" dimensionUniqueName="[Table6]" displayFolder="" count="0" memberValueDatatype="130" unbalanced="0"/>
    <cacheHierarchy uniqueName="[Table6].[SCORE]" caption="SCORE" attribute="1" defaultMemberUniqueName="[Table6].[SCORE].[All]" allUniqueName="[Table6].[SCORE].[All]" dimensionUniqueName="[Table6]" displayFolder="" count="0" memberValueDatatype="20" unbalanced="0"/>
    <cacheHierarchy uniqueName="[Table6].[INDICATOR]" caption="INDICATOR" attribute="1" defaultMemberUniqueName="[Table6].[INDICATOR].[All]" allUniqueName="[Table6].[INDICATOR].[All]" dimensionUniqueName="[Table6]" displayFolder="" count="0" memberValueDatatype="130" unbalanced="0"/>
    <cacheHierarchy uniqueName="[Table6].[Top 4]" caption="Top 4" attribute="1" defaultMemberUniqueName="[Table6].[Top 4].[All]" allUniqueName="[Table6].[Top 4].[All]" dimensionUniqueName="[Table6]" displayFolder="" count="0" memberValueDatatype="20" unbalanced="0"/>
    <cacheHierarchy uniqueName="[Table6].[Target]" caption="Target" attribute="1" defaultMemberUniqueName="[Table6].[Target].[All]" allUniqueName="[Table6].[Target].[All]" dimensionUniqueName="[Table6]" displayFolder="" count="0" memberValueDatatype="20" unbalanced="0"/>
    <cacheHierarchy uniqueName="[Measures].[__XL_Count Range]" caption="__XL_Count Range" measure="1" displayFolder="" measureGroup="Range" count="0" hidden="1"/>
    <cacheHierarchy uniqueName="[Measures].[__XL_Count Table6]" caption="__XL_Count Table6" measure="1" displayFolder="" measureGroup="Table6"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SCORE 2]" caption="Sum of SCORE 2" measure="1" displayFolder="" measureGroup="Table6" count="0" hidden="1">
      <extLst>
        <ext xmlns:x15="http://schemas.microsoft.com/office/spreadsheetml/2010/11/main" uri="{B97F6D7D-B522-45F9-BDA1-12C45D357490}">
          <x15:cacheHierarchy aggregatedColumn="21"/>
        </ext>
      </extLst>
    </cacheHierarchy>
    <cacheHierarchy uniqueName="[Measures].[Average of SCORE]" caption="Average of SCORE" measure="1" displayFolder="" measureGroup="Table6"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Top 4]" caption="Sum of Top 4" measure="1" displayFolder="" measureGroup="Table6" count="0" hidden="1">
      <extLst>
        <ext xmlns:x15="http://schemas.microsoft.com/office/spreadsheetml/2010/11/main" uri="{B97F6D7D-B522-45F9-BDA1-12C45D357490}">
          <x15:cacheHierarchy aggregatedColumn="23"/>
        </ext>
      </extLst>
    </cacheHierarchy>
    <cacheHierarchy uniqueName="[Measures].[Average of Top 4]" caption="Average of Top 4" measure="1" displayFolder="" measureGroup="Table6" count="0" hidden="1">
      <extLst>
        <ext xmlns:x15="http://schemas.microsoft.com/office/spreadsheetml/2010/11/main" uri="{B97F6D7D-B522-45F9-BDA1-12C45D357490}">
          <x15:cacheHierarchy aggregatedColumn="23"/>
        </ext>
      </extLst>
    </cacheHierarchy>
    <cacheHierarchy uniqueName="[Measures].[Max of SCORE]" caption="Max of SCORE" measure="1" displayFolder="" measureGroup="Table6"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able6" count="0" hidden="1">
      <extLst>
        <ext xmlns:x15="http://schemas.microsoft.com/office/spreadsheetml/2010/11/main" uri="{B97F6D7D-B522-45F9-BDA1-12C45D357490}">
          <x15:cacheHierarchy aggregatedColumn="24"/>
        </ext>
      </extLst>
    </cacheHierarchy>
    <cacheHierarchy uniqueName="[Measures].[Average of Target]" caption="Average of Target" measure="1" displayFolder="" measureGroup="Table6" count="0" hidden="1">
      <extLst>
        <ext xmlns:x15="http://schemas.microsoft.com/office/spreadsheetml/2010/11/main" uri="{B97F6D7D-B522-45F9-BDA1-12C45D357490}">
          <x15:cacheHierarchy aggregatedColumn="24"/>
        </ext>
      </extLst>
    </cacheHierarchy>
    <cacheHierarchy uniqueName="[Measures].[Count of SDG]" caption="Count of SDG" measure="1" displayFolder="" measureGroup="Table6" count="0" hidden="1">
      <extLst>
        <ext xmlns:x15="http://schemas.microsoft.com/office/spreadsheetml/2010/11/main" uri="{B97F6D7D-B522-45F9-BDA1-12C45D357490}">
          <x15:cacheHierarchy aggregatedColumn="18"/>
        </ext>
      </extLst>
    </cacheHierarchy>
    <cacheHierarchy uniqueName="[Measures].[Count of Target]" caption="Count of Target" measure="1" displayFolder="" measureGroup="Table6" count="0" hidden="1">
      <extLst>
        <ext xmlns:x15="http://schemas.microsoft.com/office/spreadsheetml/2010/11/main" uri="{B97F6D7D-B522-45F9-BDA1-12C45D357490}">
          <x15:cacheHierarchy aggregatedColumn="24"/>
        </ext>
      </extLst>
    </cacheHierarchy>
    <cacheHierarchy uniqueName="[Measures].[Sum of 95]" caption="Sum of 95" measure="1" displayFolder="" measureGroup="Range 2"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16"/>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Table6" uniqueName="[Table6]" caption="Table6"/>
  </dimensions>
  <measureGroups count="5">
    <measureGroup name="Range" caption="Range"/>
    <measureGroup name="Range 1" caption="Range 1"/>
    <measureGroup name="Range 2" caption="Range 2"/>
    <measureGroup name="Range 3" caption="Range 3"/>
    <measureGroup name="Table6" caption="Table6"/>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Data Analyst" refreshedDate="45110.365707291669" backgroundQuery="1" createdVersion="8" refreshedVersion="8" minRefreshableVersion="3" recordCount="0" supportSubquery="1" supportAdvancedDrill="1" xr:uid="{725AF175-537D-4FBB-9D8A-DD716D2254D0}">
  <cacheSource type="external" connectionId="1"/>
  <cacheFields count="3">
    <cacheField name="[Table6].[SDG].[SDG]" caption="SDG" numFmtId="0" hierarchy="18" level="1">
      <sharedItems containsSemiMixedTypes="0" containsString="0" containsNumber="1" containsInteger="1" minValue="1" maxValue="17" count="17">
        <n v="1"/>
        <n v="2"/>
        <n v="3"/>
        <n v="4"/>
        <n v="5"/>
        <n v="6"/>
        <n v="7"/>
        <n v="8"/>
        <n v="9"/>
        <n v="10"/>
        <n v="11"/>
        <n v="12"/>
        <n v="13"/>
        <n v="14"/>
        <n v="15"/>
        <n v="16"/>
        <n v="17"/>
      </sharedItems>
      <extLst>
        <ext xmlns:x15="http://schemas.microsoft.com/office/spreadsheetml/2010/11/main" uri="{4F2E5C28-24EA-4eb8-9CBF-B6C8F9C3D259}">
          <x15:cachedUniqueNames>
            <x15:cachedUniqueName index="0" name="[Table6].[SDG].&amp;[1]"/>
            <x15:cachedUniqueName index="1" name="[Table6].[SDG].&amp;[2]"/>
            <x15:cachedUniqueName index="2" name="[Table6].[SDG].&amp;[3]"/>
            <x15:cachedUniqueName index="3" name="[Table6].[SDG].&amp;[4]"/>
            <x15:cachedUniqueName index="4" name="[Table6].[SDG].&amp;[5]"/>
            <x15:cachedUniqueName index="5" name="[Table6].[SDG].&amp;[6]"/>
            <x15:cachedUniqueName index="6" name="[Table6].[SDG].&amp;[7]"/>
            <x15:cachedUniqueName index="7" name="[Table6].[SDG].&amp;[8]"/>
            <x15:cachedUniqueName index="8" name="[Table6].[SDG].&amp;[9]"/>
            <x15:cachedUniqueName index="9" name="[Table6].[SDG].&amp;[10]"/>
            <x15:cachedUniqueName index="10" name="[Table6].[SDG].&amp;[11]"/>
            <x15:cachedUniqueName index="11" name="[Table6].[SDG].&amp;[12]"/>
            <x15:cachedUniqueName index="12" name="[Table6].[SDG].&amp;[13]"/>
            <x15:cachedUniqueName index="13" name="[Table6].[SDG].&amp;[14]"/>
            <x15:cachedUniqueName index="14" name="[Table6].[SDG].&amp;[15]"/>
            <x15:cachedUniqueName index="15" name="[Table6].[SDG].&amp;[16]"/>
            <x15:cachedUniqueName index="16" name="[Table6].[SDG].&amp;[17]"/>
          </x15:cachedUniqueNames>
        </ext>
      </extLst>
    </cacheField>
    <cacheField name="[Measures].[Average of SCORE]" caption="Average of SCORE" numFmtId="0" hierarchy="32" level="32767"/>
    <cacheField name="[Table6].[Campus].[Campus]" caption="Campus" numFmtId="0" hierarchy="17" level="1">
      <sharedItems containsSemiMixedTypes="0" containsNonDate="0" containsString="0"/>
    </cacheField>
  </cacheFields>
  <cacheHierarchies count="42">
    <cacheHierarchy uniqueName="[Range].[SDG 1]" caption="SDG 1" attribute="1" defaultMemberUniqueName="[Range].[SDG 1].[All]" allUniqueName="[Range].[SDG 1].[All]" dimensionUniqueName="[Range]" displayFolder="" count="0" memberValueDatatype="130" unbalanced="0"/>
    <cacheHierarchy uniqueName="[Range].[SDG Title]" caption="SDG Title" attribute="1" defaultMemberUniqueName="[Range].[SDG Title].[All]" allUniqueName="[Range].[SDG Title].[All]" dimensionUniqueName="[Range]" displayFolder="" count="0" memberValueDatatype="130" unbalanced="0"/>
    <cacheHierarchy uniqueName="[Range].[SDG Section]" caption="SDG Section" attribute="1" defaultMemberUniqueName="[Range].[SDG Section].[All]" allUniqueName="[Range].[SDG Section].[All]" dimensionUniqueName="[Range]" displayFolder="" count="0" memberValueDatatype="5" unbalanced="0"/>
    <cacheHierarchy uniqueName="[Range].[Column1]" caption="Column1" attribute="1" defaultMemberUniqueName="[Range].[Column1].[All]" allUniqueName="[Range].[Column1].[All]" dimensionUniqueName="[Range]" displayFolder="" count="0" memberValueDatatype="130" unbalanced="0"/>
    <cacheHierarchy uniqueName="[Range].[Content No.]" caption="Content No." attribute="1" defaultMemberUniqueName="[Range].[Content No.].[All]" allUniqueName="[Range].[Content No.].[All]" dimensionUniqueName="[Range]" displayFolder="" count="0" memberValueDatatype="130" unbalanced="0"/>
    <cacheHierarchy uniqueName="[Range].[SDG Section Content]" caption="SDG Section Content" attribute="1" defaultMemberUniqueName="[Range].[SDG Section Content].[All]" allUniqueName="[Range].[SDG Section Content].[All]" dimensionUniqueName="[Range]" displayFolder="" count="0" memberValueDatatype="130" unbalanced="0"/>
    <cacheHierarchy uniqueName="[Range].[TotalPointsSet]" caption="TotalPointsSet" attribute="1" defaultMemberUniqueName="[Range].[TotalPointsSet].[All]" allUniqueName="[Range].[TotalPointsSet].[All]" dimensionUniqueName="[Range]" displayFolder="" count="0" memberValueDatatype="20" unbalanced="0"/>
    <cacheHierarchy uniqueName="[Range].[PointsGained (Score)]" caption="PointsGained (Score)" attribute="1" defaultMemberUniqueName="[Range].[PointsGained (Score)].[All]" allUniqueName="[Range].[PointsGained (Score)].[All]" dimensionUniqueName="[Range]" displayFolder="" count="0" memberValueDatatype="130" unbalanced="0"/>
    <cacheHierarchy uniqueName="[Range 1].[SDG 1]" caption="SDG 1" attribute="1" defaultMemberUniqueName="[Range 1].[SDG 1].[All]" allUniqueName="[Range 1].[SDG 1].[All]" dimensionUniqueName="[Range 1]" displayFolder="" count="0" memberValueDatatype="130" unbalanced="0"/>
    <cacheHierarchy uniqueName="[Range 1].[NO POVERTY]" caption="NO POVERTY" attribute="1" defaultMemberUniqueName="[Range 1].[NO POVERTY].[All]" allUniqueName="[Range 1].[NO POVERTY].[All]" dimensionUniqueName="[Range 1]" displayFolder="" count="0" memberValueDatatype="130" unbalanced="0"/>
    <cacheHierarchy uniqueName="[Range 1].[100]" caption="100" attribute="1" defaultMemberUniqueName="[Range 1].[100].[All]" allUniqueName="[Range 1].[100].[All]" dimensionUniqueName="[Range 1]" displayFolder="" count="0" memberValueDatatype="20" unbalanced="0"/>
    <cacheHierarchy uniqueName="[Range 2].[SDG 1]" caption="SDG 1" attribute="1" defaultMemberUniqueName="[Range 2].[SDG 1].[All]" allUniqueName="[Range 2].[SDG 1].[All]" dimensionUniqueName="[Range 2]" displayFolder="" count="0" memberValueDatatype="130" unbalanced="0"/>
    <cacheHierarchy uniqueName="[Range 2].[NO POVERTY]" caption="NO POVERTY" attribute="1" defaultMemberUniqueName="[Range 2].[NO POVERTY].[All]" allUniqueName="[Range 2].[NO POVERTY].[All]" dimensionUniqueName="[Range 2]" displayFolder="" count="0" memberValueDatatype="130" unbalanced="0"/>
    <cacheHierarchy uniqueName="[Range 2].[100]" caption="100" attribute="1" defaultMemberUniqueName="[Range 2].[100].[All]" allUniqueName="[Range 2].[100].[All]" dimensionUniqueName="[Range 2]" displayFolder="" count="0" memberValueDatatype="20" unbalanced="0"/>
    <cacheHierarchy uniqueName="[Range 3].[SUSTAINABLE DEVELOPMENT GOALS]" caption="SUSTAINABLE DEVELOPMENT GOALS" attribute="1" defaultMemberUniqueName="[Range 3].[SUSTAINABLE DEVELOPMENT GOALS].[All]" allUniqueName="[Range 3].[SUSTAINABLE DEVELOPMENT GOALS].[All]" dimensionUniqueName="[Range 3]" displayFolder="" count="0" memberValueDatatype="130" unbalanced="0"/>
    <cacheHierarchy uniqueName="[Range 3].[INDICATOR]" caption="INDICATOR" attribute="1" defaultMemberUniqueName="[Range 3].[INDICATOR].[All]" allUniqueName="[Range 3].[INDICATOR].[All]" dimensionUniqueName="[Range 3]" displayFolder="" count="0" memberValueDatatype="130" unbalanced="0"/>
    <cacheHierarchy uniqueName="[Range 3].[SCORE]" caption="SCORE" attribute="1" defaultMemberUniqueName="[Range 3].[SCORE].[All]" allUniqueName="[Range 3].[SCORE].[All]" dimensionUniqueName="[Range 3]" displayFolder="" count="0" memberValueDatatype="20" unbalanced="0"/>
    <cacheHierarchy uniqueName="[Table6].[Campus]" caption="Campus" attribute="1" defaultMemberUniqueName="[Table6].[Campus].[All]" allUniqueName="[Table6].[Campus].[All]" dimensionUniqueName="[Table6]" displayFolder="" count="2" memberValueDatatype="130" unbalanced="0">
      <fieldsUsage count="2">
        <fieldUsage x="-1"/>
        <fieldUsage x="2"/>
      </fieldsUsage>
    </cacheHierarchy>
    <cacheHierarchy uniqueName="[Table6].[SDG]" caption="SDG" attribute="1" defaultMemberUniqueName="[Table6].[SDG].[All]" allUniqueName="[Table6].[SDG].[All]" dimensionUniqueName="[Table6]" displayFolder="" count="2" memberValueDatatype="20" unbalanced="0">
      <fieldsUsage count="2">
        <fieldUsage x="-1"/>
        <fieldUsage x="0"/>
      </fieldsUsage>
    </cacheHierarchy>
    <cacheHierarchy uniqueName="[Table6].[SDG 2]" caption="SDG 2" attribute="1" defaultMemberUniqueName="[Table6].[SDG 2].[All]" allUniqueName="[Table6].[SDG 2].[All]" dimensionUniqueName="[Table6]" displayFolder="" count="0" memberValueDatatype="130" unbalanced="0"/>
    <cacheHierarchy uniqueName="[Table6].[SDG 3]" caption="SDG 3" attribute="1" defaultMemberUniqueName="[Table6].[SDG 3].[All]" allUniqueName="[Table6].[SDG 3].[All]" dimensionUniqueName="[Table6]" displayFolder="" count="0" memberValueDatatype="130" unbalanced="0"/>
    <cacheHierarchy uniqueName="[Table6].[SCORE]" caption="SCORE" attribute="1" defaultMemberUniqueName="[Table6].[SCORE].[All]" allUniqueName="[Table6].[SCORE].[All]" dimensionUniqueName="[Table6]" displayFolder="" count="0" memberValueDatatype="20" unbalanced="0"/>
    <cacheHierarchy uniqueName="[Table6].[INDICATOR]" caption="INDICATOR" attribute="1" defaultMemberUniqueName="[Table6].[INDICATOR].[All]" allUniqueName="[Table6].[INDICATOR].[All]" dimensionUniqueName="[Table6]" displayFolder="" count="0" memberValueDatatype="130" unbalanced="0"/>
    <cacheHierarchy uniqueName="[Table6].[Top 4]" caption="Top 4" attribute="1" defaultMemberUniqueName="[Table6].[Top 4].[All]" allUniqueName="[Table6].[Top 4].[All]" dimensionUniqueName="[Table6]" displayFolder="" count="0" memberValueDatatype="20" unbalanced="0"/>
    <cacheHierarchy uniqueName="[Table6].[Target]" caption="Target" attribute="1" defaultMemberUniqueName="[Table6].[Target].[All]" allUniqueName="[Table6].[Target].[All]" dimensionUniqueName="[Table6]" displayFolder="" count="0" memberValueDatatype="20" unbalanced="0"/>
    <cacheHierarchy uniqueName="[Measures].[__XL_Count Range]" caption="__XL_Count Range" measure="1" displayFolder="" measureGroup="Range" count="0" hidden="1"/>
    <cacheHierarchy uniqueName="[Measures].[__XL_Count Table6]" caption="__XL_Count Table6" measure="1" displayFolder="" measureGroup="Table6"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SCORE 2]" caption="Sum of SCORE 2" measure="1" displayFolder="" measureGroup="Table6" count="0" hidden="1">
      <extLst>
        <ext xmlns:x15="http://schemas.microsoft.com/office/spreadsheetml/2010/11/main" uri="{B97F6D7D-B522-45F9-BDA1-12C45D357490}">
          <x15:cacheHierarchy aggregatedColumn="21"/>
        </ext>
      </extLst>
    </cacheHierarchy>
    <cacheHierarchy uniqueName="[Measures].[Average of SCORE]" caption="Average of SCORE" measure="1" displayFolder="" measureGroup="Table6"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Top 4]" caption="Sum of Top 4" measure="1" displayFolder="" measureGroup="Table6" count="0" hidden="1">
      <extLst>
        <ext xmlns:x15="http://schemas.microsoft.com/office/spreadsheetml/2010/11/main" uri="{B97F6D7D-B522-45F9-BDA1-12C45D357490}">
          <x15:cacheHierarchy aggregatedColumn="23"/>
        </ext>
      </extLst>
    </cacheHierarchy>
    <cacheHierarchy uniqueName="[Measures].[Average of Top 4]" caption="Average of Top 4" measure="1" displayFolder="" measureGroup="Table6" count="0" hidden="1">
      <extLst>
        <ext xmlns:x15="http://schemas.microsoft.com/office/spreadsheetml/2010/11/main" uri="{B97F6D7D-B522-45F9-BDA1-12C45D357490}">
          <x15:cacheHierarchy aggregatedColumn="23"/>
        </ext>
      </extLst>
    </cacheHierarchy>
    <cacheHierarchy uniqueName="[Measures].[Max of SCORE]" caption="Max of SCORE" measure="1" displayFolder="" measureGroup="Table6"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able6" count="0" hidden="1">
      <extLst>
        <ext xmlns:x15="http://schemas.microsoft.com/office/spreadsheetml/2010/11/main" uri="{B97F6D7D-B522-45F9-BDA1-12C45D357490}">
          <x15:cacheHierarchy aggregatedColumn="24"/>
        </ext>
      </extLst>
    </cacheHierarchy>
    <cacheHierarchy uniqueName="[Measures].[Average of Target]" caption="Average of Target" measure="1" displayFolder="" measureGroup="Table6" count="0" hidden="1">
      <extLst>
        <ext xmlns:x15="http://schemas.microsoft.com/office/spreadsheetml/2010/11/main" uri="{B97F6D7D-B522-45F9-BDA1-12C45D357490}">
          <x15:cacheHierarchy aggregatedColumn="24"/>
        </ext>
      </extLst>
    </cacheHierarchy>
    <cacheHierarchy uniqueName="[Measures].[Count of SDG]" caption="Count of SDG" measure="1" displayFolder="" measureGroup="Table6" count="0" hidden="1">
      <extLst>
        <ext xmlns:x15="http://schemas.microsoft.com/office/spreadsheetml/2010/11/main" uri="{B97F6D7D-B522-45F9-BDA1-12C45D357490}">
          <x15:cacheHierarchy aggregatedColumn="18"/>
        </ext>
      </extLst>
    </cacheHierarchy>
    <cacheHierarchy uniqueName="[Measures].[Count of Target]" caption="Count of Target" measure="1" displayFolder="" measureGroup="Table6" count="0" hidden="1">
      <extLst>
        <ext xmlns:x15="http://schemas.microsoft.com/office/spreadsheetml/2010/11/main" uri="{B97F6D7D-B522-45F9-BDA1-12C45D357490}">
          <x15:cacheHierarchy aggregatedColumn="24"/>
        </ext>
      </extLst>
    </cacheHierarchy>
    <cacheHierarchy uniqueName="[Measures].[Sum of 95]" caption="Sum of 95" measure="1" displayFolder="" measureGroup="Range 2"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16"/>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Table6" uniqueName="[Table6]" caption="Table6"/>
  </dimensions>
  <measureGroups count="5">
    <measureGroup name="Range" caption="Range"/>
    <measureGroup name="Range 1" caption="Range 1"/>
    <measureGroup name="Range 2" caption="Range 2"/>
    <measureGroup name="Range 3" caption="Range 3"/>
    <measureGroup name="Table6" caption="Table6"/>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Data Analyst" refreshedDate="45110.365708564816" backgroundQuery="1" createdVersion="8" refreshedVersion="8" minRefreshableVersion="3" recordCount="0" supportSubquery="1" supportAdvancedDrill="1" xr:uid="{C09E7A2F-5550-473A-B8EE-A0D8C8CA36E8}">
  <cacheSource type="external" connectionId="1"/>
  <cacheFields count="4">
    <cacheField name="[Measures].[Average of SCORE]" caption="Average of SCORE" numFmtId="0" hierarchy="32" level="32767"/>
    <cacheField name="[Table6].[SDG].[SDG]" caption="SDG" numFmtId="0" hierarchy="18" level="1">
      <sharedItems containsSemiMixedTypes="0" containsString="0" containsNumber="1" containsInteger="1" minValue="1" maxValue="17" count="15">
        <n v="1"/>
        <n v="5"/>
        <n v="10"/>
        <n v="17"/>
        <n v="6" u="1"/>
        <n v="14" u="1"/>
        <n v="7" u="1"/>
        <n v="9" u="1"/>
        <n v="11" u="1"/>
        <n v="13" u="1"/>
        <n v="4" u="1"/>
        <n v="16" u="1"/>
        <n v="12" u="1"/>
        <n v="2" u="1"/>
        <n v="3" u="1"/>
      </sharedItems>
      <extLst>
        <ext xmlns:x15="http://schemas.microsoft.com/office/spreadsheetml/2010/11/main" uri="{4F2E5C28-24EA-4eb8-9CBF-B6C8F9C3D259}">
          <x15:cachedUniqueNames>
            <x15:cachedUniqueName index="0" name="[Table6].[SDG].&amp;[1]"/>
            <x15:cachedUniqueName index="1" name="[Table6].[SDG].&amp;[5]"/>
            <x15:cachedUniqueName index="2" name="[Table6].[SDG].&amp;[10]"/>
            <x15:cachedUniqueName index="3" name="[Table6].[SDG].&amp;[17]"/>
            <x15:cachedUniqueName index="4" name="[Table6].[SDG].&amp;[6]"/>
            <x15:cachedUniqueName index="5" name="[Table6].[SDG].&amp;[14]"/>
            <x15:cachedUniqueName index="6" name="[Table6].[SDG].&amp;[7]"/>
            <x15:cachedUniqueName index="7" name="[Table6].[SDG].&amp;[9]"/>
            <x15:cachedUniqueName index="8" name="[Table6].[SDG].&amp;[11]"/>
            <x15:cachedUniqueName index="9" name="[Table6].[SDG].&amp;[13]"/>
            <x15:cachedUniqueName index="10" name="[Table6].[SDG].&amp;[4]"/>
            <x15:cachedUniqueName index="11" name="[Table6].[SDG].&amp;[16]"/>
            <x15:cachedUniqueName index="12" name="[Table6].[SDG].&amp;[12]"/>
            <x15:cachedUniqueName index="13" name="[Table6].[SDG].&amp;[2]"/>
            <x15:cachedUniqueName index="14" name="[Table6].[SDG].&amp;[3]"/>
          </x15:cachedUniqueNames>
        </ext>
      </extLst>
    </cacheField>
    <cacheField name="[Table6].[Top 4].[Top 4]" caption="Top 4" numFmtId="0" hierarchy="23" level="1">
      <sharedItems containsSemiMixedTypes="0" containsNonDate="0" containsString="0"/>
    </cacheField>
    <cacheField name="[Table6].[Campus].[Campus]" caption="Campus" numFmtId="0" hierarchy="17" level="1">
      <sharedItems containsSemiMixedTypes="0" containsNonDate="0" containsString="0"/>
    </cacheField>
  </cacheFields>
  <cacheHierarchies count="42">
    <cacheHierarchy uniqueName="[Range].[SDG 1]" caption="SDG 1" attribute="1" defaultMemberUniqueName="[Range].[SDG 1].[All]" allUniqueName="[Range].[SDG 1].[All]" dimensionUniqueName="[Range]" displayFolder="" count="0" memberValueDatatype="130" unbalanced="0"/>
    <cacheHierarchy uniqueName="[Range].[SDG Title]" caption="SDG Title" attribute="1" defaultMemberUniqueName="[Range].[SDG Title].[All]" allUniqueName="[Range].[SDG Title].[All]" dimensionUniqueName="[Range]" displayFolder="" count="0" memberValueDatatype="130" unbalanced="0"/>
    <cacheHierarchy uniqueName="[Range].[SDG Section]" caption="SDG Section" attribute="1" defaultMemberUniqueName="[Range].[SDG Section].[All]" allUniqueName="[Range].[SDG Section].[All]" dimensionUniqueName="[Range]" displayFolder="" count="0" memberValueDatatype="5" unbalanced="0"/>
    <cacheHierarchy uniqueName="[Range].[Column1]" caption="Column1" attribute="1" defaultMemberUniqueName="[Range].[Column1].[All]" allUniqueName="[Range].[Column1].[All]" dimensionUniqueName="[Range]" displayFolder="" count="0" memberValueDatatype="130" unbalanced="0"/>
    <cacheHierarchy uniqueName="[Range].[Content No.]" caption="Content No." attribute="1" defaultMemberUniqueName="[Range].[Content No.].[All]" allUniqueName="[Range].[Content No.].[All]" dimensionUniqueName="[Range]" displayFolder="" count="0" memberValueDatatype="130" unbalanced="0"/>
    <cacheHierarchy uniqueName="[Range].[SDG Section Content]" caption="SDG Section Content" attribute="1" defaultMemberUniqueName="[Range].[SDG Section Content].[All]" allUniqueName="[Range].[SDG Section Content].[All]" dimensionUniqueName="[Range]" displayFolder="" count="0" memberValueDatatype="130" unbalanced="0"/>
    <cacheHierarchy uniqueName="[Range].[TotalPointsSet]" caption="TotalPointsSet" attribute="1" defaultMemberUniqueName="[Range].[TotalPointsSet].[All]" allUniqueName="[Range].[TotalPointsSet].[All]" dimensionUniqueName="[Range]" displayFolder="" count="0" memberValueDatatype="20" unbalanced="0"/>
    <cacheHierarchy uniqueName="[Range].[PointsGained (Score)]" caption="PointsGained (Score)" attribute="1" defaultMemberUniqueName="[Range].[PointsGained (Score)].[All]" allUniqueName="[Range].[PointsGained (Score)].[All]" dimensionUniqueName="[Range]" displayFolder="" count="0" memberValueDatatype="130" unbalanced="0"/>
    <cacheHierarchy uniqueName="[Range 1].[SDG 1]" caption="SDG 1" attribute="1" defaultMemberUniqueName="[Range 1].[SDG 1].[All]" allUniqueName="[Range 1].[SDG 1].[All]" dimensionUniqueName="[Range 1]" displayFolder="" count="0" memberValueDatatype="130" unbalanced="0"/>
    <cacheHierarchy uniqueName="[Range 1].[NO POVERTY]" caption="NO POVERTY" attribute="1" defaultMemberUniqueName="[Range 1].[NO POVERTY].[All]" allUniqueName="[Range 1].[NO POVERTY].[All]" dimensionUniqueName="[Range 1]" displayFolder="" count="0" memberValueDatatype="130" unbalanced="0"/>
    <cacheHierarchy uniqueName="[Range 1].[100]" caption="100" attribute="1" defaultMemberUniqueName="[Range 1].[100].[All]" allUniqueName="[Range 1].[100].[All]" dimensionUniqueName="[Range 1]" displayFolder="" count="0" memberValueDatatype="20" unbalanced="0"/>
    <cacheHierarchy uniqueName="[Range 2].[SDG 1]" caption="SDG 1" attribute="1" defaultMemberUniqueName="[Range 2].[SDG 1].[All]" allUniqueName="[Range 2].[SDG 1].[All]" dimensionUniqueName="[Range 2]" displayFolder="" count="0" memberValueDatatype="130" unbalanced="0"/>
    <cacheHierarchy uniqueName="[Range 2].[NO POVERTY]" caption="NO POVERTY" attribute="1" defaultMemberUniqueName="[Range 2].[NO POVERTY].[All]" allUniqueName="[Range 2].[NO POVERTY].[All]" dimensionUniqueName="[Range 2]" displayFolder="" count="0" memberValueDatatype="130" unbalanced="0"/>
    <cacheHierarchy uniqueName="[Range 2].[100]" caption="100" attribute="1" defaultMemberUniqueName="[Range 2].[100].[All]" allUniqueName="[Range 2].[100].[All]" dimensionUniqueName="[Range 2]" displayFolder="" count="0" memberValueDatatype="20" unbalanced="0"/>
    <cacheHierarchy uniqueName="[Range 3].[SUSTAINABLE DEVELOPMENT GOALS]" caption="SUSTAINABLE DEVELOPMENT GOALS" attribute="1" defaultMemberUniqueName="[Range 3].[SUSTAINABLE DEVELOPMENT GOALS].[All]" allUniqueName="[Range 3].[SUSTAINABLE DEVELOPMENT GOALS].[All]" dimensionUniqueName="[Range 3]" displayFolder="" count="0" memberValueDatatype="130" unbalanced="0"/>
    <cacheHierarchy uniqueName="[Range 3].[INDICATOR]" caption="INDICATOR" attribute="1" defaultMemberUniqueName="[Range 3].[INDICATOR].[All]" allUniqueName="[Range 3].[INDICATOR].[All]" dimensionUniqueName="[Range 3]" displayFolder="" count="0" memberValueDatatype="130" unbalanced="0"/>
    <cacheHierarchy uniqueName="[Range 3].[SCORE]" caption="SCORE" attribute="1" defaultMemberUniqueName="[Range 3].[SCORE].[All]" allUniqueName="[Range 3].[SCORE].[All]" dimensionUniqueName="[Range 3]" displayFolder="" count="0" memberValueDatatype="20" unbalanced="0"/>
    <cacheHierarchy uniqueName="[Table6].[Campus]" caption="Campus" attribute="1" defaultMemberUniqueName="[Table6].[Campus].[All]" allUniqueName="[Table6].[Campus].[All]" dimensionUniqueName="[Table6]" displayFolder="" count="2" memberValueDatatype="130" unbalanced="0">
      <fieldsUsage count="2">
        <fieldUsage x="-1"/>
        <fieldUsage x="3"/>
      </fieldsUsage>
    </cacheHierarchy>
    <cacheHierarchy uniqueName="[Table6].[SDG]" caption="SDG" attribute="1" defaultMemberUniqueName="[Table6].[SDG].[All]" allUniqueName="[Table6].[SDG].[All]" dimensionUniqueName="[Table6]" displayFolder="" count="2" memberValueDatatype="20" unbalanced="0">
      <fieldsUsage count="2">
        <fieldUsage x="-1"/>
        <fieldUsage x="1"/>
      </fieldsUsage>
    </cacheHierarchy>
    <cacheHierarchy uniqueName="[Table6].[SDG 2]" caption="SDG 2" attribute="1" defaultMemberUniqueName="[Table6].[SDG 2].[All]" allUniqueName="[Table6].[SDG 2].[All]" dimensionUniqueName="[Table6]" displayFolder="" count="0" memberValueDatatype="130" unbalanced="0"/>
    <cacheHierarchy uniqueName="[Table6].[SDG 3]" caption="SDG 3" attribute="1" defaultMemberUniqueName="[Table6].[SDG 3].[All]" allUniqueName="[Table6].[SDG 3].[All]" dimensionUniqueName="[Table6]" displayFolder="" count="0" memberValueDatatype="130" unbalanced="0"/>
    <cacheHierarchy uniqueName="[Table6].[SCORE]" caption="SCORE" attribute="1" defaultMemberUniqueName="[Table6].[SCORE].[All]" allUniqueName="[Table6].[SCORE].[All]" dimensionUniqueName="[Table6]" displayFolder="" count="0" memberValueDatatype="20" unbalanced="0"/>
    <cacheHierarchy uniqueName="[Table6].[INDICATOR]" caption="INDICATOR" attribute="1" defaultMemberUniqueName="[Table6].[INDICATOR].[All]" allUniqueName="[Table6].[INDICATOR].[All]" dimensionUniqueName="[Table6]" displayFolder="" count="0" memberValueDatatype="130" unbalanced="0"/>
    <cacheHierarchy uniqueName="[Table6].[Top 4]" caption="Top 4" attribute="1" defaultMemberUniqueName="[Table6].[Top 4].[All]" allUniqueName="[Table6].[Top 4].[All]" dimensionUniqueName="[Table6]" displayFolder="" count="2" memberValueDatatype="20" unbalanced="0">
      <fieldsUsage count="2">
        <fieldUsage x="-1"/>
        <fieldUsage x="2"/>
      </fieldsUsage>
    </cacheHierarchy>
    <cacheHierarchy uniqueName="[Table6].[Target]" caption="Target" attribute="1" defaultMemberUniqueName="[Table6].[Target].[All]" allUniqueName="[Table6].[Target].[All]" dimensionUniqueName="[Table6]" displayFolder="" count="0" memberValueDatatype="20" unbalanced="0"/>
    <cacheHierarchy uniqueName="[Measures].[__XL_Count Range]" caption="__XL_Count Range" measure="1" displayFolder="" measureGroup="Range" count="0" hidden="1"/>
    <cacheHierarchy uniqueName="[Measures].[__XL_Count Table6]" caption="__XL_Count Table6" measure="1" displayFolder="" measureGroup="Table6"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SCORE 2]" caption="Sum of SCORE 2" measure="1" displayFolder="" measureGroup="Table6" count="0" hidden="1">
      <extLst>
        <ext xmlns:x15="http://schemas.microsoft.com/office/spreadsheetml/2010/11/main" uri="{B97F6D7D-B522-45F9-BDA1-12C45D357490}">
          <x15:cacheHierarchy aggregatedColumn="21"/>
        </ext>
      </extLst>
    </cacheHierarchy>
    <cacheHierarchy uniqueName="[Measures].[Average of SCORE]" caption="Average of SCORE" measure="1" displayFolder="" measureGroup="Table6"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Top 4]" caption="Sum of Top 4" measure="1" displayFolder="" measureGroup="Table6" count="0" hidden="1">
      <extLst>
        <ext xmlns:x15="http://schemas.microsoft.com/office/spreadsheetml/2010/11/main" uri="{B97F6D7D-B522-45F9-BDA1-12C45D357490}">
          <x15:cacheHierarchy aggregatedColumn="23"/>
        </ext>
      </extLst>
    </cacheHierarchy>
    <cacheHierarchy uniqueName="[Measures].[Average of Top 4]" caption="Average of Top 4" measure="1" displayFolder="" measureGroup="Table6" count="0" hidden="1">
      <extLst>
        <ext xmlns:x15="http://schemas.microsoft.com/office/spreadsheetml/2010/11/main" uri="{B97F6D7D-B522-45F9-BDA1-12C45D357490}">
          <x15:cacheHierarchy aggregatedColumn="23"/>
        </ext>
      </extLst>
    </cacheHierarchy>
    <cacheHierarchy uniqueName="[Measures].[Max of SCORE]" caption="Max of SCORE" measure="1" displayFolder="" measureGroup="Table6"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able6" count="0" hidden="1">
      <extLst>
        <ext xmlns:x15="http://schemas.microsoft.com/office/spreadsheetml/2010/11/main" uri="{B97F6D7D-B522-45F9-BDA1-12C45D357490}">
          <x15:cacheHierarchy aggregatedColumn="24"/>
        </ext>
      </extLst>
    </cacheHierarchy>
    <cacheHierarchy uniqueName="[Measures].[Average of Target]" caption="Average of Target" measure="1" displayFolder="" measureGroup="Table6" count="0" hidden="1">
      <extLst>
        <ext xmlns:x15="http://schemas.microsoft.com/office/spreadsheetml/2010/11/main" uri="{B97F6D7D-B522-45F9-BDA1-12C45D357490}">
          <x15:cacheHierarchy aggregatedColumn="24"/>
        </ext>
      </extLst>
    </cacheHierarchy>
    <cacheHierarchy uniqueName="[Measures].[Count of SDG]" caption="Count of SDG" measure="1" displayFolder="" measureGroup="Table6" count="0" hidden="1">
      <extLst>
        <ext xmlns:x15="http://schemas.microsoft.com/office/spreadsheetml/2010/11/main" uri="{B97F6D7D-B522-45F9-BDA1-12C45D357490}">
          <x15:cacheHierarchy aggregatedColumn="18"/>
        </ext>
      </extLst>
    </cacheHierarchy>
    <cacheHierarchy uniqueName="[Measures].[Count of Target]" caption="Count of Target" measure="1" displayFolder="" measureGroup="Table6" count="0" hidden="1">
      <extLst>
        <ext xmlns:x15="http://schemas.microsoft.com/office/spreadsheetml/2010/11/main" uri="{B97F6D7D-B522-45F9-BDA1-12C45D357490}">
          <x15:cacheHierarchy aggregatedColumn="24"/>
        </ext>
      </extLst>
    </cacheHierarchy>
    <cacheHierarchy uniqueName="[Measures].[Sum of 95]" caption="Sum of 95" measure="1" displayFolder="" measureGroup="Range 2"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16"/>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Table6" uniqueName="[Table6]" caption="Table6"/>
  </dimensions>
  <measureGroups count="5">
    <measureGroup name="Range" caption="Range"/>
    <measureGroup name="Range 1" caption="Range 1"/>
    <measureGroup name="Range 2" caption="Range 2"/>
    <measureGroup name="Range 3" caption="Range 3"/>
    <measureGroup name="Table6" caption="Table6"/>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ta Analyst" refreshedDate="45110.360349652779" backgroundQuery="1" createdVersion="3" refreshedVersion="8" minRefreshableVersion="3" recordCount="0" supportSubquery="1" supportAdvancedDrill="1" xr:uid="{696EA2EC-C59A-4668-92C1-ECF8D508C429}">
  <cacheSource type="external" connectionId="1">
    <extLst>
      <ext xmlns:x14="http://schemas.microsoft.com/office/spreadsheetml/2009/9/main" uri="{F057638F-6D5F-4e77-A914-E7F072B9BCA8}">
        <x14:sourceConnection name="ThisWorkbookDataModel"/>
      </ext>
    </extLst>
  </cacheSource>
  <cacheFields count="0"/>
  <cacheHierarchies count="42">
    <cacheHierarchy uniqueName="[Range].[SDG 1]" caption="SDG 1" attribute="1" defaultMemberUniqueName="[Range].[SDG 1].[All]" allUniqueName="[Range].[SDG 1].[All]" dimensionUniqueName="[Range]" displayFolder="" count="0" memberValueDatatype="130" unbalanced="0"/>
    <cacheHierarchy uniqueName="[Range].[SDG Title]" caption="SDG Title" attribute="1" defaultMemberUniqueName="[Range].[SDG Title].[All]" allUniqueName="[Range].[SDG Title].[All]" dimensionUniqueName="[Range]" displayFolder="" count="0" memberValueDatatype="130" unbalanced="0"/>
    <cacheHierarchy uniqueName="[Range].[SDG Section]" caption="SDG Section" attribute="1" defaultMemberUniqueName="[Range].[SDG Section].[All]" allUniqueName="[Range].[SDG Section].[All]" dimensionUniqueName="[Range]" displayFolder="" count="0" memberValueDatatype="5" unbalanced="0"/>
    <cacheHierarchy uniqueName="[Range].[Column1]" caption="Column1" attribute="1" defaultMemberUniqueName="[Range].[Column1].[All]" allUniqueName="[Range].[Column1].[All]" dimensionUniqueName="[Range]" displayFolder="" count="0" memberValueDatatype="130" unbalanced="0"/>
    <cacheHierarchy uniqueName="[Range].[Content No.]" caption="Content No." attribute="1" defaultMemberUniqueName="[Range].[Content No.].[All]" allUniqueName="[Range].[Content No.].[All]" dimensionUniqueName="[Range]" displayFolder="" count="0" memberValueDatatype="130" unbalanced="0"/>
    <cacheHierarchy uniqueName="[Range].[SDG Section Content]" caption="SDG Section Content" attribute="1" defaultMemberUniqueName="[Range].[SDG Section Content].[All]" allUniqueName="[Range].[SDG Section Content].[All]" dimensionUniqueName="[Range]" displayFolder="" count="0" memberValueDatatype="130" unbalanced="0"/>
    <cacheHierarchy uniqueName="[Range].[TotalPointsSet]" caption="TotalPointsSet" attribute="1" defaultMemberUniqueName="[Range].[TotalPointsSet].[All]" allUniqueName="[Range].[TotalPointsSet].[All]" dimensionUniqueName="[Range]" displayFolder="" count="0" memberValueDatatype="20" unbalanced="0"/>
    <cacheHierarchy uniqueName="[Range].[PointsGained (Score)]" caption="PointsGained (Score)" attribute="1" defaultMemberUniqueName="[Range].[PointsGained (Score)].[All]" allUniqueName="[Range].[PointsGained (Score)].[All]" dimensionUniqueName="[Range]" displayFolder="" count="0" memberValueDatatype="130" unbalanced="0"/>
    <cacheHierarchy uniqueName="[Range 1].[SDG 1]" caption="SDG 1" attribute="1" defaultMemberUniqueName="[Range 1].[SDG 1].[All]" allUniqueName="[Range 1].[SDG 1].[All]" dimensionUniqueName="[Range 1]" displayFolder="" count="0" memberValueDatatype="130" unbalanced="0"/>
    <cacheHierarchy uniqueName="[Range 1].[NO POVERTY]" caption="NO POVERTY" attribute="1" defaultMemberUniqueName="[Range 1].[NO POVERTY].[All]" allUniqueName="[Range 1].[NO POVERTY].[All]" dimensionUniqueName="[Range 1]" displayFolder="" count="0" memberValueDatatype="130" unbalanced="0"/>
    <cacheHierarchy uniqueName="[Range 1].[100]" caption="100" attribute="1" defaultMemberUniqueName="[Range 1].[100].[All]" allUniqueName="[Range 1].[100].[All]" dimensionUniqueName="[Range 1]" displayFolder="" count="0" memberValueDatatype="20" unbalanced="0"/>
    <cacheHierarchy uniqueName="[Range 2].[SDG 1]" caption="SDG 1" attribute="1" defaultMemberUniqueName="[Range 2].[SDG 1].[All]" allUniqueName="[Range 2].[SDG 1].[All]" dimensionUniqueName="[Range 2]" displayFolder="" count="0" memberValueDatatype="130" unbalanced="0"/>
    <cacheHierarchy uniqueName="[Range 2].[NO POVERTY]" caption="NO POVERTY" attribute="1" defaultMemberUniqueName="[Range 2].[NO POVERTY].[All]" allUniqueName="[Range 2].[NO POVERTY].[All]" dimensionUniqueName="[Range 2]" displayFolder="" count="0" memberValueDatatype="130" unbalanced="0"/>
    <cacheHierarchy uniqueName="[Range 2].[100]" caption="100" attribute="1" defaultMemberUniqueName="[Range 2].[100].[All]" allUniqueName="[Range 2].[100].[All]" dimensionUniqueName="[Range 2]" displayFolder="" count="0" memberValueDatatype="20" unbalanced="0"/>
    <cacheHierarchy uniqueName="[Range 3].[SUSTAINABLE DEVELOPMENT GOALS]" caption="SUSTAINABLE DEVELOPMENT GOALS" attribute="1" defaultMemberUniqueName="[Range 3].[SUSTAINABLE DEVELOPMENT GOALS].[All]" allUniqueName="[Range 3].[SUSTAINABLE DEVELOPMENT GOALS].[All]" dimensionUniqueName="[Range 3]" displayFolder="" count="0" memberValueDatatype="130" unbalanced="0"/>
    <cacheHierarchy uniqueName="[Range 3].[INDICATOR]" caption="INDICATOR" attribute="1" defaultMemberUniqueName="[Range 3].[INDICATOR].[All]" allUniqueName="[Range 3].[INDICATOR].[All]" dimensionUniqueName="[Range 3]" displayFolder="" count="0" memberValueDatatype="130" unbalanced="0"/>
    <cacheHierarchy uniqueName="[Range 3].[SCORE]" caption="SCORE" attribute="1" defaultMemberUniqueName="[Range 3].[SCORE].[All]" allUniqueName="[Range 3].[SCORE].[All]" dimensionUniqueName="[Range 3]" displayFolder="" count="0" memberValueDatatype="20" unbalanced="0"/>
    <cacheHierarchy uniqueName="[Table6].[Campus]" caption="Campus" attribute="1" defaultMemberUniqueName="[Table6].[Campus].[All]" allUniqueName="[Table6].[Campus].[All]" dimensionUniqueName="[Table6]" displayFolder="" count="0" memberValueDatatype="130" unbalanced="0"/>
    <cacheHierarchy uniqueName="[Table6].[SDG]" caption="SDG" attribute="1" defaultMemberUniqueName="[Table6].[SDG].[All]" allUniqueName="[Table6].[SDG].[All]" dimensionUniqueName="[Table6]" displayFolder="" count="2" memberValueDatatype="20" unbalanced="0"/>
    <cacheHierarchy uniqueName="[Table6].[SDG 2]" caption="SDG 2" attribute="1" defaultMemberUniqueName="[Table6].[SDG 2].[All]" allUniqueName="[Table6].[SDG 2].[All]" dimensionUniqueName="[Table6]" displayFolder="" count="0" memberValueDatatype="130" unbalanced="0"/>
    <cacheHierarchy uniqueName="[Table6].[SDG 3]" caption="SDG 3" attribute="1" defaultMemberUniqueName="[Table6].[SDG 3].[All]" allUniqueName="[Table6].[SDG 3].[All]" dimensionUniqueName="[Table6]" displayFolder="" count="0" memberValueDatatype="130" unbalanced="0"/>
    <cacheHierarchy uniqueName="[Table6].[SCORE]" caption="SCORE" attribute="1" defaultMemberUniqueName="[Table6].[SCORE].[All]" allUniqueName="[Table6].[SCORE].[All]" dimensionUniqueName="[Table6]" displayFolder="" count="0" memberValueDatatype="20" unbalanced="0"/>
    <cacheHierarchy uniqueName="[Table6].[INDICATOR]" caption="INDICATOR" attribute="1" defaultMemberUniqueName="[Table6].[INDICATOR].[All]" allUniqueName="[Table6].[INDICATOR].[All]" dimensionUniqueName="[Table6]" displayFolder="" count="0" memberValueDatatype="130" unbalanced="0"/>
    <cacheHierarchy uniqueName="[Table6].[Top 4]" caption="Top 4" attribute="1" defaultMemberUniqueName="[Table6].[Top 4].[All]" allUniqueName="[Table6].[Top 4].[All]" dimensionUniqueName="[Table6]" displayFolder="" count="0" memberValueDatatype="20" unbalanced="0"/>
    <cacheHierarchy uniqueName="[Table6].[Target]" caption="Target" attribute="1" defaultMemberUniqueName="[Table6].[Target].[All]" allUniqueName="[Table6].[Target].[All]" dimensionUniqueName="[Table6]" displayFolder="" count="0" memberValueDatatype="20" unbalanced="0"/>
    <cacheHierarchy uniqueName="[Measures].[__XL_Count Range]" caption="__XL_Count Range" measure="1" displayFolder="" measureGroup="Range" count="0" hidden="1"/>
    <cacheHierarchy uniqueName="[Measures].[__XL_Count Table6]" caption="__XL_Count Table6" measure="1" displayFolder="" measureGroup="Table6"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SCORE 2]" caption="Sum of SCORE 2" measure="1" displayFolder="" measureGroup="Table6" count="0" hidden="1">
      <extLst>
        <ext xmlns:x15="http://schemas.microsoft.com/office/spreadsheetml/2010/11/main" uri="{B97F6D7D-B522-45F9-BDA1-12C45D357490}">
          <x15:cacheHierarchy aggregatedColumn="21"/>
        </ext>
      </extLst>
    </cacheHierarchy>
    <cacheHierarchy uniqueName="[Measures].[Average of SCORE]" caption="Average of SCORE" measure="1" displayFolder="" measureGroup="Table6" count="0" hidden="1">
      <extLst>
        <ext xmlns:x15="http://schemas.microsoft.com/office/spreadsheetml/2010/11/main" uri="{B97F6D7D-B522-45F9-BDA1-12C45D357490}">
          <x15:cacheHierarchy aggregatedColumn="21"/>
        </ext>
      </extLst>
    </cacheHierarchy>
    <cacheHierarchy uniqueName="[Measures].[Sum of Top 4]" caption="Sum of Top 4" measure="1" displayFolder="" measureGroup="Table6" count="0" hidden="1">
      <extLst>
        <ext xmlns:x15="http://schemas.microsoft.com/office/spreadsheetml/2010/11/main" uri="{B97F6D7D-B522-45F9-BDA1-12C45D357490}">
          <x15:cacheHierarchy aggregatedColumn="23"/>
        </ext>
      </extLst>
    </cacheHierarchy>
    <cacheHierarchy uniqueName="[Measures].[Average of Top 4]" caption="Average of Top 4" measure="1" displayFolder="" measureGroup="Table6" count="0" hidden="1">
      <extLst>
        <ext xmlns:x15="http://schemas.microsoft.com/office/spreadsheetml/2010/11/main" uri="{B97F6D7D-B522-45F9-BDA1-12C45D357490}">
          <x15:cacheHierarchy aggregatedColumn="23"/>
        </ext>
      </extLst>
    </cacheHierarchy>
    <cacheHierarchy uniqueName="[Measures].[Max of SCORE]" caption="Max of SCORE" measure="1" displayFolder="" measureGroup="Table6"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able6" count="0" hidden="1">
      <extLst>
        <ext xmlns:x15="http://schemas.microsoft.com/office/spreadsheetml/2010/11/main" uri="{B97F6D7D-B522-45F9-BDA1-12C45D357490}">
          <x15:cacheHierarchy aggregatedColumn="24"/>
        </ext>
      </extLst>
    </cacheHierarchy>
    <cacheHierarchy uniqueName="[Measures].[Average of Target]" caption="Average of Target" measure="1" displayFolder="" measureGroup="Table6" count="0" hidden="1">
      <extLst>
        <ext xmlns:x15="http://schemas.microsoft.com/office/spreadsheetml/2010/11/main" uri="{B97F6D7D-B522-45F9-BDA1-12C45D357490}">
          <x15:cacheHierarchy aggregatedColumn="24"/>
        </ext>
      </extLst>
    </cacheHierarchy>
    <cacheHierarchy uniqueName="[Measures].[Count of SDG]" caption="Count of SDG" measure="1" displayFolder="" measureGroup="Table6" count="0" hidden="1">
      <extLst>
        <ext xmlns:x15="http://schemas.microsoft.com/office/spreadsheetml/2010/11/main" uri="{B97F6D7D-B522-45F9-BDA1-12C45D357490}">
          <x15:cacheHierarchy aggregatedColumn="18"/>
        </ext>
      </extLst>
    </cacheHierarchy>
    <cacheHierarchy uniqueName="[Measures].[Count of Target]" caption="Count of Target" measure="1" displayFolder="" measureGroup="Table6" count="0" hidden="1">
      <extLst>
        <ext xmlns:x15="http://schemas.microsoft.com/office/spreadsheetml/2010/11/main" uri="{B97F6D7D-B522-45F9-BDA1-12C45D357490}">
          <x15:cacheHierarchy aggregatedColumn="24"/>
        </ext>
      </extLst>
    </cacheHierarchy>
    <cacheHierarchy uniqueName="[Measures].[Sum of 95]" caption="Sum of 95" measure="1" displayFolder="" measureGroup="Range 2"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30164262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ta Analyst" refreshedDate="45110.360352546297" backgroundQuery="1" createdVersion="3" refreshedVersion="8" minRefreshableVersion="3" recordCount="0" supportSubquery="1" supportAdvancedDrill="1" xr:uid="{80451F82-7A4C-4EF2-A1DE-5112B9E38F27}">
  <cacheSource type="external" connectionId="1">
    <extLst>
      <ext xmlns:x14="http://schemas.microsoft.com/office/spreadsheetml/2009/9/main" uri="{F057638F-6D5F-4e77-A914-E7F072B9BCA8}">
        <x14:sourceConnection name="ThisWorkbookDataModel"/>
      </ext>
    </extLst>
  </cacheSource>
  <cacheFields count="0"/>
  <cacheHierarchies count="42">
    <cacheHierarchy uniqueName="[Range].[SDG 1]" caption="SDG 1" attribute="1" defaultMemberUniqueName="[Range].[SDG 1].[All]" allUniqueName="[Range].[SDG 1].[All]" dimensionUniqueName="[Range]" displayFolder="" count="0" memberValueDatatype="130" unbalanced="0"/>
    <cacheHierarchy uniqueName="[Range].[SDG Title]" caption="SDG Title" attribute="1" defaultMemberUniqueName="[Range].[SDG Title].[All]" allUniqueName="[Range].[SDG Title].[All]" dimensionUniqueName="[Range]" displayFolder="" count="0" memberValueDatatype="130" unbalanced="0"/>
    <cacheHierarchy uniqueName="[Range].[SDG Section]" caption="SDG Section" attribute="1" defaultMemberUniqueName="[Range].[SDG Section].[All]" allUniqueName="[Range].[SDG Section].[All]" dimensionUniqueName="[Range]" displayFolder="" count="0" memberValueDatatype="5" unbalanced="0"/>
    <cacheHierarchy uniqueName="[Range].[Column1]" caption="Column1" attribute="1" defaultMemberUniqueName="[Range].[Column1].[All]" allUniqueName="[Range].[Column1].[All]" dimensionUniqueName="[Range]" displayFolder="" count="0" memberValueDatatype="130" unbalanced="0"/>
    <cacheHierarchy uniqueName="[Range].[Content No.]" caption="Content No." attribute="1" defaultMemberUniqueName="[Range].[Content No.].[All]" allUniqueName="[Range].[Content No.].[All]" dimensionUniqueName="[Range]" displayFolder="" count="0" memberValueDatatype="130" unbalanced="0"/>
    <cacheHierarchy uniqueName="[Range].[SDG Section Content]" caption="SDG Section Content" attribute="1" defaultMemberUniqueName="[Range].[SDG Section Content].[All]" allUniqueName="[Range].[SDG Section Content].[All]" dimensionUniqueName="[Range]" displayFolder="" count="0" memberValueDatatype="130" unbalanced="0"/>
    <cacheHierarchy uniqueName="[Range].[TotalPointsSet]" caption="TotalPointsSet" attribute="1" defaultMemberUniqueName="[Range].[TotalPointsSet].[All]" allUniqueName="[Range].[TotalPointsSet].[All]" dimensionUniqueName="[Range]" displayFolder="" count="0" memberValueDatatype="20" unbalanced="0"/>
    <cacheHierarchy uniqueName="[Range].[PointsGained (Score)]" caption="PointsGained (Score)" attribute="1" defaultMemberUniqueName="[Range].[PointsGained (Score)].[All]" allUniqueName="[Range].[PointsGained (Score)].[All]" dimensionUniqueName="[Range]" displayFolder="" count="0" memberValueDatatype="130" unbalanced="0"/>
    <cacheHierarchy uniqueName="[Range 1].[SDG 1]" caption="SDG 1" attribute="1" defaultMemberUniqueName="[Range 1].[SDG 1].[All]" allUniqueName="[Range 1].[SDG 1].[All]" dimensionUniqueName="[Range 1]" displayFolder="" count="0" memberValueDatatype="130" unbalanced="0"/>
    <cacheHierarchy uniqueName="[Range 1].[NO POVERTY]" caption="NO POVERTY" attribute="1" defaultMemberUniqueName="[Range 1].[NO POVERTY].[All]" allUniqueName="[Range 1].[NO POVERTY].[All]" dimensionUniqueName="[Range 1]" displayFolder="" count="0" memberValueDatatype="130" unbalanced="0"/>
    <cacheHierarchy uniqueName="[Range 1].[100]" caption="100" attribute="1" defaultMemberUniqueName="[Range 1].[100].[All]" allUniqueName="[Range 1].[100].[All]" dimensionUniqueName="[Range 1]" displayFolder="" count="0" memberValueDatatype="20" unbalanced="0"/>
    <cacheHierarchy uniqueName="[Range 2].[SDG 1]" caption="SDG 1" attribute="1" defaultMemberUniqueName="[Range 2].[SDG 1].[All]" allUniqueName="[Range 2].[SDG 1].[All]" dimensionUniqueName="[Range 2]" displayFolder="" count="0" memberValueDatatype="130" unbalanced="0"/>
    <cacheHierarchy uniqueName="[Range 2].[NO POVERTY]" caption="NO POVERTY" attribute="1" defaultMemberUniqueName="[Range 2].[NO POVERTY].[All]" allUniqueName="[Range 2].[NO POVERTY].[All]" dimensionUniqueName="[Range 2]" displayFolder="" count="0" memberValueDatatype="130" unbalanced="0"/>
    <cacheHierarchy uniqueName="[Range 2].[100]" caption="100" attribute="1" defaultMemberUniqueName="[Range 2].[100].[All]" allUniqueName="[Range 2].[100].[All]" dimensionUniqueName="[Range 2]" displayFolder="" count="0" memberValueDatatype="20" unbalanced="0"/>
    <cacheHierarchy uniqueName="[Range 3].[SUSTAINABLE DEVELOPMENT GOALS]" caption="SUSTAINABLE DEVELOPMENT GOALS" attribute="1" defaultMemberUniqueName="[Range 3].[SUSTAINABLE DEVELOPMENT GOALS].[All]" allUniqueName="[Range 3].[SUSTAINABLE DEVELOPMENT GOALS].[All]" dimensionUniqueName="[Range 3]" displayFolder="" count="0" memberValueDatatype="130" unbalanced="0"/>
    <cacheHierarchy uniqueName="[Range 3].[INDICATOR]" caption="INDICATOR" attribute="1" defaultMemberUniqueName="[Range 3].[INDICATOR].[All]" allUniqueName="[Range 3].[INDICATOR].[All]" dimensionUniqueName="[Range 3]" displayFolder="" count="0" memberValueDatatype="130" unbalanced="0"/>
    <cacheHierarchy uniqueName="[Range 3].[SCORE]" caption="SCORE" attribute="1" defaultMemberUniqueName="[Range 3].[SCORE].[All]" allUniqueName="[Range 3].[SCORE].[All]" dimensionUniqueName="[Range 3]" displayFolder="" count="0" memberValueDatatype="20" unbalanced="0"/>
    <cacheHierarchy uniqueName="[Table6].[Campus]" caption="Campus" attribute="1" defaultMemberUniqueName="[Table6].[Campus].[All]" allUniqueName="[Table6].[Campus].[All]" dimensionUniqueName="[Table6]" displayFolder="" count="2" memberValueDatatype="130" unbalanced="0"/>
    <cacheHierarchy uniqueName="[Table6].[SDG]" caption="SDG" attribute="1" defaultMemberUniqueName="[Table6].[SDG].[All]" allUniqueName="[Table6].[SDG].[All]" dimensionUniqueName="[Table6]" displayFolder="" count="0" memberValueDatatype="20" unbalanced="0"/>
    <cacheHierarchy uniqueName="[Table6].[SDG 2]" caption="SDG 2" attribute="1" defaultMemberUniqueName="[Table6].[SDG 2].[All]" allUniqueName="[Table6].[SDG 2].[All]" dimensionUniqueName="[Table6]" displayFolder="" count="0" memberValueDatatype="130" unbalanced="0"/>
    <cacheHierarchy uniqueName="[Table6].[SDG 3]" caption="SDG 3" attribute="1" defaultMemberUniqueName="[Table6].[SDG 3].[All]" allUniqueName="[Table6].[SDG 3].[All]" dimensionUniqueName="[Table6]" displayFolder="" count="0" memberValueDatatype="130" unbalanced="0"/>
    <cacheHierarchy uniqueName="[Table6].[SCORE]" caption="SCORE" attribute="1" defaultMemberUniqueName="[Table6].[SCORE].[All]" allUniqueName="[Table6].[SCORE].[All]" dimensionUniqueName="[Table6]" displayFolder="" count="0" memberValueDatatype="20" unbalanced="0"/>
    <cacheHierarchy uniqueName="[Table6].[INDICATOR]" caption="INDICATOR" attribute="1" defaultMemberUniqueName="[Table6].[INDICATOR].[All]" allUniqueName="[Table6].[INDICATOR].[All]" dimensionUniqueName="[Table6]" displayFolder="" count="0" memberValueDatatype="130" unbalanced="0"/>
    <cacheHierarchy uniqueName="[Table6].[Top 4]" caption="Top 4" attribute="1" defaultMemberUniqueName="[Table6].[Top 4].[All]" allUniqueName="[Table6].[Top 4].[All]" dimensionUniqueName="[Table6]" displayFolder="" count="0" memberValueDatatype="20" unbalanced="0"/>
    <cacheHierarchy uniqueName="[Table6].[Target]" caption="Target" attribute="1" defaultMemberUniqueName="[Table6].[Target].[All]" allUniqueName="[Table6].[Target].[All]" dimensionUniqueName="[Table6]" displayFolder="" count="0" memberValueDatatype="20" unbalanced="0"/>
    <cacheHierarchy uniqueName="[Measures].[__XL_Count Range]" caption="__XL_Count Range" measure="1" displayFolder="" measureGroup="Range" count="0" hidden="1"/>
    <cacheHierarchy uniqueName="[Measures].[__XL_Count Table6]" caption="__XL_Count Table6" measure="1" displayFolder="" measureGroup="Table6"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SCORE 2]" caption="Sum of SCORE 2" measure="1" displayFolder="" measureGroup="Table6" count="0" hidden="1">
      <extLst>
        <ext xmlns:x15="http://schemas.microsoft.com/office/spreadsheetml/2010/11/main" uri="{B97F6D7D-B522-45F9-BDA1-12C45D357490}">
          <x15:cacheHierarchy aggregatedColumn="21"/>
        </ext>
      </extLst>
    </cacheHierarchy>
    <cacheHierarchy uniqueName="[Measures].[Average of SCORE]" caption="Average of SCORE" measure="1" displayFolder="" measureGroup="Table6" count="0" hidden="1">
      <extLst>
        <ext xmlns:x15="http://schemas.microsoft.com/office/spreadsheetml/2010/11/main" uri="{B97F6D7D-B522-45F9-BDA1-12C45D357490}">
          <x15:cacheHierarchy aggregatedColumn="21"/>
        </ext>
      </extLst>
    </cacheHierarchy>
    <cacheHierarchy uniqueName="[Measures].[Sum of Top 4]" caption="Sum of Top 4" measure="1" displayFolder="" measureGroup="Table6" count="0" hidden="1">
      <extLst>
        <ext xmlns:x15="http://schemas.microsoft.com/office/spreadsheetml/2010/11/main" uri="{B97F6D7D-B522-45F9-BDA1-12C45D357490}">
          <x15:cacheHierarchy aggregatedColumn="23"/>
        </ext>
      </extLst>
    </cacheHierarchy>
    <cacheHierarchy uniqueName="[Measures].[Average of Top 4]" caption="Average of Top 4" measure="1" displayFolder="" measureGroup="Table6" count="0" hidden="1">
      <extLst>
        <ext xmlns:x15="http://schemas.microsoft.com/office/spreadsheetml/2010/11/main" uri="{B97F6D7D-B522-45F9-BDA1-12C45D357490}">
          <x15:cacheHierarchy aggregatedColumn="23"/>
        </ext>
      </extLst>
    </cacheHierarchy>
    <cacheHierarchy uniqueName="[Measures].[Max of SCORE]" caption="Max of SCORE" measure="1" displayFolder="" measureGroup="Table6"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able6" count="0" hidden="1">
      <extLst>
        <ext xmlns:x15="http://schemas.microsoft.com/office/spreadsheetml/2010/11/main" uri="{B97F6D7D-B522-45F9-BDA1-12C45D357490}">
          <x15:cacheHierarchy aggregatedColumn="24"/>
        </ext>
      </extLst>
    </cacheHierarchy>
    <cacheHierarchy uniqueName="[Measures].[Average of Target]" caption="Average of Target" measure="1" displayFolder="" measureGroup="Table6" count="0" hidden="1">
      <extLst>
        <ext xmlns:x15="http://schemas.microsoft.com/office/spreadsheetml/2010/11/main" uri="{B97F6D7D-B522-45F9-BDA1-12C45D357490}">
          <x15:cacheHierarchy aggregatedColumn="24"/>
        </ext>
      </extLst>
    </cacheHierarchy>
    <cacheHierarchy uniqueName="[Measures].[Count of SDG]" caption="Count of SDG" measure="1" displayFolder="" measureGroup="Table6" count="0" hidden="1">
      <extLst>
        <ext xmlns:x15="http://schemas.microsoft.com/office/spreadsheetml/2010/11/main" uri="{B97F6D7D-B522-45F9-BDA1-12C45D357490}">
          <x15:cacheHierarchy aggregatedColumn="18"/>
        </ext>
      </extLst>
    </cacheHierarchy>
    <cacheHierarchy uniqueName="[Measures].[Count of Target]" caption="Count of Target" measure="1" displayFolder="" measureGroup="Table6" count="0" hidden="1">
      <extLst>
        <ext xmlns:x15="http://schemas.microsoft.com/office/spreadsheetml/2010/11/main" uri="{B97F6D7D-B522-45F9-BDA1-12C45D357490}">
          <x15:cacheHierarchy aggregatedColumn="24"/>
        </ext>
      </extLst>
    </cacheHierarchy>
    <cacheHierarchy uniqueName="[Measures].[Sum of 95]" caption="Sum of 95" measure="1" displayFolder="" measureGroup="Range 2"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3881900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s v="NO POVERTY"/>
    <n v="100"/>
  </r>
  <r>
    <x v="1"/>
    <s v="ZERO HUNGER"/>
    <n v="100"/>
  </r>
  <r>
    <x v="2"/>
    <s v="GOOD HEALTH AND WELL-BEING"/>
    <n v="100"/>
  </r>
  <r>
    <x v="3"/>
    <s v="QUALITY EDUCATION"/>
    <n v="100"/>
  </r>
  <r>
    <x v="4"/>
    <s v="GENDER EQUALITY"/>
    <n v="100"/>
  </r>
  <r>
    <x v="5"/>
    <s v="CLEAN WATER AND SANITATION"/>
    <n v="100"/>
  </r>
  <r>
    <x v="6"/>
    <s v="AFFORDABLE AND CLEAN ENERGY"/>
    <n v="100"/>
  </r>
  <r>
    <x v="7"/>
    <s v="DECENT WORK AND ECONOMIC GROWTH"/>
    <n v="100"/>
  </r>
  <r>
    <x v="8"/>
    <s v="INDUSTRY, INNOVATION AND INFRASTRUCTURE"/>
    <n v="100"/>
  </r>
  <r>
    <x v="9"/>
    <s v="REDUCED INEQUALITIES"/>
    <n v="100"/>
  </r>
  <r>
    <x v="10"/>
    <s v="SUSTAINABLE CITIES AND COMMUNITIES"/>
    <n v="100"/>
  </r>
  <r>
    <x v="11"/>
    <s v="RESPONSIBLE CONSUMPTION &amp; PRODUCTION"/>
    <n v="100"/>
  </r>
  <r>
    <x v="12"/>
    <s v="CLIMATE ACTION"/>
    <n v="100"/>
  </r>
  <r>
    <x v="13"/>
    <s v="LIFE BELOW WATER"/>
    <n v="100"/>
  </r>
  <r>
    <x v="14"/>
    <s v="LIFE ON LAND"/>
    <n v="100"/>
  </r>
  <r>
    <x v="15"/>
    <s v="PEACE, JUSTICE AND STRONG INSTITUTIONS"/>
    <n v="100"/>
  </r>
  <r>
    <x v="16"/>
    <s v="PARTNERSHIPS FOR THE GOALS"/>
    <n v="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n v="1"/>
    <s v="SDG 1"/>
    <s v="SDG1"/>
    <n v="100"/>
    <s v="NO POVERTY"/>
    <n v="100"/>
    <n v="100"/>
  </r>
  <r>
    <x v="0"/>
    <n v="2"/>
    <s v="SDG 2"/>
    <s v="SDG2"/>
    <n v="100"/>
    <s v="ZERO HUNGER"/>
    <n v="100"/>
    <n v="100"/>
  </r>
  <r>
    <x v="0"/>
    <n v="3"/>
    <s v="SDG 3"/>
    <s v="SDG3"/>
    <n v="100"/>
    <s v="GOOD HEALTH AND WELL-BEING"/>
    <n v="100"/>
    <n v="100"/>
  </r>
  <r>
    <x v="0"/>
    <n v="4"/>
    <s v="SDG 4"/>
    <s v="SDG4"/>
    <n v="100"/>
    <s v="QUALITY EDUCATION"/>
    <n v="100"/>
    <n v="100"/>
  </r>
  <r>
    <x v="0"/>
    <n v="5"/>
    <s v="SDG 5"/>
    <s v="SDG5"/>
    <n v="92"/>
    <s v="GENDER EQUALITY"/>
    <n v="92"/>
    <n v="100"/>
  </r>
  <r>
    <x v="0"/>
    <n v="6"/>
    <s v="SDG 6"/>
    <s v="SDG6"/>
    <n v="100"/>
    <s v="CLEAN WATER AND SANITATION"/>
    <n v="100"/>
    <n v="100"/>
  </r>
  <r>
    <x v="0"/>
    <n v="7"/>
    <s v="SDG 7"/>
    <s v="SDG7"/>
    <n v="100"/>
    <s v="AFFORDABLE AND CLEAN ENERGY"/>
    <n v="100"/>
    <n v="100"/>
  </r>
  <r>
    <x v="0"/>
    <n v="8"/>
    <s v="SDG 8"/>
    <s v="SDG8"/>
    <n v="100"/>
    <s v="DECENT WORK AND ECONOMIC GROWTH"/>
    <n v="100"/>
    <n v="100"/>
  </r>
  <r>
    <x v="0"/>
    <n v="9"/>
    <s v="SDG 9"/>
    <s v="SDG9"/>
    <n v="100"/>
    <s v="INDUSTRY, INNOVATION AND INFRASTRUCTURE"/>
    <n v="100"/>
    <n v="100"/>
  </r>
  <r>
    <x v="0"/>
    <n v="10"/>
    <s v="SDG 10"/>
    <s v="SDG10"/>
    <n v="100"/>
    <s v="REDUCED INEQUALITIES"/>
    <n v="100"/>
    <n v="100"/>
  </r>
  <r>
    <x v="0"/>
    <n v="11"/>
    <s v="SDG 11"/>
    <s v="SDG11"/>
    <n v="100"/>
    <s v="SUSTAINABLE CITIES AND COMMUNITIES"/>
    <n v="100"/>
    <n v="100"/>
  </r>
  <r>
    <x v="0"/>
    <n v="12"/>
    <s v="SDG 12"/>
    <s v="SDG12"/>
    <n v="100"/>
    <s v="RESPONSIBLE CONSUMPTION &amp; PRODUCTION"/>
    <n v="100"/>
    <n v="100"/>
  </r>
  <r>
    <x v="0"/>
    <n v="13"/>
    <s v="SDG 13"/>
    <s v="SDG13"/>
    <n v="100"/>
    <s v="CLIMATE ACTION"/>
    <n v="100"/>
    <n v="100"/>
  </r>
  <r>
    <x v="0"/>
    <n v="14"/>
    <s v="SDG 14"/>
    <s v="SDG14"/>
    <n v="100"/>
    <s v="LIFE BELOW WATER"/>
    <n v="100"/>
    <n v="100"/>
  </r>
  <r>
    <x v="0"/>
    <n v="15"/>
    <s v="SDG 15"/>
    <s v="SDG15"/>
    <n v="100"/>
    <s v="LIFE ON LAND"/>
    <n v="100"/>
    <n v="100"/>
  </r>
  <r>
    <x v="0"/>
    <n v="16"/>
    <s v="SDG 16"/>
    <s v="SDG16"/>
    <n v="100"/>
    <s v="PEACE, JUSTICE AND STRONG INSTITUTIONS"/>
    <n v="100"/>
    <n v="100"/>
  </r>
  <r>
    <x v="0"/>
    <n v="17"/>
    <s v="SDG 17"/>
    <s v="SDG17"/>
    <n v="100"/>
    <s v="PARTNERSHIPS FOR THE GOALS"/>
    <n v="200"/>
    <n v="100"/>
  </r>
  <r>
    <x v="1"/>
    <n v="1"/>
    <s v="SDG 1"/>
    <s v="SDG1"/>
    <n v="95"/>
    <s v="NO POVERTY"/>
    <n v="95"/>
    <n v="100"/>
  </r>
  <r>
    <x v="1"/>
    <n v="2"/>
    <s v="SDG 2"/>
    <s v="SDG2"/>
    <n v="65"/>
    <s v="ZERO HUNGER"/>
    <n v="65"/>
    <n v="100"/>
  </r>
  <r>
    <x v="1"/>
    <n v="3"/>
    <s v="SDG 3"/>
    <s v="SDG3"/>
    <n v="71"/>
    <s v="GOOD HEALTH AND WELL-BEING"/>
    <n v="71"/>
    <n v="100"/>
  </r>
  <r>
    <x v="1"/>
    <n v="4"/>
    <s v="SDG 4"/>
    <s v="SDG4"/>
    <n v="50"/>
    <s v="QUALITY EDUCATION"/>
    <n v="50"/>
    <n v="100"/>
  </r>
  <r>
    <x v="1"/>
    <n v="5"/>
    <s v="SDG 5"/>
    <s v="SDG5"/>
    <n v="84"/>
    <s v="GENDER EQUALITY"/>
    <n v="84"/>
    <n v="100"/>
  </r>
  <r>
    <x v="1"/>
    <n v="6"/>
    <s v="SDG 6"/>
    <s v="SDG6"/>
    <n v="15"/>
    <s v="CLEAN WATER AND SANITATION"/>
    <n v="15"/>
    <n v="100"/>
  </r>
  <r>
    <x v="1"/>
    <n v="7"/>
    <s v="SDG 7"/>
    <s v="SDG7"/>
    <n v="86"/>
    <s v="AFFORDABLE AND CLEAN ENERGY"/>
    <n v="86"/>
    <n v="100"/>
  </r>
  <r>
    <x v="1"/>
    <n v="8"/>
    <s v="SDG 8"/>
    <s v="SDG8"/>
    <n v="87"/>
    <s v="DECENT WORK AND ECONOMIC GROWTH"/>
    <n v="87"/>
    <n v="100"/>
  </r>
  <r>
    <x v="1"/>
    <n v="9"/>
    <s v="SDG 9"/>
    <s v="SDG9"/>
    <n v="96"/>
    <s v="INDUSTRY, INNOVATION AND INFRASTRUCTURE"/>
    <n v="96"/>
    <n v="100"/>
  </r>
  <r>
    <x v="1"/>
    <n v="10"/>
    <s v="SDG 10"/>
    <s v="SDG10"/>
    <n v="90"/>
    <s v="REDUCED INEQUALITIES"/>
    <n v="90"/>
    <n v="100"/>
  </r>
  <r>
    <x v="1"/>
    <n v="11"/>
    <s v="SDG 11"/>
    <s v="SDG11"/>
    <n v="100"/>
    <s v="SUSTAINABLE CITIES AND COMMUNITIES"/>
    <n v="100"/>
    <n v="100"/>
  </r>
  <r>
    <x v="1"/>
    <n v="12"/>
    <s v="SDG 12"/>
    <s v="SDG12"/>
    <n v="71"/>
    <s v="RESPONSIBLE CONSUMPTION &amp; PRODUCTION"/>
    <n v="71"/>
    <n v="100"/>
  </r>
  <r>
    <x v="1"/>
    <n v="13"/>
    <s v="SDG 13"/>
    <s v="SDG13"/>
    <n v="100"/>
    <s v="CLIMATE ACTION"/>
    <n v="100"/>
    <n v="100"/>
  </r>
  <r>
    <x v="1"/>
    <n v="14"/>
    <s v="SDG 14"/>
    <s v="SDG14"/>
    <n v="100"/>
    <s v="LIFE BELOW WATER"/>
    <n v="100"/>
    <n v="100"/>
  </r>
  <r>
    <x v="1"/>
    <n v="15"/>
    <s v="SDG 15"/>
    <s v="SDG15"/>
    <n v="71"/>
    <s v="LIFE ON LAND"/>
    <n v="71"/>
    <n v="100"/>
  </r>
  <r>
    <x v="1"/>
    <n v="16"/>
    <s v="SDG 16"/>
    <s v="SDG16"/>
    <n v="50"/>
    <s v="PEACE, JUSTICE AND STRONG INSTITUTIONS"/>
    <n v="50"/>
    <n v="100"/>
  </r>
  <r>
    <x v="1"/>
    <n v="17"/>
    <s v="SDG 17"/>
    <s v="SDG17"/>
    <n v="89"/>
    <s v="PARTNERSHIPS FOR THE GOALS"/>
    <n v="189"/>
    <n v="100"/>
  </r>
  <r>
    <x v="2"/>
    <n v="1"/>
    <s v="SDG 1"/>
    <s v="SDG1"/>
    <n v="90"/>
    <s v="NO POVERTY"/>
    <n v="90"/>
    <n v="100"/>
  </r>
  <r>
    <x v="2"/>
    <n v="2"/>
    <s v="SDG 2"/>
    <s v="SDG2"/>
    <n v="56"/>
    <s v="ZERO HUNGER"/>
    <n v="56"/>
    <n v="100"/>
  </r>
  <r>
    <x v="2"/>
    <n v="3"/>
    <s v="SDG 3"/>
    <s v="SDG3"/>
    <n v="80"/>
    <s v="GOOD HEALTH AND WELL-BEING"/>
    <n v="80"/>
    <n v="100"/>
  </r>
  <r>
    <x v="2"/>
    <n v="4"/>
    <s v="SDG 4"/>
    <s v="SDG4"/>
    <n v="55"/>
    <s v="QUALITY EDUCATION"/>
    <n v="55"/>
    <n v="100"/>
  </r>
  <r>
    <x v="2"/>
    <n v="5"/>
    <s v="SDG 5"/>
    <s v="SDG5"/>
    <n v="98"/>
    <s v="GENDER EQUALITY"/>
    <n v="98"/>
    <n v="100"/>
  </r>
  <r>
    <x v="2"/>
    <n v="6"/>
    <s v="SDG 6"/>
    <s v="SDG6"/>
    <n v="33"/>
    <s v="CLEAN WATER AND SANITATION"/>
    <n v="33"/>
    <n v="100"/>
  </r>
  <r>
    <x v="2"/>
    <n v="7"/>
    <s v="SDG 7"/>
    <s v="SDG7"/>
    <n v="56"/>
    <s v="AFFORDABLE AND CLEAN ENERGY"/>
    <n v="56"/>
    <n v="100"/>
  </r>
  <r>
    <x v="2"/>
    <n v="8"/>
    <s v="SDG 8"/>
    <s v="SDG8"/>
    <n v="80"/>
    <s v="DECENT WORK AND ECONOMIC GROWTH"/>
    <n v="80"/>
    <n v="100"/>
  </r>
  <r>
    <x v="2"/>
    <n v="9"/>
    <s v="SDG 9"/>
    <s v="SDG9"/>
    <n v="56"/>
    <s v="INDUSTRY, INNOVATION AND INFRASTRUCTURE"/>
    <n v="56"/>
    <n v="100"/>
  </r>
  <r>
    <x v="2"/>
    <n v="10"/>
    <s v="SDG 10"/>
    <s v="SDG10"/>
    <n v="87"/>
    <s v="REDUCED INEQUALITIES"/>
    <n v="87"/>
    <n v="100"/>
  </r>
  <r>
    <x v="2"/>
    <n v="11"/>
    <s v="SDG 11"/>
    <s v="SDG11"/>
    <n v="56"/>
    <s v="SUSTAINABLE CITIES AND COMMUNITIES"/>
    <n v="56"/>
    <n v="100"/>
  </r>
  <r>
    <x v="2"/>
    <n v="12"/>
    <s v="SDG 12"/>
    <s v="SDG12"/>
    <n v="33"/>
    <s v="RESPONSIBLE CONSUMPTION &amp; PRODUCTION"/>
    <n v="33"/>
    <n v="100"/>
  </r>
  <r>
    <x v="2"/>
    <n v="13"/>
    <s v="SDG 13"/>
    <s v="SDG13"/>
    <n v="56"/>
    <s v="CLIMATE ACTION"/>
    <n v="56"/>
    <n v="100"/>
  </r>
  <r>
    <x v="2"/>
    <n v="14"/>
    <s v="SDG 14"/>
    <s v="SDG14"/>
    <n v="90"/>
    <s v="LIFE BELOW WATER"/>
    <n v="90"/>
    <n v="100"/>
  </r>
  <r>
    <x v="2"/>
    <n v="15"/>
    <s v="SDG 15"/>
    <s v="SDG15"/>
    <n v="80"/>
    <s v="LIFE ON LAND"/>
    <n v="80"/>
    <n v="100"/>
  </r>
  <r>
    <x v="2"/>
    <n v="16"/>
    <s v="SDG 16"/>
    <s v="SDG16"/>
    <n v="55"/>
    <s v="PEACE, JUSTICE AND STRONG INSTITUTIONS"/>
    <n v="55"/>
    <n v="100"/>
  </r>
  <r>
    <x v="2"/>
    <n v="17"/>
    <s v="SDG 17"/>
    <s v="SDG17"/>
    <n v="89"/>
    <s v="PARTNERSHIPS FOR THE GOALS"/>
    <n v="189"/>
    <n v="100"/>
  </r>
  <r>
    <x v="3"/>
    <n v="1"/>
    <s v="SDG 1"/>
    <s v="SDG1"/>
    <n v="89"/>
    <s v="NO POVERTY"/>
    <n v="89"/>
    <n v="100"/>
  </r>
  <r>
    <x v="3"/>
    <n v="2"/>
    <s v="SDG 2"/>
    <s v="SDG2"/>
    <n v="58"/>
    <s v="ZERO HUNGER"/>
    <n v="58"/>
    <n v="100"/>
  </r>
  <r>
    <x v="3"/>
    <n v="3"/>
    <s v="SDG 3"/>
    <s v="SDG3"/>
    <n v="81"/>
    <s v="GOOD HEALTH AND WELL-BEING"/>
    <n v="81"/>
    <n v="100"/>
  </r>
  <r>
    <x v="3"/>
    <n v="4"/>
    <s v="SDG 4"/>
    <s v="SDG4"/>
    <n v="61"/>
    <s v="QUALITY EDUCATION"/>
    <n v="61"/>
    <n v="100"/>
  </r>
  <r>
    <x v="3"/>
    <n v="5"/>
    <s v="SDG 5"/>
    <s v="SDG5"/>
    <n v="65"/>
    <s v="GENDER EQUALITY"/>
    <n v="65"/>
    <n v="100"/>
  </r>
  <r>
    <x v="3"/>
    <n v="6"/>
    <s v="SDG 6"/>
    <s v="SDG6"/>
    <n v="41"/>
    <s v="CLEAN WATER AND SANITATION"/>
    <n v="41"/>
    <n v="100"/>
  </r>
  <r>
    <x v="3"/>
    <n v="7"/>
    <s v="SDG 7"/>
    <s v="SDG7"/>
    <n v="58"/>
    <s v="AFFORDABLE AND CLEAN ENERGY"/>
    <n v="58"/>
    <n v="100"/>
  </r>
  <r>
    <x v="3"/>
    <n v="8"/>
    <s v="SDG 8"/>
    <s v="SDG8"/>
    <n v="81"/>
    <s v="DECENT WORK AND ECONOMIC GROWTH"/>
    <n v="81"/>
    <n v="100"/>
  </r>
  <r>
    <x v="3"/>
    <n v="9"/>
    <s v="SDG 9"/>
    <s v="SDG9"/>
    <n v="55"/>
    <s v="INDUSTRY, INNOVATION AND INFRASTRUCTURE"/>
    <n v="55"/>
    <n v="100"/>
  </r>
  <r>
    <x v="3"/>
    <n v="10"/>
    <s v="SDG 10"/>
    <s v="SDG10"/>
    <n v="94"/>
    <s v="REDUCED INEQUALITIES"/>
    <n v="94"/>
    <n v="100"/>
  </r>
  <r>
    <x v="3"/>
    <n v="11"/>
    <s v="SDG 11"/>
    <s v="SDG11"/>
    <n v="55"/>
    <s v="SUSTAINABLE CITIES AND COMMUNITIES"/>
    <n v="55"/>
    <n v="100"/>
  </r>
  <r>
    <x v="3"/>
    <n v="12"/>
    <s v="SDG 12"/>
    <s v="SDG12"/>
    <n v="41"/>
    <s v="RESPONSIBLE CONSUMPTION &amp; PRODUCTION"/>
    <n v="41"/>
    <n v="100"/>
  </r>
  <r>
    <x v="3"/>
    <n v="13"/>
    <s v="SDG 13"/>
    <s v="SDG13"/>
    <n v="55"/>
    <s v="CLIMATE ACTION"/>
    <n v="55"/>
    <n v="100"/>
  </r>
  <r>
    <x v="3"/>
    <n v="14"/>
    <s v="SDG 14"/>
    <s v="SDG14"/>
    <n v="74"/>
    <s v="LIFE BELOW WATER"/>
    <n v="74"/>
    <n v="100"/>
  </r>
  <r>
    <x v="3"/>
    <n v="15"/>
    <s v="SDG 15"/>
    <s v="SDG15"/>
    <n v="81"/>
    <s v="LIFE ON LAND"/>
    <n v="81"/>
    <n v="100"/>
  </r>
  <r>
    <x v="3"/>
    <n v="16"/>
    <s v="SDG 16"/>
    <s v="SDG16"/>
    <n v="61"/>
    <s v="PEACE, JUSTICE AND STRONG INSTITUTIONS"/>
    <n v="61"/>
    <n v="100"/>
  </r>
  <r>
    <x v="3"/>
    <n v="17"/>
    <s v="SDG 17"/>
    <s v="SDG17"/>
    <n v="89"/>
    <s v="PARTNERSHIPS FOR THE GOALS"/>
    <n v="189"/>
    <n v="100"/>
  </r>
  <r>
    <x v="4"/>
    <n v="1"/>
    <s v="SDG 1"/>
    <s v="SDG1"/>
    <n v="78"/>
    <s v="NO POVERTY"/>
    <n v="78"/>
    <n v="100"/>
  </r>
  <r>
    <x v="4"/>
    <n v="2"/>
    <s v="SDG 2"/>
    <s v="SDG2"/>
    <n v="59"/>
    <s v="ZERO HUNGER"/>
    <n v="59"/>
    <n v="100"/>
  </r>
  <r>
    <x v="4"/>
    <n v="3"/>
    <s v="SDG 3"/>
    <s v="SDG3"/>
    <n v="74"/>
    <s v="GOOD HEALTH AND WELL-BEING"/>
    <n v="74"/>
    <n v="100"/>
  </r>
  <r>
    <x v="4"/>
    <n v="4"/>
    <s v="SDG 4"/>
    <s v="SDG4"/>
    <n v="81"/>
    <s v="QUALITY EDUCATION"/>
    <n v="81"/>
    <n v="100"/>
  </r>
  <r>
    <x v="4"/>
    <n v="5"/>
    <s v="SDG 5"/>
    <s v="SDG5"/>
    <n v="90"/>
    <s v="GENDER EQUALITY"/>
    <n v="90"/>
    <n v="100"/>
  </r>
  <r>
    <x v="4"/>
    <n v="6"/>
    <s v="SDG 6"/>
    <s v="SDG6"/>
    <n v="81"/>
    <s v="CLEAN WATER AND SANITATION"/>
    <n v="81"/>
    <n v="100"/>
  </r>
  <r>
    <x v="4"/>
    <n v="7"/>
    <s v="SDG 7"/>
    <s v="SDG7"/>
    <n v="92"/>
    <s v="AFFORDABLE AND CLEAN ENERGY"/>
    <n v="92"/>
    <n v="100"/>
  </r>
  <r>
    <x v="4"/>
    <n v="8"/>
    <s v="SDG 8"/>
    <s v="SDG8"/>
    <n v="74"/>
    <s v="DECENT WORK AND ECONOMIC GROWTH"/>
    <n v="74"/>
    <n v="100"/>
  </r>
  <r>
    <x v="4"/>
    <n v="9"/>
    <s v="SDG 9"/>
    <s v="SDG9"/>
    <n v="95"/>
    <s v="INDUSTRY, INNOVATION AND INFRASTRUCTURE"/>
    <n v="95"/>
    <n v="100"/>
  </r>
  <r>
    <x v="4"/>
    <n v="10"/>
    <s v="SDG 10"/>
    <s v="SDG10"/>
    <n v="88"/>
    <s v="REDUCED INEQUALITIES"/>
    <n v="88"/>
    <n v="100"/>
  </r>
  <r>
    <x v="4"/>
    <n v="11"/>
    <s v="SDG 11"/>
    <s v="SDG11"/>
    <n v="68"/>
    <s v="SUSTAINABLE CITIES AND COMMUNITIES"/>
    <n v="68"/>
    <n v="100"/>
  </r>
  <r>
    <x v="4"/>
    <n v="12"/>
    <s v="SDG 12"/>
    <s v="SDG12"/>
    <n v="81"/>
    <s v="RESPONSIBLE CONSUMPTION &amp; PRODUCTION"/>
    <n v="81"/>
    <n v="100"/>
  </r>
  <r>
    <x v="4"/>
    <n v="13"/>
    <s v="SDG 13"/>
    <s v="SDG13"/>
    <n v="74"/>
    <s v="CLIMATE ACTION"/>
    <n v="74"/>
    <n v="100"/>
  </r>
  <r>
    <x v="4"/>
    <n v="14"/>
    <s v="SDG 14"/>
    <s v="SDG14"/>
    <n v="74"/>
    <s v="LIFE BELOW WATER"/>
    <n v="74"/>
    <n v="100"/>
  </r>
  <r>
    <x v="4"/>
    <n v="15"/>
    <s v="SDG 15"/>
    <s v="SDG15"/>
    <n v="74"/>
    <s v="LIFE ON LAND"/>
    <n v="74"/>
    <n v="100"/>
  </r>
  <r>
    <x v="4"/>
    <n v="16"/>
    <s v="SDG 16"/>
    <s v="SDG16"/>
    <n v="77"/>
    <s v="PEACE, JUSTICE AND STRONG INSTITUTIONS"/>
    <n v="77"/>
    <n v="100"/>
  </r>
  <r>
    <x v="4"/>
    <n v="17"/>
    <s v="SDG 17"/>
    <s v="SDG17"/>
    <n v="89"/>
    <s v="PARTNERSHIPS FOR THE GOALS"/>
    <n v="189"/>
    <n v="100"/>
  </r>
  <r>
    <x v="5"/>
    <n v="1"/>
    <s v="SDG 1"/>
    <s v="SDG1"/>
    <n v="81"/>
    <s v="NO POVERTY"/>
    <n v="81"/>
    <n v="100"/>
  </r>
  <r>
    <x v="5"/>
    <n v="2"/>
    <s v="SDG 2"/>
    <s v="SDG2"/>
    <n v="74"/>
    <s v="ZERO HUNGER"/>
    <n v="74"/>
    <n v="100"/>
  </r>
  <r>
    <x v="5"/>
    <n v="3"/>
    <s v="SDG 3"/>
    <s v="SDG3"/>
    <n v="78"/>
    <s v="GOOD HEALTH AND WELL-BEING"/>
    <n v="78"/>
    <n v="100"/>
  </r>
  <r>
    <x v="5"/>
    <n v="4"/>
    <s v="SDG 4"/>
    <s v="SDG4"/>
    <n v="80"/>
    <s v="QUALITY EDUCATION"/>
    <n v="80"/>
    <n v="100"/>
  </r>
  <r>
    <x v="5"/>
    <n v="5"/>
    <s v="SDG 5"/>
    <s v="SDG5"/>
    <n v="88"/>
    <s v="GENDER EQUALITY"/>
    <n v="88"/>
    <n v="100"/>
  </r>
  <r>
    <x v="5"/>
    <n v="6"/>
    <s v="SDG 6"/>
    <s v="SDG6"/>
    <n v="80"/>
    <s v="CLEAN WATER AND SANITATION"/>
    <n v="80"/>
    <n v="100"/>
  </r>
  <r>
    <x v="5"/>
    <n v="7"/>
    <s v="SDG 7"/>
    <s v="SDG7"/>
    <n v="74"/>
    <s v="AFFORDABLE AND CLEAN ENERGY"/>
    <n v="74"/>
    <n v="100"/>
  </r>
  <r>
    <x v="5"/>
    <n v="8"/>
    <s v="SDG 8"/>
    <s v="SDG8"/>
    <n v="78"/>
    <s v="DECENT WORK AND ECONOMIC GROWTH"/>
    <n v="78"/>
    <n v="100"/>
  </r>
  <r>
    <x v="5"/>
    <n v="9"/>
    <s v="SDG 9"/>
    <s v="SDG9"/>
    <n v="74"/>
    <s v="INDUSTRY, INNOVATION AND INFRASTRUCTURE"/>
    <n v="74"/>
    <n v="100"/>
  </r>
  <r>
    <x v="5"/>
    <n v="10"/>
    <s v="SDG 10"/>
    <s v="SDG10"/>
    <n v="90"/>
    <s v="REDUCED INEQUALITIES"/>
    <n v="90"/>
    <n v="100"/>
  </r>
  <r>
    <x v="5"/>
    <n v="11"/>
    <s v="SDG 11"/>
    <s v="SDG11"/>
    <n v="74"/>
    <s v="SUSTAINABLE CITIES AND COMMUNITIES"/>
    <n v="74"/>
    <n v="100"/>
  </r>
  <r>
    <x v="5"/>
    <n v="12"/>
    <s v="SDG 12"/>
    <s v="SDG12"/>
    <n v="80"/>
    <s v="RESPONSIBLE CONSUMPTION &amp; PRODUCTION"/>
    <n v="80"/>
    <n v="100"/>
  </r>
  <r>
    <x v="5"/>
    <n v="13"/>
    <s v="SDG 13"/>
    <s v="SDG13"/>
    <n v="74"/>
    <s v="CLIMATE ACTION"/>
    <n v="74"/>
    <n v="100"/>
  </r>
  <r>
    <x v="5"/>
    <n v="14"/>
    <s v="SDG 14"/>
    <s v="SDG14"/>
    <n v="71"/>
    <s v="LIFE BELOW WATER"/>
    <n v="71"/>
    <n v="100"/>
  </r>
  <r>
    <x v="5"/>
    <n v="15"/>
    <s v="SDG 15"/>
    <s v="SDG15"/>
    <n v="78"/>
    <s v="LIFE ON LAND"/>
    <n v="78"/>
    <n v="100"/>
  </r>
  <r>
    <x v="5"/>
    <n v="16"/>
    <s v="SDG 16"/>
    <s v="SDG16"/>
    <n v="68"/>
    <s v="PEACE, JUSTICE AND STRONG INSTITUTIONS"/>
    <n v="68"/>
    <n v="100"/>
  </r>
  <r>
    <x v="5"/>
    <n v="17"/>
    <s v="SDG 17"/>
    <s v="SDG17"/>
    <n v="89"/>
    <s v="PARTNERSHIPS FOR THE GOALS"/>
    <n v="189"/>
    <n v="100"/>
  </r>
  <r>
    <x v="6"/>
    <n v="1"/>
    <s v="SDG 1"/>
    <s v="SDG1"/>
    <n v="86"/>
    <s v="NO POVERTY"/>
    <n v="86"/>
    <n v="100"/>
  </r>
  <r>
    <x v="6"/>
    <n v="2"/>
    <s v="SDG 2"/>
    <s v="SDG2"/>
    <n v="71"/>
    <s v="ZERO HUNGER"/>
    <n v="71"/>
    <n v="100"/>
  </r>
  <r>
    <x v="6"/>
    <n v="3"/>
    <s v="SDG 3"/>
    <s v="SDG3"/>
    <n v="75"/>
    <s v="GOOD HEALTH AND WELL-BEING"/>
    <n v="75"/>
    <n v="100"/>
  </r>
  <r>
    <x v="6"/>
    <n v="4"/>
    <s v="SDG 4"/>
    <s v="SDG4"/>
    <n v="91"/>
    <s v="QUALITY EDUCATION"/>
    <n v="91"/>
    <n v="100"/>
  </r>
  <r>
    <x v="6"/>
    <n v="5"/>
    <s v="SDG 5"/>
    <s v="SDG5"/>
    <n v="77"/>
    <s v="GENDER EQUALITY"/>
    <n v="77"/>
    <n v="100"/>
  </r>
  <r>
    <x v="6"/>
    <n v="6"/>
    <s v="SDG 6"/>
    <s v="SDG6"/>
    <n v="77"/>
    <s v="CLEAN WATER AND SANITATION"/>
    <n v="77"/>
    <n v="100"/>
  </r>
  <r>
    <x v="6"/>
    <n v="7"/>
    <s v="SDG 7"/>
    <s v="SDG7"/>
    <n v="71"/>
    <s v="AFFORDABLE AND CLEAN ENERGY"/>
    <n v="71"/>
    <n v="100"/>
  </r>
  <r>
    <x v="6"/>
    <n v="8"/>
    <s v="SDG 8"/>
    <s v="SDG8"/>
    <n v="75"/>
    <s v="DECENT WORK AND ECONOMIC GROWTH"/>
    <n v="75"/>
    <n v="100"/>
  </r>
  <r>
    <x v="6"/>
    <n v="9"/>
    <s v="SDG 9"/>
    <s v="SDG9"/>
    <n v="60"/>
    <s v="INDUSTRY, INNOVATION AND INFRASTRUCTURE"/>
    <n v="60"/>
    <n v="100"/>
  </r>
  <r>
    <x v="6"/>
    <n v="10"/>
    <s v="SDG 10"/>
    <s v="SDG10"/>
    <n v="90"/>
    <s v="REDUCED INEQUALITIES"/>
    <n v="90"/>
    <n v="100"/>
  </r>
  <r>
    <x v="6"/>
    <n v="11"/>
    <s v="SDG 11"/>
    <s v="SDG11"/>
    <n v="60"/>
    <s v="SUSTAINABLE CITIES AND COMMUNITIES"/>
    <n v="60"/>
    <n v="100"/>
  </r>
  <r>
    <x v="6"/>
    <n v="12"/>
    <s v="SDG 12"/>
    <s v="SDG12"/>
    <n v="77"/>
    <s v="RESPONSIBLE CONSUMPTION &amp; PRODUCTION"/>
    <n v="77"/>
    <n v="100"/>
  </r>
  <r>
    <x v="6"/>
    <n v="13"/>
    <s v="SDG 13"/>
    <s v="SDG13"/>
    <n v="60"/>
    <s v="CLIMATE ACTION"/>
    <n v="60"/>
    <n v="100"/>
  </r>
  <r>
    <x v="6"/>
    <n v="14"/>
    <s v="SDG 14"/>
    <s v="SDG14"/>
    <n v="75"/>
    <s v="LIFE BELOW WATER"/>
    <n v="75"/>
    <n v="100"/>
  </r>
  <r>
    <x v="6"/>
    <n v="15"/>
    <s v="SDG 15"/>
    <s v="SDG15"/>
    <n v="75"/>
    <s v="LIFE ON LAND"/>
    <n v="75"/>
    <n v="100"/>
  </r>
  <r>
    <x v="6"/>
    <n v="16"/>
    <s v="SDG 16"/>
    <s v="SDG16"/>
    <n v="87"/>
    <s v="PEACE, JUSTICE AND STRONG INSTITUTIONS"/>
    <n v="87"/>
    <n v="100"/>
  </r>
  <r>
    <x v="6"/>
    <n v="17"/>
    <s v="SDG 17"/>
    <s v="SDG17"/>
    <n v="89"/>
    <s v="PARTNERSHIPS FOR THE GOALS"/>
    <n v="189"/>
    <n v="100"/>
  </r>
  <r>
    <x v="7"/>
    <n v="1"/>
    <s v="SDG 1"/>
    <s v="SDG1"/>
    <n v="82"/>
    <s v="NO POVERTY"/>
    <n v="82"/>
    <n v="100"/>
  </r>
  <r>
    <x v="7"/>
    <n v="2"/>
    <s v="SDG 2"/>
    <s v="SDG2"/>
    <n v="72"/>
    <s v="ZERO HUNGER"/>
    <n v="72"/>
    <n v="100"/>
  </r>
  <r>
    <x v="7"/>
    <n v="3"/>
    <s v="SDG 3"/>
    <s v="SDG3"/>
    <n v="78"/>
    <s v="GOOD HEALTH AND WELL-BEING"/>
    <n v="78"/>
    <n v="100"/>
  </r>
  <r>
    <x v="7"/>
    <n v="4"/>
    <s v="SDG 4"/>
    <s v="SDG4"/>
    <n v="75"/>
    <s v="QUALITY EDUCATION"/>
    <n v="75"/>
    <n v="100"/>
  </r>
  <r>
    <x v="7"/>
    <n v="5"/>
    <s v="SDG 5"/>
    <s v="SDG5"/>
    <n v="93"/>
    <s v="GENDER EQUALITY"/>
    <n v="93"/>
    <n v="100"/>
  </r>
  <r>
    <x v="7"/>
    <n v="6"/>
    <s v="SDG 6"/>
    <s v="SDG6"/>
    <n v="71"/>
    <s v="CLEAN WATER AND SANITATION"/>
    <n v="71"/>
    <n v="100"/>
  </r>
  <r>
    <x v="7"/>
    <n v="7"/>
    <s v="SDG 7"/>
    <s v="SDG7"/>
    <n v="72"/>
    <s v="AFFORDABLE AND CLEAN ENERGY"/>
    <n v="72"/>
    <n v="100"/>
  </r>
  <r>
    <x v="7"/>
    <n v="8"/>
    <s v="SDG 8"/>
    <s v="SDG8"/>
    <n v="63"/>
    <s v="DECENT WORK AND ECONOMIC GROWTH"/>
    <n v="63"/>
    <n v="100"/>
  </r>
  <r>
    <x v="7"/>
    <n v="9"/>
    <s v="SDG 9"/>
    <s v="SDG9"/>
    <n v="72"/>
    <s v="INDUSTRY, INNOVATION AND INFRASTRUCTURE"/>
    <n v="72"/>
    <n v="100"/>
  </r>
  <r>
    <x v="7"/>
    <n v="10"/>
    <s v="SDG 10"/>
    <s v="SDG10"/>
    <n v="90"/>
    <s v="REDUCED INEQUALITIES"/>
    <n v="90"/>
    <n v="100"/>
  </r>
  <r>
    <x v="7"/>
    <n v="11"/>
    <s v="SDG 11"/>
    <s v="SDG11"/>
    <n v="72"/>
    <s v="SUSTAINABLE CITIES AND COMMUNITIES"/>
    <n v="72"/>
    <n v="100"/>
  </r>
  <r>
    <x v="7"/>
    <n v="12"/>
    <s v="SDG 12"/>
    <s v="SDG12"/>
    <n v="71"/>
    <s v="RESPONSIBLE CONSUMPTION &amp; PRODUCTION"/>
    <n v="71"/>
    <n v="100"/>
  </r>
  <r>
    <x v="7"/>
    <n v="13"/>
    <s v="SDG 13"/>
    <s v="SDG13"/>
    <n v="72"/>
    <s v="CLIMATE ACTION"/>
    <n v="72"/>
    <n v="100"/>
  </r>
  <r>
    <x v="7"/>
    <n v="14"/>
    <s v="SDG 14"/>
    <s v="SDG14"/>
    <n v="63"/>
    <s v="LIFE BELOW WATER"/>
    <n v="63"/>
    <n v="100"/>
  </r>
  <r>
    <x v="7"/>
    <n v="15"/>
    <s v="SDG 15"/>
    <s v="SDG15"/>
    <n v="78"/>
    <s v="LIFE ON LAND"/>
    <n v="78"/>
    <n v="100"/>
  </r>
  <r>
    <x v="7"/>
    <n v="16"/>
    <s v="SDG 16"/>
    <s v="SDG16"/>
    <n v="75"/>
    <s v="PEACE, JUSTICE AND STRONG INSTITUTIONS"/>
    <n v="75"/>
    <n v="100"/>
  </r>
  <r>
    <x v="7"/>
    <n v="17"/>
    <s v="SDG 17"/>
    <s v="SDG17"/>
    <n v="89"/>
    <s v="PARTNERSHIPS FOR THE GOALS"/>
    <n v="189"/>
    <n v="100"/>
  </r>
  <r>
    <x v="8"/>
    <n v="1"/>
    <s v="SDG 1"/>
    <s v="SDG1"/>
    <n v="87"/>
    <s v="NO POVERTY"/>
    <n v="87"/>
    <n v="100"/>
  </r>
  <r>
    <x v="8"/>
    <n v="2"/>
    <s v="SDG 2"/>
    <s v="SDG2"/>
    <n v="70"/>
    <s v="ZERO HUNGER"/>
    <n v="70"/>
    <n v="100"/>
  </r>
  <r>
    <x v="8"/>
    <n v="3"/>
    <s v="SDG 3"/>
    <s v="SDG3"/>
    <n v="80"/>
    <s v="GOOD HEALTH AND WELL-BEING"/>
    <n v="80"/>
    <n v="100"/>
  </r>
  <r>
    <x v="8"/>
    <n v="4"/>
    <s v="SDG 4"/>
    <s v="SDG4"/>
    <n v="76"/>
    <s v="QUALITY EDUCATION"/>
    <n v="76"/>
    <n v="100"/>
  </r>
  <r>
    <x v="8"/>
    <n v="5"/>
    <s v="SDG 5"/>
    <s v="SDG5"/>
    <n v="69"/>
    <s v="GENDER EQUALITY"/>
    <n v="69"/>
    <n v="100"/>
  </r>
  <r>
    <x v="8"/>
    <n v="6"/>
    <s v="SDG 6"/>
    <s v="SDG6"/>
    <n v="84"/>
    <s v="CLEAN WATER AND SANITATION"/>
    <n v="84"/>
    <n v="100"/>
  </r>
  <r>
    <x v="8"/>
    <n v="7"/>
    <s v="SDG 7"/>
    <s v="SDG7"/>
    <n v="70"/>
    <s v="AFFORDABLE AND CLEAN ENERGY"/>
    <n v="70"/>
    <n v="100"/>
  </r>
  <r>
    <x v="8"/>
    <n v="8"/>
    <s v="SDG 8"/>
    <s v="SDG8"/>
    <n v="80"/>
    <s v="DECENT WORK AND ECONOMIC GROWTH"/>
    <n v="80"/>
    <n v="100"/>
  </r>
  <r>
    <x v="8"/>
    <n v="9"/>
    <s v="SDG 9"/>
    <s v="SDG9"/>
    <n v="71"/>
    <s v="INDUSTRY, INNOVATION AND INFRASTRUCTURE"/>
    <n v="71"/>
    <n v="100"/>
  </r>
  <r>
    <x v="8"/>
    <n v="10"/>
    <s v="SDG 10"/>
    <s v="SDG10"/>
    <n v="90"/>
    <s v="REDUCED INEQUALITIES"/>
    <n v="90"/>
    <n v="100"/>
  </r>
  <r>
    <x v="8"/>
    <n v="11"/>
    <s v="SDG 11"/>
    <s v="SDG11"/>
    <n v="71"/>
    <s v="SUSTAINABLE CITIES AND COMMUNITIES"/>
    <n v="71"/>
    <n v="100"/>
  </r>
  <r>
    <x v="8"/>
    <n v="12"/>
    <s v="SDG 12"/>
    <s v="SDG12"/>
    <n v="84"/>
    <s v="RESPONSIBLE CONSUMPTION &amp; PRODUCTION"/>
    <n v="84"/>
    <n v="100"/>
  </r>
  <r>
    <x v="8"/>
    <n v="13"/>
    <s v="SDG 13"/>
    <s v="SDG13"/>
    <n v="71"/>
    <s v="CLIMATE ACTION"/>
    <n v="71"/>
    <n v="100"/>
  </r>
  <r>
    <x v="8"/>
    <n v="14"/>
    <s v="SDG 14"/>
    <s v="SDG14"/>
    <n v="68"/>
    <s v="LIFE BELOW WATER"/>
    <n v="68"/>
    <n v="100"/>
  </r>
  <r>
    <x v="8"/>
    <n v="15"/>
    <s v="SDG 15"/>
    <s v="SDG15"/>
    <n v="80"/>
    <s v="LIFE ON LAND"/>
    <n v="80"/>
    <n v="100"/>
  </r>
  <r>
    <x v="8"/>
    <n v="16"/>
    <s v="SDG 16"/>
    <s v="SDG16"/>
    <n v="76"/>
    <s v="PEACE, JUSTICE AND STRONG INSTITUTIONS"/>
    <n v="76"/>
    <n v="100"/>
  </r>
  <r>
    <x v="8"/>
    <n v="17"/>
    <s v="SDG 17"/>
    <s v="SDG17"/>
    <n v="89"/>
    <s v="PARTNERSHIPS FOR THE GOALS"/>
    <n v="189"/>
    <n v="100"/>
  </r>
  <r>
    <x v="9"/>
    <n v="1"/>
    <s v="SDG 1"/>
    <s v="SDG1"/>
    <n v="84"/>
    <s v="NO POVERTY"/>
    <n v="84"/>
    <n v="100"/>
  </r>
  <r>
    <x v="9"/>
    <n v="2"/>
    <s v="SDG 2"/>
    <s v="SDG2"/>
    <n v="62"/>
    <s v="ZERO HUNGER"/>
    <n v="62"/>
    <n v="100"/>
  </r>
  <r>
    <x v="9"/>
    <n v="3"/>
    <s v="SDG 3"/>
    <s v="SDG3"/>
    <n v="61"/>
    <s v="GOOD HEALTH AND WELL-BEING"/>
    <n v="61"/>
    <n v="100"/>
  </r>
  <r>
    <x v="9"/>
    <n v="4"/>
    <s v="SDG 4"/>
    <s v="SDG4"/>
    <n v="86"/>
    <s v="QUALITY EDUCATION"/>
    <n v="86"/>
    <n v="100"/>
  </r>
  <r>
    <x v="9"/>
    <n v="5"/>
    <s v="SDG 5"/>
    <s v="SDG5"/>
    <n v="84"/>
    <s v="GENDER EQUALITY"/>
    <n v="84"/>
    <n v="100"/>
  </r>
  <r>
    <x v="9"/>
    <n v="6"/>
    <s v="SDG 6"/>
    <s v="SDG6"/>
    <n v="89"/>
    <s v="CLEAN WATER AND SANITATION"/>
    <n v="89"/>
    <n v="100"/>
  </r>
  <r>
    <x v="9"/>
    <n v="7"/>
    <s v="SDG 7"/>
    <s v="SDG7"/>
    <n v="62"/>
    <s v="AFFORDABLE AND CLEAN ENERGY"/>
    <n v="62"/>
    <n v="100"/>
  </r>
  <r>
    <x v="9"/>
    <n v="8"/>
    <s v="SDG 8"/>
    <s v="SDG8"/>
    <n v="63"/>
    <s v="DECENT WORK AND ECONOMIC GROWTH"/>
    <n v="63"/>
    <n v="100"/>
  </r>
  <r>
    <x v="9"/>
    <n v="9"/>
    <s v="SDG 9"/>
    <s v="SDG9"/>
    <n v="62"/>
    <s v="INDUSTRY, INNOVATION AND INFRASTRUCTURE"/>
    <n v="62"/>
    <n v="100"/>
  </r>
  <r>
    <x v="9"/>
    <n v="10"/>
    <s v="SDG 10"/>
    <s v="SDG10"/>
    <n v="90"/>
    <s v="REDUCED INEQUALITIES"/>
    <n v="90"/>
    <n v="100"/>
  </r>
  <r>
    <x v="9"/>
    <n v="11"/>
    <s v="SDG 11"/>
    <s v="SDG11"/>
    <n v="78"/>
    <s v="SUSTAINABLE CITIES AND COMMUNITIES"/>
    <n v="78"/>
    <n v="100"/>
  </r>
  <r>
    <x v="9"/>
    <n v="12"/>
    <s v="SDG 12"/>
    <s v="SDG12"/>
    <n v="69"/>
    <s v="RESPONSIBLE CONSUMPTION &amp; PRODUCTION"/>
    <n v="69"/>
    <n v="100"/>
  </r>
  <r>
    <x v="9"/>
    <n v="13"/>
    <s v="SDG 13"/>
    <s v="SDG13"/>
    <n v="87"/>
    <s v="CLIMATE ACTION"/>
    <n v="87"/>
    <n v="100"/>
  </r>
  <r>
    <x v="9"/>
    <n v="14"/>
    <s v="SDG 14"/>
    <s v="SDG14"/>
    <n v="95"/>
    <s v="LIFE BELOW WATER"/>
    <n v="95"/>
    <n v="100"/>
  </r>
  <r>
    <x v="9"/>
    <n v="15"/>
    <s v="SDG 15"/>
    <s v="SDG15"/>
    <n v="88"/>
    <s v="LIFE ON LAND"/>
    <n v="88"/>
    <n v="100"/>
  </r>
  <r>
    <x v="9"/>
    <n v="16"/>
    <s v="SDG 16"/>
    <s v="SDG16"/>
    <n v="74"/>
    <s v="PEACE, JUSTICE AND STRONG INSTITUTIONS"/>
    <n v="74"/>
    <n v="100"/>
  </r>
  <r>
    <x v="9"/>
    <n v="17"/>
    <s v="SDG 17"/>
    <s v="SDG17"/>
    <n v="89"/>
    <s v="PARTNERSHIPS FOR THE GOALS"/>
    <n v="189"/>
    <n v="100"/>
  </r>
  <r>
    <x v="10"/>
    <n v="1"/>
    <s v="SDG 1"/>
    <s v="SDG1"/>
    <n v="81"/>
    <s v="NO POVERTY"/>
    <n v="81"/>
    <n v="100"/>
  </r>
  <r>
    <x v="10"/>
    <n v="2"/>
    <s v="SDG 2"/>
    <s v="SDG2"/>
    <n v="62"/>
    <s v="ZERO HUNGER"/>
    <n v="62"/>
    <n v="100"/>
  </r>
  <r>
    <x v="10"/>
    <n v="3"/>
    <s v="SDG 3"/>
    <s v="SDG3"/>
    <n v="53"/>
    <s v="GOOD HEALTH AND WELL-BEING"/>
    <n v="53"/>
    <n v="100"/>
  </r>
  <r>
    <x v="10"/>
    <n v="4"/>
    <s v="SDG 4"/>
    <s v="SDG4"/>
    <n v="74"/>
    <s v="QUALITY EDUCATION"/>
    <n v="74"/>
    <n v="100"/>
  </r>
  <r>
    <x v="10"/>
    <n v="5"/>
    <s v="SDG 5"/>
    <s v="SDG5"/>
    <n v="94"/>
    <s v="GENDER EQUALITY"/>
    <n v="94"/>
    <n v="100"/>
  </r>
  <r>
    <x v="10"/>
    <n v="6"/>
    <s v="SDG 6"/>
    <s v="SDG6"/>
    <n v="74"/>
    <s v="CLEAN WATER AND SANITATION"/>
    <n v="74"/>
    <n v="100"/>
  </r>
  <r>
    <x v="10"/>
    <n v="7"/>
    <s v="SDG 7"/>
    <s v="SDG7"/>
    <n v="62"/>
    <s v="AFFORDABLE AND CLEAN ENERGY"/>
    <n v="62"/>
    <n v="100"/>
  </r>
  <r>
    <x v="10"/>
    <n v="8"/>
    <s v="SDG 8"/>
    <s v="SDG8"/>
    <n v="55"/>
    <s v="DECENT WORK AND ECONOMIC GROWTH"/>
    <n v="55"/>
    <n v="100"/>
  </r>
  <r>
    <x v="10"/>
    <n v="9"/>
    <s v="SDG 9"/>
    <s v="SDG9"/>
    <n v="62"/>
    <s v="INDUSTRY, INNOVATION AND INFRASTRUCTURE"/>
    <n v="62"/>
    <n v="100"/>
  </r>
  <r>
    <x v="10"/>
    <n v="10"/>
    <s v="SDG 10"/>
    <s v="SDG10"/>
    <n v="88"/>
    <s v="REDUCED INEQUALITIES"/>
    <n v="88"/>
    <n v="100"/>
  </r>
  <r>
    <x v="10"/>
    <n v="11"/>
    <s v="SDG 11"/>
    <s v="SDG11"/>
    <n v="62"/>
    <s v="SUSTAINABLE CITIES AND COMMUNITIES"/>
    <n v="62"/>
    <n v="100"/>
  </r>
  <r>
    <x v="10"/>
    <n v="12"/>
    <s v="SDG 12"/>
    <s v="SDG12"/>
    <n v="85"/>
    <s v="RESPONSIBLE CONSUMPTION &amp; PRODUCTION"/>
    <n v="85"/>
    <n v="100"/>
  </r>
  <r>
    <x v="10"/>
    <n v="13"/>
    <s v="SDG 13"/>
    <s v="SDG13"/>
    <n v="62"/>
    <s v="CLIMATE ACTION"/>
    <n v="62"/>
    <n v="100"/>
  </r>
  <r>
    <x v="10"/>
    <n v="14"/>
    <s v="SDG 14"/>
    <s v="SDG14"/>
    <n v="69"/>
    <s v="LIFE BELOW WATER"/>
    <n v="69"/>
    <n v="100"/>
  </r>
  <r>
    <x v="10"/>
    <n v="15"/>
    <s v="SDG 15"/>
    <s v="SDG15"/>
    <n v="61"/>
    <s v="LIFE ON LAND"/>
    <n v="61"/>
    <n v="100"/>
  </r>
  <r>
    <x v="10"/>
    <n v="16"/>
    <s v="SDG 16"/>
    <s v="SDG16"/>
    <n v="74"/>
    <s v="PEACE, JUSTICE AND STRONG INSTITUTIONS"/>
    <n v="74"/>
    <n v="100"/>
  </r>
  <r>
    <x v="10"/>
    <n v="17"/>
    <s v="SDG 17"/>
    <s v="SDG17"/>
    <n v="85"/>
    <s v="PARTNERSHIPS FOR THE GOALS"/>
    <n v="185"/>
    <n v="1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99.529411764705884"/>
    <n v="100"/>
  </r>
  <r>
    <x v="1"/>
    <n v="0.47058823529411598"/>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138474-593B-46F2-8EAE-31ACEAE82048}" name="PivotTable4" cacheId="28" applyNumberFormats="0" applyBorderFormats="0" applyFontFormats="0" applyPatternFormats="0" applyAlignmentFormats="0" applyWidthHeightFormats="1" dataCaption="Values" tag="922d0d55-1c88-45c7-9263-484ba53ac3ce" updatedVersion="8" minRefreshableVersion="3" useAutoFormatting="1" subtotalHiddenItems="1" itemPrintTitles="1" createdVersion="8" indent="0" outline="1" outlineData="1" multipleFieldFilters="0" chartFormat="2">
  <location ref="A6:B11" firstHeaderRow="1" firstDataRow="1" firstDataCol="1" rowPageCount="1" colPageCount="1"/>
  <pivotFields count="4">
    <pivotField dataField="1" subtotalTop="0" showAll="0" defaultSubtotal="0"/>
    <pivotField axis="axisRow" allDrilled="1" subtotalTop="0" showAll="0" measureFilter="1" sortType="descending" defaultSubtotal="0" defaultAttributeDrillState="1">
      <items count="15">
        <item x="3"/>
        <item x="11"/>
        <item x="5"/>
        <item x="9"/>
        <item x="12"/>
        <item x="8"/>
        <item x="2"/>
        <item x="7"/>
        <item x="6"/>
        <item x="4"/>
        <item x="1"/>
        <item x="10"/>
        <item x="14"/>
        <item x="13"/>
        <item x="0"/>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i>
    <i>
      <x v="6"/>
    </i>
    <i>
      <x v="10"/>
    </i>
    <i>
      <x v="14"/>
    </i>
    <i t="grand">
      <x/>
    </i>
  </rowItems>
  <colItems count="1">
    <i/>
  </colItems>
  <pageFields count="1">
    <pageField fld="2" hier="23" name="[Table6].[Top 4].[All]" cap="All"/>
  </pageFields>
  <dataFields count="1">
    <dataField name="Average of SCORE" fld="0" subtotal="average" baseField="0" baseItem="0" numFmtId="167"/>
  </dataFields>
  <formats count="2">
    <format dxfId="16">
      <pivotArea outline="0" collapsedLevelsAreSubtotals="1" fieldPosition="0"/>
    </format>
    <format dxfId="15">
      <pivotArea dataOnly="0" labelOnly="1" outline="0" axis="axisValues" fieldPosition="0"/>
    </format>
  </formats>
  <chartFormats count="20">
    <chartFormat chart="1" format="19" series="1">
      <pivotArea type="data" outline="0" fieldPosition="0">
        <references count="1">
          <reference field="4294967294" count="1" selected="0">
            <x v="0"/>
          </reference>
        </references>
      </pivotArea>
    </chartFormat>
    <chartFormat chart="1" format="38">
      <pivotArea type="data" outline="0" fieldPosition="0">
        <references count="2">
          <reference field="4294967294" count="1" selected="0">
            <x v="0"/>
          </reference>
          <reference field="1" count="1" selected="0">
            <x v="1048832"/>
          </reference>
        </references>
      </pivotArea>
    </chartFormat>
    <chartFormat chart="1" format="39">
      <pivotArea type="data" outline="0" fieldPosition="0">
        <references count="2">
          <reference field="4294967294" count="1" selected="0">
            <x v="0"/>
          </reference>
          <reference field="1" count="1" selected="0">
            <x v="1048832"/>
          </reference>
        </references>
      </pivotArea>
    </chartFormat>
    <chartFormat chart="1" format="40">
      <pivotArea type="data" outline="0" fieldPosition="0">
        <references count="2">
          <reference field="4294967294" count="1" selected="0">
            <x v="0"/>
          </reference>
          <reference field="1" count="1" selected="0">
            <x v="1048832"/>
          </reference>
        </references>
      </pivotArea>
    </chartFormat>
    <chartFormat chart="1" format="41">
      <pivotArea type="data" outline="0" fieldPosition="0">
        <references count="2">
          <reference field="4294967294" count="1" selected="0">
            <x v="0"/>
          </reference>
          <reference field="1" count="1" selected="0">
            <x v="1048832"/>
          </reference>
        </references>
      </pivotArea>
    </chartFormat>
    <chartFormat chart="1" format="42">
      <pivotArea type="data" outline="0" fieldPosition="0">
        <references count="2">
          <reference field="4294967294" count="1" selected="0">
            <x v="0"/>
          </reference>
          <reference field="1" count="1" selected="0">
            <x v="0"/>
          </reference>
        </references>
      </pivotArea>
    </chartFormat>
    <chartFormat chart="1" format="43">
      <pivotArea type="data" outline="0" fieldPosition="0">
        <references count="2">
          <reference field="4294967294" count="1" selected="0">
            <x v="0"/>
          </reference>
          <reference field="1" count="1" selected="0">
            <x v="14"/>
          </reference>
        </references>
      </pivotArea>
    </chartFormat>
    <chartFormat chart="1" format="44">
      <pivotArea type="data" outline="0" fieldPosition="0">
        <references count="2">
          <reference field="4294967294" count="1" selected="0">
            <x v="0"/>
          </reference>
          <reference field="1" count="1" selected="0">
            <x v="10"/>
          </reference>
        </references>
      </pivotArea>
    </chartFormat>
    <chartFormat chart="1" format="45">
      <pivotArea type="data" outline="0" fieldPosition="0">
        <references count="2">
          <reference field="4294967294" count="1" selected="0">
            <x v="0"/>
          </reference>
          <reference field="1" count="1" selected="0">
            <x v="6"/>
          </reference>
        </references>
      </pivotArea>
    </chartFormat>
    <chartFormat chart="1" format="46">
      <pivotArea type="data" outline="0" fieldPosition="0">
        <references count="2">
          <reference field="4294967294" count="1" selected="0">
            <x v="0"/>
          </reference>
          <reference field="1" count="1" selected="0">
            <x v="4"/>
          </reference>
        </references>
      </pivotArea>
    </chartFormat>
    <chartFormat chart="1" format="47">
      <pivotArea type="data" outline="0" fieldPosition="0">
        <references count="2">
          <reference field="4294967294" count="1" selected="0">
            <x v="0"/>
          </reference>
          <reference field="1" count="1" selected="0">
            <x v="8"/>
          </reference>
        </references>
      </pivotArea>
    </chartFormat>
    <chartFormat chart="1" format="48">
      <pivotArea type="data" outline="0" fieldPosition="0">
        <references count="2">
          <reference field="4294967294" count="1" selected="0">
            <x v="0"/>
          </reference>
          <reference field="1" count="1" selected="0">
            <x v="7"/>
          </reference>
        </references>
      </pivotArea>
    </chartFormat>
    <chartFormat chart="1" format="49">
      <pivotArea type="data" outline="0" fieldPosition="0">
        <references count="2">
          <reference field="4294967294" count="1" selected="0">
            <x v="0"/>
          </reference>
          <reference field="1" count="1" selected="0">
            <x v="9"/>
          </reference>
        </references>
      </pivotArea>
    </chartFormat>
    <chartFormat chart="1" format="50">
      <pivotArea type="data" outline="0" fieldPosition="0">
        <references count="2">
          <reference field="4294967294" count="1" selected="0">
            <x v="0"/>
          </reference>
          <reference field="1" count="1" selected="0">
            <x v="2"/>
          </reference>
        </references>
      </pivotArea>
    </chartFormat>
    <chartFormat chart="1" format="51">
      <pivotArea type="data" outline="0" fieldPosition="0">
        <references count="2">
          <reference field="4294967294" count="1" selected="0">
            <x v="0"/>
          </reference>
          <reference field="1" count="1" selected="0">
            <x v="11"/>
          </reference>
        </references>
      </pivotArea>
    </chartFormat>
    <chartFormat chart="1" format="52">
      <pivotArea type="data" outline="0" fieldPosition="0">
        <references count="2">
          <reference field="4294967294" count="1" selected="0">
            <x v="0"/>
          </reference>
          <reference field="1" count="1" selected="0">
            <x v="1"/>
          </reference>
        </references>
      </pivotArea>
    </chartFormat>
    <chartFormat chart="1" format="53">
      <pivotArea type="data" outline="0" fieldPosition="0">
        <references count="2">
          <reference field="4294967294" count="1" selected="0">
            <x v="0"/>
          </reference>
          <reference field="1" count="1" selected="0">
            <x v="13"/>
          </reference>
        </references>
      </pivotArea>
    </chartFormat>
    <chartFormat chart="1" format="54">
      <pivotArea type="data" outline="0" fieldPosition="0">
        <references count="2">
          <reference field="4294967294" count="1" selected="0">
            <x v="0"/>
          </reference>
          <reference field="1" count="1" selected="0">
            <x v="12"/>
          </reference>
        </references>
      </pivotArea>
    </chartFormat>
    <chartFormat chart="1" format="55">
      <pivotArea type="data" outline="0" fieldPosition="0">
        <references count="2">
          <reference field="4294967294" count="1" selected="0">
            <x v="0"/>
          </reference>
          <reference field="1" count="1" selected="0">
            <x v="5"/>
          </reference>
        </references>
      </pivotArea>
    </chartFormat>
    <chartFormat chart="1" format="56">
      <pivotArea type="data" outline="0" fieldPosition="0">
        <references count="2">
          <reference field="4294967294" count="1" selected="0">
            <x v="0"/>
          </reference>
          <reference field="1" count="1" selected="0">
            <x v="3"/>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SCORE"/>
    <pivotHierarchy dragToData="1"/>
    <pivotHierarchy dragToData="1" caption="Average of Top 4"/>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filters count="1">
    <filter fld="1" type="count" id="13" iMeasureHier="34">
      <autoFilter ref="A1">
        <filterColumn colId="0">
          <top10 val="4" filterVal="4"/>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us Sustainability Dashboard Template.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B10B6F-F995-45A9-B4FC-A48443414F7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6:O18" firstHeaderRow="0" firstDataRow="1" firstDataCol="1"/>
  <pivotFields count="8">
    <pivotField axis="axisRow" showAll="0">
      <items count="12">
        <item x="4"/>
        <item x="9"/>
        <item x="6"/>
        <item x="8"/>
        <item x="1"/>
        <item x="7"/>
        <item x="5"/>
        <item x="0"/>
        <item x="2"/>
        <item x="3"/>
        <item x="10"/>
        <item t="default"/>
      </items>
    </pivotField>
    <pivotField numFmtId="164" showAll="0"/>
    <pivotField showAll="0"/>
    <pivotField showAll="0"/>
    <pivotField dataField="1" numFmtId="164" showAll="0"/>
    <pivotField showAll="0"/>
    <pivotField numFmtId="164" showAll="0"/>
    <pivotField numFmtId="164" showAl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Sum of SCORE" fld="4" baseField="0" baseItem="0"/>
    <dataField name="Sum of SCORE2" fld="4"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05EF06-9465-44FF-9811-5923A30E689C}" name="Campus_PT" cacheId="15" applyNumberFormats="0" applyBorderFormats="0" applyFontFormats="0" applyPatternFormats="0" applyAlignmentFormats="0" applyWidthHeightFormats="1" dataCaption="Values" tag="107680b5-298f-41e8-ac77-d2746d3a41cb" updatedVersion="8" minRefreshableVersion="3" useAutoFormatting="1" subtotalHiddenItems="1" itemPrintTitles="1" createdVersion="8" indent="0" outline="1" outlineData="1" multipleFieldFilters="0" chartFormat="30">
  <location ref="I6:J18" firstHeaderRow="1" firstDataRow="1" firstDataCol="1"/>
  <pivotFields count="3">
    <pivotField axis="axisRow" allDrilled="1" subtotalTop="0" showAll="0" sortType="ascending" dataSourceSort="1"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10"/>
    </i>
    <i>
      <x v="9"/>
    </i>
    <i>
      <x v="6"/>
    </i>
    <i>
      <x v="5"/>
    </i>
    <i>
      <x v="2"/>
    </i>
    <i>
      <x v="3"/>
    </i>
    <i>
      <x v="4"/>
    </i>
    <i>
      <x v="1"/>
    </i>
    <i>
      <x v="7"/>
    </i>
    <i>
      <x/>
    </i>
    <i>
      <x v="8"/>
    </i>
    <i t="grand">
      <x/>
    </i>
  </rowItems>
  <colItems count="1">
    <i/>
  </colItems>
  <dataFields count="1">
    <dataField name="Average of SCORE" fld="1" subtotal="average" baseField="0" baseItem="0" numFmtId="167"/>
  </dataFields>
  <formats count="2">
    <format dxfId="18">
      <pivotArea outline="0" collapsedLevelsAreSubtotals="1" fieldPosition="0"/>
    </format>
    <format dxfId="17">
      <pivotArea dataOnly="0" labelOnly="1" outline="0" axis="axisValues" fieldPosition="0"/>
    </format>
  </formats>
  <chartFormats count="25">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0" count="1" selected="0">
            <x v="10"/>
          </reference>
        </references>
      </pivotArea>
    </chartFormat>
    <chartFormat chart="13" format="15">
      <pivotArea type="data" outline="0" fieldPosition="0">
        <references count="2">
          <reference field="4294967294" count="1" selected="0">
            <x v="0"/>
          </reference>
          <reference field="0" count="1" selected="0">
            <x v="9"/>
          </reference>
        </references>
      </pivotArea>
    </chartFormat>
    <chartFormat chart="13" format="16">
      <pivotArea type="data" outline="0" fieldPosition="0">
        <references count="2">
          <reference field="4294967294" count="1" selected="0">
            <x v="0"/>
          </reference>
          <reference field="0" count="1" selected="0">
            <x v="6"/>
          </reference>
        </references>
      </pivotArea>
    </chartFormat>
    <chartFormat chart="13" format="17">
      <pivotArea type="data" outline="0" fieldPosition="0">
        <references count="2">
          <reference field="4294967294" count="1" selected="0">
            <x v="0"/>
          </reference>
          <reference field="0" count="1" selected="0">
            <x v="5"/>
          </reference>
        </references>
      </pivotArea>
    </chartFormat>
    <chartFormat chart="13" format="18">
      <pivotArea type="data" outline="0" fieldPosition="0">
        <references count="2">
          <reference field="4294967294" count="1" selected="0">
            <x v="0"/>
          </reference>
          <reference field="0" count="1" selected="0">
            <x v="2"/>
          </reference>
        </references>
      </pivotArea>
    </chartFormat>
    <chartFormat chart="13" format="19">
      <pivotArea type="data" outline="0" fieldPosition="0">
        <references count="2">
          <reference field="4294967294" count="1" selected="0">
            <x v="0"/>
          </reference>
          <reference field="0" count="1" selected="0">
            <x v="3"/>
          </reference>
        </references>
      </pivotArea>
    </chartFormat>
    <chartFormat chart="13" format="20">
      <pivotArea type="data" outline="0" fieldPosition="0">
        <references count="2">
          <reference field="4294967294" count="1" selected="0">
            <x v="0"/>
          </reference>
          <reference field="0" count="1" selected="0">
            <x v="4"/>
          </reference>
        </references>
      </pivotArea>
    </chartFormat>
    <chartFormat chart="13" format="21">
      <pivotArea type="data" outline="0" fieldPosition="0">
        <references count="2">
          <reference field="4294967294" count="1" selected="0">
            <x v="0"/>
          </reference>
          <reference field="0" count="1" selected="0">
            <x v="1"/>
          </reference>
        </references>
      </pivotArea>
    </chartFormat>
    <chartFormat chart="13" format="22">
      <pivotArea type="data" outline="0" fieldPosition="0">
        <references count="2">
          <reference field="4294967294" count="1" selected="0">
            <x v="0"/>
          </reference>
          <reference field="0" count="1" selected="0">
            <x v="7"/>
          </reference>
        </references>
      </pivotArea>
    </chartFormat>
    <chartFormat chart="13" format="23">
      <pivotArea type="data" outline="0" fieldPosition="0">
        <references count="2">
          <reference field="4294967294" count="1" selected="0">
            <x v="0"/>
          </reference>
          <reference field="0" count="1" selected="0">
            <x v="0"/>
          </reference>
        </references>
      </pivotArea>
    </chartFormat>
    <chartFormat chart="13" format="24">
      <pivotArea type="data" outline="0" fieldPosition="0">
        <references count="2">
          <reference field="4294967294" count="1" selected="0">
            <x v="0"/>
          </reference>
          <reference field="0" count="1" selected="0">
            <x v="8"/>
          </reference>
        </references>
      </pivotArea>
    </chartFormat>
    <chartFormat chart="1" format="2" series="1">
      <pivotArea type="data" outline="0" fieldPosition="0">
        <references count="1">
          <reference field="4294967294" count="1" selected="0">
            <x v="0"/>
          </reference>
        </references>
      </pivotArea>
    </chartFormat>
    <chartFormat chart="15" format="109" series="1">
      <pivotArea type="data" outline="0" fieldPosition="0">
        <references count="1">
          <reference field="4294967294" count="1" selected="0">
            <x v="0"/>
          </reference>
        </references>
      </pivotArea>
    </chartFormat>
    <chartFormat chart="15" format="110">
      <pivotArea type="data" outline="0" fieldPosition="0">
        <references count="2">
          <reference field="4294967294" count="1" selected="0">
            <x v="0"/>
          </reference>
          <reference field="0" count="1" selected="0">
            <x v="10"/>
          </reference>
        </references>
      </pivotArea>
    </chartFormat>
    <chartFormat chart="15" format="111">
      <pivotArea type="data" outline="0" fieldPosition="0">
        <references count="2">
          <reference field="4294967294" count="1" selected="0">
            <x v="0"/>
          </reference>
          <reference field="0" count="1" selected="0">
            <x v="9"/>
          </reference>
        </references>
      </pivotArea>
    </chartFormat>
    <chartFormat chart="15" format="112">
      <pivotArea type="data" outline="0" fieldPosition="0">
        <references count="2">
          <reference field="4294967294" count="1" selected="0">
            <x v="0"/>
          </reference>
          <reference field="0" count="1" selected="0">
            <x v="6"/>
          </reference>
        </references>
      </pivotArea>
    </chartFormat>
    <chartFormat chart="15" format="113">
      <pivotArea type="data" outline="0" fieldPosition="0">
        <references count="2">
          <reference field="4294967294" count="1" selected="0">
            <x v="0"/>
          </reference>
          <reference field="0" count="1" selected="0">
            <x v="5"/>
          </reference>
        </references>
      </pivotArea>
    </chartFormat>
    <chartFormat chart="15" format="114">
      <pivotArea type="data" outline="0" fieldPosition="0">
        <references count="2">
          <reference field="4294967294" count="1" selected="0">
            <x v="0"/>
          </reference>
          <reference field="0" count="1" selected="0">
            <x v="2"/>
          </reference>
        </references>
      </pivotArea>
    </chartFormat>
    <chartFormat chart="15" format="115">
      <pivotArea type="data" outline="0" fieldPosition="0">
        <references count="2">
          <reference field="4294967294" count="1" selected="0">
            <x v="0"/>
          </reference>
          <reference field="0" count="1" selected="0">
            <x v="3"/>
          </reference>
        </references>
      </pivotArea>
    </chartFormat>
    <chartFormat chart="15" format="116">
      <pivotArea type="data" outline="0" fieldPosition="0">
        <references count="2">
          <reference field="4294967294" count="1" selected="0">
            <x v="0"/>
          </reference>
          <reference field="0" count="1" selected="0">
            <x v="4"/>
          </reference>
        </references>
      </pivotArea>
    </chartFormat>
    <chartFormat chart="15" format="117">
      <pivotArea type="data" outline="0" fieldPosition="0">
        <references count="2">
          <reference field="4294967294" count="1" selected="0">
            <x v="0"/>
          </reference>
          <reference field="0" count="1" selected="0">
            <x v="1"/>
          </reference>
        </references>
      </pivotArea>
    </chartFormat>
    <chartFormat chart="15" format="118">
      <pivotArea type="data" outline="0" fieldPosition="0">
        <references count="2">
          <reference field="4294967294" count="1" selected="0">
            <x v="0"/>
          </reference>
          <reference field="0" count="1" selected="0">
            <x v="7"/>
          </reference>
        </references>
      </pivotArea>
    </chartFormat>
    <chartFormat chart="15" format="119">
      <pivotArea type="data" outline="0" fieldPosition="0">
        <references count="2">
          <reference field="4294967294" count="1" selected="0">
            <x v="0"/>
          </reference>
          <reference field="0" count="1" selected="0">
            <x v="0"/>
          </reference>
        </references>
      </pivotArea>
    </chartFormat>
    <chartFormat chart="15" format="120">
      <pivotArea type="data" outline="0" fieldPosition="0">
        <references count="2">
          <reference field="4294967294" count="1" selected="0">
            <x v="0"/>
          </reference>
          <reference field="0" count="1" selected="0">
            <x v="8"/>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SCOR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us Sustainability Dashboard Template.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63BCE6-A4B0-4384-8233-EE0DE595AE1B}"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2:B2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Count of Target" fld="0" subtotal="count" baseField="0" baseItem="0"/>
    <dataField name="Average of SCORE" fld="1"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SCORE"/>
    <pivotHierarchy dragToData="1"/>
    <pivotHierarchy dragToData="1"/>
    <pivotHierarchy dragToData="1"/>
    <pivotHierarchy dragToData="1"/>
    <pivotHierarchy dragToData="1" caption="Average of Target"/>
    <pivotHierarchy dragToData="1"/>
    <pivotHierarchy dragToData="1" caption="Count of Target"/>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us Sustainability Dashboard Template.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162007-11BE-4715-B762-5EEEF4AB48A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9:B32" firstHeaderRow="1" firstDataRow="1" firstDataCol="1"/>
  <pivotFields count="3">
    <pivotField axis="axisRow" showAll="0">
      <items count="3">
        <item x="0"/>
        <item x="1"/>
        <item t="default"/>
      </items>
    </pivotField>
    <pivotField dataField="1" numFmtId="43" showAll="0"/>
    <pivotField showAll="0"/>
  </pivotFields>
  <rowFields count="1">
    <field x="0"/>
  </rowFields>
  <rowItems count="3">
    <i>
      <x/>
    </i>
    <i>
      <x v="1"/>
    </i>
    <i t="grand">
      <x/>
    </i>
  </rowItems>
  <colItems count="1">
    <i/>
  </colItems>
  <dataFields count="1">
    <dataField name="Sum of SDG Score" fld="1" baseField="0" baseItem="0"/>
  </dataFields>
  <chartFormats count="3">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F4EFE3-8BCC-4F7C-B3DB-6A91E566F5B1}" name="SDG_PT" cacheId="25" applyNumberFormats="0" applyBorderFormats="0" applyFontFormats="0" applyPatternFormats="0" applyAlignmentFormats="0" applyWidthHeightFormats="1" dataCaption="Values" tag="79b445fe-3462-450b-a7a6-a5a77df5b62a" updatedVersion="8" minRefreshableVersion="3" subtotalHiddenItems="1" itemPrintTitles="1" createdVersion="8" indent="0" outline="1" outlineData="1" multipleFieldFilters="0" chartFormat="9">
  <location ref="E6:F24" firstHeaderRow="1" firstDataRow="1" firstDataCol="1"/>
  <pivotFields count="3">
    <pivotField axis="axisRow" allDrilled="1" subtotalTop="0" showAll="0"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Average of SCORE" fld="1" subtotal="average" baseField="0" baseItem="1854233080" numFmtId="167"/>
  </dataFields>
  <formats count="3">
    <format dxfId="21">
      <pivotArea outline="0" collapsedLevelsAreSubtotals="1" fieldPosition="0"/>
    </format>
    <format dxfId="20">
      <pivotArea dataOnly="0" labelOnly="1" outline="0" axis="axisValues" fieldPosition="0"/>
    </format>
    <format dxfId="19">
      <pivotArea outline="0" fieldPosition="0">
        <references count="1">
          <reference field="4294967294" count="1">
            <x v="0"/>
          </reference>
        </references>
      </pivotArea>
    </format>
  </formats>
  <chartFormats count="70">
    <chartFormat chart="1" format="1"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 chart="1" format="20">
      <pivotArea type="data" outline="0" fieldPosition="0">
        <references count="2">
          <reference field="4294967294" count="1" selected="0">
            <x v="0"/>
          </reference>
          <reference field="0" count="1" selected="0">
            <x v="1048832"/>
          </reference>
        </references>
      </pivotArea>
    </chartFormat>
    <chartFormat chart="1" format="21">
      <pivotArea type="data" outline="0" fieldPosition="0">
        <references count="2">
          <reference field="4294967294" count="1" selected="0">
            <x v="0"/>
          </reference>
          <reference field="0" count="1" selected="0">
            <x v="1048832"/>
          </reference>
        </references>
      </pivotArea>
    </chartFormat>
    <chartFormat chart="1" format="22">
      <pivotArea type="data" outline="0" fieldPosition="0">
        <references count="2">
          <reference field="4294967294" count="1" selected="0">
            <x v="0"/>
          </reference>
          <reference field="0" count="1" selected="0">
            <x v="1048832"/>
          </reference>
        </references>
      </pivotArea>
    </chartFormat>
    <chartFormat chart="1" format="23">
      <pivotArea type="data" outline="0" fieldPosition="0">
        <references count="2">
          <reference field="4294967294" count="1" selected="0">
            <x v="0"/>
          </reference>
          <reference field="0" count="1" selected="0">
            <x v="1048832"/>
          </reference>
        </references>
      </pivotArea>
    </chartFormat>
    <chartFormat chart="1" format="24">
      <pivotArea type="data" outline="0" fieldPosition="0">
        <references count="2">
          <reference field="4294967294" count="1" selected="0">
            <x v="0"/>
          </reference>
          <reference field="0" count="1" selected="0">
            <x v="1048832"/>
          </reference>
        </references>
      </pivotArea>
    </chartFormat>
    <chartFormat chart="1" format="25">
      <pivotArea type="data" outline="0" fieldPosition="0">
        <references count="2">
          <reference field="4294967294" count="1" selected="0">
            <x v="0"/>
          </reference>
          <reference field="0" count="1" selected="0">
            <x v="1048832"/>
          </reference>
        </references>
      </pivotArea>
    </chartFormat>
    <chartFormat chart="1" format="26">
      <pivotArea type="data" outline="0" fieldPosition="0">
        <references count="2">
          <reference field="4294967294" count="1" selected="0">
            <x v="0"/>
          </reference>
          <reference field="0" count="1" selected="0">
            <x v="1048832"/>
          </reference>
        </references>
      </pivotArea>
    </chartFormat>
    <chartFormat chart="1" format="27">
      <pivotArea type="data" outline="0" fieldPosition="0">
        <references count="2">
          <reference field="4294967294" count="1" selected="0">
            <x v="0"/>
          </reference>
          <reference field="0" count="1" selected="0">
            <x v="1048832"/>
          </reference>
        </references>
      </pivotArea>
    </chartFormat>
    <chartFormat chart="1" format="28">
      <pivotArea type="data" outline="0" fieldPosition="0">
        <references count="2">
          <reference field="4294967294" count="1" selected="0">
            <x v="0"/>
          </reference>
          <reference field="0" count="1" selected="0">
            <x v="1048832"/>
          </reference>
        </references>
      </pivotArea>
    </chartFormat>
    <chartFormat chart="1" format="29">
      <pivotArea type="data" outline="0" fieldPosition="0">
        <references count="2">
          <reference field="4294967294" count="1" selected="0">
            <x v="0"/>
          </reference>
          <reference field="0" count="1" selected="0">
            <x v="1048832"/>
          </reference>
        </references>
      </pivotArea>
    </chartFormat>
    <chartFormat chart="1" format="30">
      <pivotArea type="data" outline="0" fieldPosition="0">
        <references count="2">
          <reference field="4294967294" count="1" selected="0">
            <x v="0"/>
          </reference>
          <reference field="0" count="1" selected="0">
            <x v="1048832"/>
          </reference>
        </references>
      </pivotArea>
    </chartFormat>
    <chartFormat chart="1" format="31">
      <pivotArea type="data" outline="0" fieldPosition="0">
        <references count="2">
          <reference field="4294967294" count="1" selected="0">
            <x v="0"/>
          </reference>
          <reference field="0" count="1" selected="0">
            <x v="1048832"/>
          </reference>
        </references>
      </pivotArea>
    </chartFormat>
    <chartFormat chart="1" format="32">
      <pivotArea type="data" outline="0" fieldPosition="0">
        <references count="2">
          <reference field="4294967294" count="1" selected="0">
            <x v="0"/>
          </reference>
          <reference field="0" count="1" selected="0">
            <x v="1048832"/>
          </reference>
        </references>
      </pivotArea>
    </chartFormat>
    <chartFormat chart="1" format="33">
      <pivotArea type="data" outline="0" fieldPosition="0">
        <references count="2">
          <reference field="4294967294" count="1" selected="0">
            <x v="0"/>
          </reference>
          <reference field="0" count="1" selected="0">
            <x v="1048832"/>
          </reference>
        </references>
      </pivotArea>
    </chartFormat>
    <chartFormat chart="1" format="34">
      <pivotArea type="data" outline="0" fieldPosition="0">
        <references count="2">
          <reference field="4294967294" count="1" selected="0">
            <x v="0"/>
          </reference>
          <reference field="0" count="1" selected="0">
            <x v="1048832"/>
          </reference>
        </references>
      </pivotArea>
    </chartFormat>
    <chartFormat chart="1" format="35">
      <pivotArea type="data" outline="0" fieldPosition="0">
        <references count="2">
          <reference field="4294967294" count="1" selected="0">
            <x v="0"/>
          </reference>
          <reference field="0" count="1" selected="0">
            <x v="1048832"/>
          </reference>
        </references>
      </pivotArea>
    </chartFormat>
    <chartFormat chart="1" format="36">
      <pivotArea type="data" outline="0" fieldPosition="0">
        <references count="2">
          <reference field="4294967294" count="1" selected="0">
            <x v="0"/>
          </reference>
          <reference field="0" count="1" selected="0">
            <x v="1048832"/>
          </reference>
        </references>
      </pivotArea>
    </chartFormat>
    <chartFormat chart="8" format="37">
      <pivotArea type="data" outline="0" fieldPosition="0">
        <references count="2">
          <reference field="4294967294" count="1" selected="0">
            <x v="0"/>
          </reference>
          <reference field="0" count="1" selected="0">
            <x v="1048832"/>
          </reference>
        </references>
      </pivotArea>
    </chartFormat>
    <chartFormat chart="8" format="38">
      <pivotArea type="data" outline="0" fieldPosition="0">
        <references count="2">
          <reference field="4294967294" count="1" selected="0">
            <x v="0"/>
          </reference>
          <reference field="0" count="1" selected="0">
            <x v="1048832"/>
          </reference>
        </references>
      </pivotArea>
    </chartFormat>
    <chartFormat chart="8" format="39">
      <pivotArea type="data" outline="0" fieldPosition="0">
        <references count="2">
          <reference field="4294967294" count="1" selected="0">
            <x v="0"/>
          </reference>
          <reference field="0" count="1" selected="0">
            <x v="1048832"/>
          </reference>
        </references>
      </pivotArea>
    </chartFormat>
    <chartFormat chart="8" format="40">
      <pivotArea type="data" outline="0" fieldPosition="0">
        <references count="2">
          <reference field="4294967294" count="1" selected="0">
            <x v="0"/>
          </reference>
          <reference field="0" count="1" selected="0">
            <x v="1048832"/>
          </reference>
        </references>
      </pivotArea>
    </chartFormat>
    <chartFormat chart="8" format="41">
      <pivotArea type="data" outline="0" fieldPosition="0">
        <references count="2">
          <reference field="4294967294" count="1" selected="0">
            <x v="0"/>
          </reference>
          <reference field="0" count="1" selected="0">
            <x v="1048832"/>
          </reference>
        </references>
      </pivotArea>
    </chartFormat>
    <chartFormat chart="8" format="42">
      <pivotArea type="data" outline="0" fieldPosition="0">
        <references count="2">
          <reference field="4294967294" count="1" selected="0">
            <x v="0"/>
          </reference>
          <reference field="0" count="1" selected="0">
            <x v="1048832"/>
          </reference>
        </references>
      </pivotArea>
    </chartFormat>
    <chartFormat chart="8" format="43">
      <pivotArea type="data" outline="0" fieldPosition="0">
        <references count="2">
          <reference field="4294967294" count="1" selected="0">
            <x v="0"/>
          </reference>
          <reference field="0" count="1" selected="0">
            <x v="1048832"/>
          </reference>
        </references>
      </pivotArea>
    </chartFormat>
    <chartFormat chart="8" format="44">
      <pivotArea type="data" outline="0" fieldPosition="0">
        <references count="2">
          <reference field="4294967294" count="1" selected="0">
            <x v="0"/>
          </reference>
          <reference field="0" count="1" selected="0">
            <x v="1048832"/>
          </reference>
        </references>
      </pivotArea>
    </chartFormat>
    <chartFormat chart="8" format="45">
      <pivotArea type="data" outline="0" fieldPosition="0">
        <references count="2">
          <reference field="4294967294" count="1" selected="0">
            <x v="0"/>
          </reference>
          <reference field="0" count="1" selected="0">
            <x v="1048832"/>
          </reference>
        </references>
      </pivotArea>
    </chartFormat>
    <chartFormat chart="8" format="46">
      <pivotArea type="data" outline="0" fieldPosition="0">
        <references count="2">
          <reference field="4294967294" count="1" selected="0">
            <x v="0"/>
          </reference>
          <reference field="0" count="1" selected="0">
            <x v="1048832"/>
          </reference>
        </references>
      </pivotArea>
    </chartFormat>
    <chartFormat chart="8" format="47">
      <pivotArea type="data" outline="0" fieldPosition="0">
        <references count="2">
          <reference field="4294967294" count="1" selected="0">
            <x v="0"/>
          </reference>
          <reference field="0" count="1" selected="0">
            <x v="1048832"/>
          </reference>
        </references>
      </pivotArea>
    </chartFormat>
    <chartFormat chart="8" format="48">
      <pivotArea type="data" outline="0" fieldPosition="0">
        <references count="2">
          <reference field="4294967294" count="1" selected="0">
            <x v="0"/>
          </reference>
          <reference field="0" count="1" selected="0">
            <x v="1048832"/>
          </reference>
        </references>
      </pivotArea>
    </chartFormat>
    <chartFormat chart="8" format="49">
      <pivotArea type="data" outline="0" fieldPosition="0">
        <references count="2">
          <reference field="4294967294" count="1" selected="0">
            <x v="0"/>
          </reference>
          <reference field="0" count="1" selected="0">
            <x v="1048832"/>
          </reference>
        </references>
      </pivotArea>
    </chartFormat>
    <chartFormat chart="8" format="50">
      <pivotArea type="data" outline="0" fieldPosition="0">
        <references count="2">
          <reference field="4294967294" count="1" selected="0">
            <x v="0"/>
          </reference>
          <reference field="0" count="1" selected="0">
            <x v="1048832"/>
          </reference>
        </references>
      </pivotArea>
    </chartFormat>
    <chartFormat chart="8" format="51">
      <pivotArea type="data" outline="0" fieldPosition="0">
        <references count="2">
          <reference field="4294967294" count="1" selected="0">
            <x v="0"/>
          </reference>
          <reference field="0" count="1" selected="0">
            <x v="1048832"/>
          </reference>
        </references>
      </pivotArea>
    </chartFormat>
    <chartFormat chart="8" format="52">
      <pivotArea type="data" outline="0" fieldPosition="0">
        <references count="2">
          <reference field="4294967294" count="1" selected="0">
            <x v="0"/>
          </reference>
          <reference field="0" count="1" selected="0">
            <x v="1048832"/>
          </reference>
        </references>
      </pivotArea>
    </chartFormat>
    <chartFormat chart="8" format="53">
      <pivotArea type="data" outline="0" fieldPosition="0">
        <references count="2">
          <reference field="4294967294" count="1" selected="0">
            <x v="0"/>
          </reference>
          <reference field="0" count="1" selected="0">
            <x v="1048832"/>
          </reference>
        </references>
      </pivotArea>
    </chartFormat>
    <chartFormat chart="1" format="37">
      <pivotArea type="data" outline="0" fieldPosition="0">
        <references count="2">
          <reference field="4294967294" count="1" selected="0">
            <x v="0"/>
          </reference>
          <reference field="0" count="1" selected="0">
            <x v="0"/>
          </reference>
        </references>
      </pivotArea>
    </chartFormat>
    <chartFormat chart="1" format="38">
      <pivotArea type="data" outline="0" fieldPosition="0">
        <references count="2">
          <reference field="4294967294" count="1" selected="0">
            <x v="0"/>
          </reference>
          <reference field="0" count="1" selected="0">
            <x v="1"/>
          </reference>
        </references>
      </pivotArea>
    </chartFormat>
    <chartFormat chart="1" format="39">
      <pivotArea type="data" outline="0" fieldPosition="0">
        <references count="2">
          <reference field="4294967294" count="1" selected="0">
            <x v="0"/>
          </reference>
          <reference field="0" count="1" selected="0">
            <x v="2"/>
          </reference>
        </references>
      </pivotArea>
    </chartFormat>
    <chartFormat chart="1" format="40">
      <pivotArea type="data" outline="0" fieldPosition="0">
        <references count="2">
          <reference field="4294967294" count="1" selected="0">
            <x v="0"/>
          </reference>
          <reference field="0" count="1" selected="0">
            <x v="3"/>
          </reference>
        </references>
      </pivotArea>
    </chartFormat>
    <chartFormat chart="1" format="41">
      <pivotArea type="data" outline="0" fieldPosition="0">
        <references count="2">
          <reference field="4294967294" count="1" selected="0">
            <x v="0"/>
          </reference>
          <reference field="0" count="1" selected="0">
            <x v="4"/>
          </reference>
        </references>
      </pivotArea>
    </chartFormat>
    <chartFormat chart="1" format="42">
      <pivotArea type="data" outline="0" fieldPosition="0">
        <references count="2">
          <reference field="4294967294" count="1" selected="0">
            <x v="0"/>
          </reference>
          <reference field="0" count="1" selected="0">
            <x v="5"/>
          </reference>
        </references>
      </pivotArea>
    </chartFormat>
    <chartFormat chart="1" format="43">
      <pivotArea type="data" outline="0" fieldPosition="0">
        <references count="2">
          <reference field="4294967294" count="1" selected="0">
            <x v="0"/>
          </reference>
          <reference field="0" count="1" selected="0">
            <x v="6"/>
          </reference>
        </references>
      </pivotArea>
    </chartFormat>
    <chartFormat chart="1" format="44">
      <pivotArea type="data" outline="0" fieldPosition="0">
        <references count="2">
          <reference field="4294967294" count="1" selected="0">
            <x v="0"/>
          </reference>
          <reference field="0" count="1" selected="0">
            <x v="7"/>
          </reference>
        </references>
      </pivotArea>
    </chartFormat>
    <chartFormat chart="1" format="45">
      <pivotArea type="data" outline="0" fieldPosition="0">
        <references count="2">
          <reference field="4294967294" count="1" selected="0">
            <x v="0"/>
          </reference>
          <reference field="0" count="1" selected="0">
            <x v="8"/>
          </reference>
        </references>
      </pivotArea>
    </chartFormat>
    <chartFormat chart="1" format="46">
      <pivotArea type="data" outline="0" fieldPosition="0">
        <references count="2">
          <reference field="4294967294" count="1" selected="0">
            <x v="0"/>
          </reference>
          <reference field="0" count="1" selected="0">
            <x v="9"/>
          </reference>
        </references>
      </pivotArea>
    </chartFormat>
    <chartFormat chart="1" format="47">
      <pivotArea type="data" outline="0" fieldPosition="0">
        <references count="2">
          <reference field="4294967294" count="1" selected="0">
            <x v="0"/>
          </reference>
          <reference field="0" count="1" selected="0">
            <x v="10"/>
          </reference>
        </references>
      </pivotArea>
    </chartFormat>
    <chartFormat chart="1" format="48">
      <pivotArea type="data" outline="0" fieldPosition="0">
        <references count="2">
          <reference field="4294967294" count="1" selected="0">
            <x v="0"/>
          </reference>
          <reference field="0" count="1" selected="0">
            <x v="11"/>
          </reference>
        </references>
      </pivotArea>
    </chartFormat>
    <chartFormat chart="1" format="49">
      <pivotArea type="data" outline="0" fieldPosition="0">
        <references count="2">
          <reference field="4294967294" count="1" selected="0">
            <x v="0"/>
          </reference>
          <reference field="0" count="1" selected="0">
            <x v="12"/>
          </reference>
        </references>
      </pivotArea>
    </chartFormat>
    <chartFormat chart="1" format="50">
      <pivotArea type="data" outline="0" fieldPosition="0">
        <references count="2">
          <reference field="4294967294" count="1" selected="0">
            <x v="0"/>
          </reference>
          <reference field="0" count="1" selected="0">
            <x v="13"/>
          </reference>
        </references>
      </pivotArea>
    </chartFormat>
    <chartFormat chart="1" format="51">
      <pivotArea type="data" outline="0" fieldPosition="0">
        <references count="2">
          <reference field="4294967294" count="1" selected="0">
            <x v="0"/>
          </reference>
          <reference field="0" count="1" selected="0">
            <x v="14"/>
          </reference>
        </references>
      </pivotArea>
    </chartFormat>
    <chartFormat chart="1" format="52">
      <pivotArea type="data" outline="0" fieldPosition="0">
        <references count="2">
          <reference field="4294967294" count="1" selected="0">
            <x v="0"/>
          </reference>
          <reference field="0" count="1" selected="0">
            <x v="15"/>
          </reference>
        </references>
      </pivotArea>
    </chartFormat>
    <chartFormat chart="1" format="53">
      <pivotArea type="data" outline="0" fieldPosition="0">
        <references count="2">
          <reference field="4294967294" count="1" selected="0">
            <x v="0"/>
          </reference>
          <reference field="0" count="1" selected="0">
            <x v="16"/>
          </reference>
        </references>
      </pivotArea>
    </chartFormat>
    <chartFormat chart="8" format="54">
      <pivotArea type="data" outline="0" fieldPosition="0">
        <references count="2">
          <reference field="4294967294" count="1" selected="0">
            <x v="0"/>
          </reference>
          <reference field="0" count="1" selected="0">
            <x v="0"/>
          </reference>
        </references>
      </pivotArea>
    </chartFormat>
    <chartFormat chart="8" format="55">
      <pivotArea type="data" outline="0" fieldPosition="0">
        <references count="2">
          <reference field="4294967294" count="1" selected="0">
            <x v="0"/>
          </reference>
          <reference field="0" count="1" selected="0">
            <x v="1"/>
          </reference>
        </references>
      </pivotArea>
    </chartFormat>
    <chartFormat chart="8" format="56">
      <pivotArea type="data" outline="0" fieldPosition="0">
        <references count="2">
          <reference field="4294967294" count="1" selected="0">
            <x v="0"/>
          </reference>
          <reference field="0" count="1" selected="0">
            <x v="2"/>
          </reference>
        </references>
      </pivotArea>
    </chartFormat>
    <chartFormat chart="8" format="57">
      <pivotArea type="data" outline="0" fieldPosition="0">
        <references count="2">
          <reference field="4294967294" count="1" selected="0">
            <x v="0"/>
          </reference>
          <reference field="0" count="1" selected="0">
            <x v="3"/>
          </reference>
        </references>
      </pivotArea>
    </chartFormat>
    <chartFormat chart="8" format="58">
      <pivotArea type="data" outline="0" fieldPosition="0">
        <references count="2">
          <reference field="4294967294" count="1" selected="0">
            <x v="0"/>
          </reference>
          <reference field="0" count="1" selected="0">
            <x v="4"/>
          </reference>
        </references>
      </pivotArea>
    </chartFormat>
    <chartFormat chart="8" format="59">
      <pivotArea type="data" outline="0" fieldPosition="0">
        <references count="2">
          <reference field="4294967294" count="1" selected="0">
            <x v="0"/>
          </reference>
          <reference field="0" count="1" selected="0">
            <x v="5"/>
          </reference>
        </references>
      </pivotArea>
    </chartFormat>
    <chartFormat chart="8" format="60">
      <pivotArea type="data" outline="0" fieldPosition="0">
        <references count="2">
          <reference field="4294967294" count="1" selected="0">
            <x v="0"/>
          </reference>
          <reference field="0" count="1" selected="0">
            <x v="6"/>
          </reference>
        </references>
      </pivotArea>
    </chartFormat>
    <chartFormat chart="8" format="61">
      <pivotArea type="data" outline="0" fieldPosition="0">
        <references count="2">
          <reference field="4294967294" count="1" selected="0">
            <x v="0"/>
          </reference>
          <reference field="0" count="1" selected="0">
            <x v="7"/>
          </reference>
        </references>
      </pivotArea>
    </chartFormat>
    <chartFormat chart="8" format="62">
      <pivotArea type="data" outline="0" fieldPosition="0">
        <references count="2">
          <reference field="4294967294" count="1" selected="0">
            <x v="0"/>
          </reference>
          <reference field="0" count="1" selected="0">
            <x v="8"/>
          </reference>
        </references>
      </pivotArea>
    </chartFormat>
    <chartFormat chart="8" format="63">
      <pivotArea type="data" outline="0" fieldPosition="0">
        <references count="2">
          <reference field="4294967294" count="1" selected="0">
            <x v="0"/>
          </reference>
          <reference field="0" count="1" selected="0">
            <x v="9"/>
          </reference>
        </references>
      </pivotArea>
    </chartFormat>
    <chartFormat chart="8" format="64">
      <pivotArea type="data" outline="0" fieldPosition="0">
        <references count="2">
          <reference field="4294967294" count="1" selected="0">
            <x v="0"/>
          </reference>
          <reference field="0" count="1" selected="0">
            <x v="10"/>
          </reference>
        </references>
      </pivotArea>
    </chartFormat>
    <chartFormat chart="8" format="65">
      <pivotArea type="data" outline="0" fieldPosition="0">
        <references count="2">
          <reference field="4294967294" count="1" selected="0">
            <x v="0"/>
          </reference>
          <reference field="0" count="1" selected="0">
            <x v="11"/>
          </reference>
        </references>
      </pivotArea>
    </chartFormat>
    <chartFormat chart="8" format="66">
      <pivotArea type="data" outline="0" fieldPosition="0">
        <references count="2">
          <reference field="4294967294" count="1" selected="0">
            <x v="0"/>
          </reference>
          <reference field="0" count="1" selected="0">
            <x v="12"/>
          </reference>
        </references>
      </pivotArea>
    </chartFormat>
    <chartFormat chart="8" format="67">
      <pivotArea type="data" outline="0" fieldPosition="0">
        <references count="2">
          <reference field="4294967294" count="1" selected="0">
            <x v="0"/>
          </reference>
          <reference field="0" count="1" selected="0">
            <x v="13"/>
          </reference>
        </references>
      </pivotArea>
    </chartFormat>
    <chartFormat chart="8" format="68">
      <pivotArea type="data" outline="0" fieldPosition="0">
        <references count="2">
          <reference field="4294967294" count="1" selected="0">
            <x v="0"/>
          </reference>
          <reference field="0" count="1" selected="0">
            <x v="14"/>
          </reference>
        </references>
      </pivotArea>
    </chartFormat>
    <chartFormat chart="8" format="69">
      <pivotArea type="data" outline="0" fieldPosition="0">
        <references count="2">
          <reference field="4294967294" count="1" selected="0">
            <x v="0"/>
          </reference>
          <reference field="0" count="1" selected="0">
            <x v="15"/>
          </reference>
        </references>
      </pivotArea>
    </chartFormat>
    <chartFormat chart="8" format="70">
      <pivotArea type="data" outline="0" fieldPosition="0">
        <references count="2">
          <reference field="4294967294" count="1" selected="0">
            <x v="0"/>
          </reference>
          <reference field="0" count="1" selected="0">
            <x v="16"/>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SCOR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us Sustainability Dashboard Template.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18B7F5-39C8-4DD7-B017-72803993225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3:B61" firstHeaderRow="1" firstDataRow="1" firstDataCol="1"/>
  <pivotFields count="3">
    <pivotField axis="axisRow" showAll="0">
      <items count="18">
        <item x="0"/>
        <item x="1"/>
        <item x="2"/>
        <item x="3"/>
        <item x="4"/>
        <item x="5"/>
        <item x="6"/>
        <item x="7"/>
        <item x="8"/>
        <item x="9"/>
        <item x="10"/>
        <item x="11"/>
        <item x="12"/>
        <item x="13"/>
        <item x="14"/>
        <item x="15"/>
        <item x="16"/>
        <item t="default"/>
      </items>
    </pivotField>
    <pivotField showAll="0"/>
    <pivotField dataField="1" numFmtId="164"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SCORE"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us" xr10:uid="{1AB63EE3-CA0D-4516-B7C2-67B072076293}" sourceName="[Table6].[Campus]">
  <pivotTables>
    <pivotTable tabId="34" name="SDG_PT"/>
    <pivotTable tabId="34" name="PivotTable4"/>
  </pivotTables>
  <data>
    <olap pivotCacheId="38819008">
      <levels count="2">
        <level uniqueName="[Table6].[Campus].[(All)]" sourceCaption="(All)" count="0"/>
        <level uniqueName="[Table6].[Campus].[Campus]" sourceCaption="Campus" count="11">
          <ranges>
            <range startItem="0">
              <i n="[Table6].[Campus].&amp;[Alangilan]" c="Alangilan"/>
              <i n="[Table6].[Campus].&amp;[ARASOF-Nasugbu]" c="ARASOF-Nasugbu"/>
              <i n="[Table6].[Campus].&amp;[Balayan]" c="Balayan"/>
              <i n="[Table6].[Campus].&amp;[JPLPC-Malvar]" c="JPLPC-Malvar"/>
              <i n="[Table6].[Campus].&amp;[Lemery]" c="Lemery"/>
              <i n="[Table6].[Campus].&amp;[Lipa]" c="Lipa"/>
              <i n="[Table6].[Campus].&amp;[Lobo]" c="Lobo"/>
              <i n="[Table6].[Campus].&amp;[Mabini]" c="Mabini"/>
              <i n="[Table6].[Campus].&amp;[Pablo Borbon]" c="Pablo Borbon"/>
              <i n="[Table6].[Campus].&amp;[Rosario]" c="Rosario"/>
              <i n="[Table6].[Campus].&amp;[San Juan]" c="San Juan"/>
            </range>
          </ranges>
        </level>
      </levels>
      <selections count="1">
        <selection n="[Table6].[Camp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DG" xr10:uid="{CE042298-43CD-4E7D-84ED-CDEF466C9DE6}" sourceName="[Table6].[SDG]">
  <pivotTables>
    <pivotTable tabId="34" name="Campus_PT"/>
  </pivotTables>
  <data>
    <olap pivotCacheId="301642620">
      <levels count="2">
        <level uniqueName="[Table6].[SDG].[(All)]" sourceCaption="(All)" count="0"/>
        <level uniqueName="[Table6].[SDG].[SDG]" sourceCaption="SDG" count="17">
          <ranges>
            <range startItem="0">
              <i n="[Table6].[SDG].&amp;[1]" c="1"/>
              <i n="[Table6].[SDG].&amp;[2]" c="2"/>
              <i n="[Table6].[SDG].&amp;[3]" c="3"/>
              <i n="[Table6].[SDG].&amp;[4]" c="4"/>
              <i n="[Table6].[SDG].&amp;[5]" c="5"/>
              <i n="[Table6].[SDG].&amp;[6]" c="6"/>
              <i n="[Table6].[SDG].&amp;[7]" c="7"/>
              <i n="[Table6].[SDG].&amp;[8]" c="8"/>
              <i n="[Table6].[SDG].&amp;[9]" c="9"/>
              <i n="[Table6].[SDG].&amp;[10]" c="10"/>
              <i n="[Table6].[SDG].&amp;[11]" c="11"/>
              <i n="[Table6].[SDG].&amp;[12]" c="12"/>
              <i n="[Table6].[SDG].&amp;[13]" c="13"/>
              <i n="[Table6].[SDG].&amp;[14]" c="14"/>
              <i n="[Table6].[SDG].&amp;[15]" c="15"/>
              <i n="[Table6].[SDG].&amp;[16]" c="16"/>
              <i n="[Table6].[SDG].&amp;[17]" c="17"/>
            </range>
          </ranges>
        </level>
      </levels>
      <selections count="1">
        <selection n="[Table6].[SD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us 2" xr10:uid="{21E56007-0293-46A4-817E-81F213595143}" cache="Slicer_Campus" caption="Campus" columnCount="6" level="1" style="SlicerStyleDark2" rowHeight="225425"/>
  <slicer name="SDG" xr10:uid="{69F9A559-9D89-47AB-9AAF-7F8181B7A58D}" cache="Slicer_SDG" caption="SDG" columnCount="9" level="1" style="SlicerStyleDark6"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us 1" xr10:uid="{9AF441F2-D0E8-4A09-831B-84A67709A86C}" cache="Slicer_Campus" caption="Campus" columnCount="2" level="1" style="SlicerStyleDark6" rowHeight="225425"/>
  <slicer name="Campus" xr10:uid="{8B90FD9B-F3D6-470D-9A18-233AA7999C27}" cache="Slicer_Campus" caption="Campus" level="1" style="SlicerStyleDark6" rowHeight="225425"/>
  <slicer name="SDG 1" xr10:uid="{31B823A4-1748-4A41-AFDA-A9ACEB07B93B}" cache="Slicer_SDG" caption="SDG" columnCount="5" level="1" style="SlicerStyleDark5"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A4A2DE-3F5D-4E49-928B-A5554D42E883}" name="Research_T" displayName="Research_T" ref="A2:J6" totalsRowShown="0" headerRowDxfId="59">
  <autoFilter ref="A2:J6" xr:uid="{82A4A2DE-3F5D-4E49-928B-A5554D42E883}"/>
  <tableColumns count="10">
    <tableColumn id="3" xr3:uid="{00CD2447-6E82-497B-9B80-D9E1D3FFB9B4}" name="Campus"/>
    <tableColumn id="1" xr3:uid="{4B148853-170A-498F-A16F-5D5A6EAD90E9}" name="SDG No."/>
    <tableColumn id="2" xr3:uid="{C4874ABE-8074-4D8D-A4CA-C6B7BF43E857}" name="SDG Name"/>
    <tableColumn id="10" xr3:uid="{792B00F5-40C7-4017-AB7F-9F166505A08A}" name="SDG No.2"/>
    <tableColumn id="4" xr3:uid="{862575C7-E867-42D5-BA42-094F0C8BFD25}" name="Indicator"/>
    <tableColumn id="5" xr3:uid="{DAA6BE01-42CB-4922-8950-99A57808F7E9}" name="Title of research"/>
    <tableColumn id="6" xr3:uid="{6579596D-7A9A-4313-882E-93751D102DCF}" name="Author"/>
    <tableColumn id="7" xr3:uid="{E72C02FB-FE03-4F63-9D6C-CED6D5765D0E}" name="Year of publication"/>
    <tableColumn id="8" xr3:uid="{09DCCE57-9CB6-483D-B5BC-CB54B55AEB74}" name="Total number of citations"/>
    <tableColumn id="9" xr3:uid="{E72F37C4-94B2-4D41-94E8-1CB05FBAEBBB}" name="Co-Authored with Low or Lower-middle income 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912E56-3EC5-4949-A03B-ED4011451809}" name="Scholarship_T" displayName="Scholarship_T" ref="A9:I49" totalsRowShown="0" headerRowDxfId="58" tableBorderDxfId="57">
  <autoFilter ref="A9:I49" xr:uid="{43912E56-3EC5-4949-A03B-ED4011451809}"/>
  <tableColumns count="9">
    <tableColumn id="1" xr3:uid="{0B224B1C-7F8D-4675-9854-D6D140AC4CBE}" name="Campus" dataDxfId="56"/>
    <tableColumn id="2" xr3:uid="{D6BD0D2C-FD36-46B6-80C8-ADCC67B6F5D3}" name="SDG No." dataDxfId="55"/>
    <tableColumn id="3" xr3:uid="{5D9D3B53-1778-4D93-A78F-2D47C9807EED}" name="SDG Name" dataDxfId="54"/>
    <tableColumn id="4" xr3:uid="{2D2A1020-FA01-42C2-BDB5-5330FEB84D7A}" name="SDG No.2" dataDxfId="53"/>
    <tableColumn id="5" xr3:uid="{5A4C71B3-7B6E-4766-A298-6FB83A938B71}" name="Indicator" dataDxfId="52"/>
    <tableColumn id="12" xr3:uid="{88843534-673C-4425-8101-E9452330B369}" name="Scholarship Type" dataDxfId="51"/>
    <tableColumn id="6" xr3:uid="{3292210C-B179-4924-ADCB-C2EFED5FAF75}" name="Year Level"/>
    <tableColumn id="11" xr3:uid="{D4B94FF5-206B-4484-9EA4-F40AC6B11124}" name="Sex" dataDxfId="50"/>
    <tableColumn id="10" xr3:uid="{F682957C-52C2-4223-8E03-478DA4431754}" name="C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D83577-75E5-410C-AF4C-55A6F8F1EA08}" name="LIS_Admission_T" displayName="LIS_Admission_T" ref="A53:J74" totalsRowCount="1" headerRowDxfId="49" dataDxfId="48" tableBorderDxfId="47">
  <tableColumns count="10">
    <tableColumn id="1" xr3:uid="{420C4836-5AB9-421F-B6CC-6B771A158532}" name="Campus" dataDxfId="46" totalsRowDxfId="45"/>
    <tableColumn id="2" xr3:uid="{A5EDBD97-7B7F-4CBE-9487-D9B2DC6FE7D5}" name="SDG No." dataDxfId="44" totalsRowDxfId="43"/>
    <tableColumn id="3" xr3:uid="{78E9A183-514C-47D9-AF38-A946C20FFE27}" name="SDG Name" dataDxfId="42" totalsRowDxfId="41"/>
    <tableColumn id="4" xr3:uid="{2ECAE1A6-90BA-44F7-BF6C-F51E7D3C08DC}" name="SDG No.2" dataDxfId="40" totalsRowDxfId="39"/>
    <tableColumn id="5" xr3:uid="{CAEEA604-E015-46B3-BA9A-4E1C3475C6BF}" name="Indicator" dataDxfId="38" totalsRowDxfId="37"/>
    <tableColumn id="6" xr3:uid="{2B70C937-D9BD-4D0F-8215-00538C6EA279}" name="Program" totalsRowDxfId="36"/>
    <tableColumn id="7" xr3:uid="{AC3ED732-ACAB-4106-B4FF-91F1757B55CB}" name="Sex" totalsRowDxfId="35"/>
    <tableColumn id="8" xr3:uid="{804982B2-D9DC-4C63-A48C-90D430031C00}" name="AdmittedStudents" totalsRowFunction="sum" dataDxfId="34" totalsRowDxfId="33"/>
    <tableColumn id="9" xr3:uid="{57B70F1B-3E2A-417C-A78A-C91DCDC85C0C}" name="Admitted_Low-IncomeStudents" totalsRowFunction="sum" dataDxfId="32" totalsRowDxfId="31"/>
    <tableColumn id="10" xr3:uid="{2B6977BD-008C-4352-A0C9-75A9201DB00A}" name="Admitted_Low-Income%" totalsRowFunction="custom" dataDxfId="30" totalsRowDxfId="29" dataCellStyle="Percent" totalsRowCellStyle="Percent">
      <calculatedColumnFormula>LIS_Admission_T[[#This Row],[Admitted_Low-IncomeStudents]]/LIS_Admission_T[[#This Row],[AdmittedStudents]]</calculatedColumnFormula>
      <totalsRowFormula>LIS_Admission_T[[#Totals],[Admitted_Low-IncomeStudents]]/LIS_Admission_T[[#Totals],[AdmittedStudents]]</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5E019C9-E600-439E-A0FC-71E2B109D2DA}" name="LI_Graduate" displayName="LI_Graduate" ref="A77:J98" totalsRowCount="1">
  <tableColumns count="10">
    <tableColumn id="1" xr3:uid="{C78410A4-9696-48C3-88F2-523AF76578B5}" name="Campus"/>
    <tableColumn id="2" xr3:uid="{912AEBE0-EAF2-4AB3-BEA7-C0FA247047BD}" name="SDG No."/>
    <tableColumn id="3" xr3:uid="{63DDAC42-219F-41AC-B634-AE6C75A8642A}" name="SDG Name"/>
    <tableColumn id="4" xr3:uid="{EB127B19-3067-400A-B28F-5D0E22551DC8}" name="SDG No.2"/>
    <tableColumn id="5" xr3:uid="{28CA8E09-3C35-4ACB-A834-7B25DBF508ED}" name="Indicator"/>
    <tableColumn id="6" xr3:uid="{DBD25BA9-B193-4D9F-95F4-6CA6EA6BDD97}" name="Program"/>
    <tableColumn id="7" xr3:uid="{FF7A4CE8-E65C-4179-9372-C281FFF9E0E3}" name="Sex"/>
    <tableColumn id="8" xr3:uid="{E999D87D-B2A1-4498-A82E-2753904F2C6C}" name="GraduateStudents" totalsRowFunction="sum" dataDxfId="28" totalsRowDxfId="27"/>
    <tableColumn id="9" xr3:uid="{3ACD3050-63D1-43AD-9A01-CA6706D2F820}" name="Graduated_Low-IncomeStudents" totalsRowFunction="sum" dataDxfId="26" totalsRowDxfId="25"/>
    <tableColumn id="10" xr3:uid="{1CC843C8-70BE-4C34-A7C3-674C80F88D7B}" name="Graduated_Low-Income%" totalsRowFunction="custom" totalsRowDxfId="24" dataCellStyle="Percent" totalsRowCellStyle="Percent">
      <calculatedColumnFormula>LI_Graduate[[#This Row],[Graduated_Low-IncomeStudents]]/LI_Graduate[[#This Row],[GraduateStudents]]</calculatedColumnFormula>
      <totalsRowFormula>LI_Graduate[[#Totals],[Graduated_Low-IncomeStudents]]/LI_Graduate[[#Totals],[GraduateStudents]]</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F958C0B-4697-4830-80CA-6C880C77BD91}" name="Table7" displayName="Table7" ref="A102:H103" totalsRowShown="0">
  <tableColumns count="8">
    <tableColumn id="1" xr3:uid="{9112A85C-F872-4F6B-9CF8-0F1C4B1177EB}" name="Campus"/>
    <tableColumn id="2" xr3:uid="{0577572C-F89D-4120-9252-BE6023431146}" name="SDG No."/>
    <tableColumn id="3" xr3:uid="{91601C16-5E69-43AE-BB40-0B5DE794E65E}" name="SDG Name"/>
    <tableColumn id="4" xr3:uid="{9E670EA2-9CB5-40A2-8801-3019CAE968E4}" name="SDG No.2"/>
    <tableColumn id="5" xr3:uid="{CA886819-F8B0-4425-830E-D8833442E5A0}" name="Indicator"/>
    <tableColumn id="6" xr3:uid="{2443359C-BB72-4B46-A55C-E282FEE124E3}" name="implemented_PPA"/>
    <tableColumn id="7" xr3:uid="{DFF2EBFA-CCD0-4894-88A0-3B430AD4EEB8}" name="Column1"/>
    <tableColumn id="8" xr3:uid="{4CBE80CD-6B21-4208-94C8-9DE328031061}" name="Column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F79550-9727-447C-AB27-C5FFFC7123D6}" name="Table3" displayName="Table3" ref="A1:H14" totalsRowShown="0" headerRowDxfId="23">
  <tableColumns count="8">
    <tableColumn id="1" xr3:uid="{EFBD7072-22C8-43A3-BAFF-49614C03757C}" name="SDG 1"/>
    <tableColumn id="2" xr3:uid="{ECC391E6-3DBC-45AD-BA30-E23CCFD9A509}" name="SDG Title"/>
    <tableColumn id="3" xr3:uid="{26DB61A6-FB3E-4849-BA46-263F7C4D979F}" name="SDG Section"/>
    <tableColumn id="8" xr3:uid="{A9CE3EE0-D78F-4F79-A631-BBBA9CFECCFE}" name="Column1"/>
    <tableColumn id="6" xr3:uid="{C80BE3C9-8902-4E6C-A64A-69DD0F23ABF3}" name="Content No."/>
    <tableColumn id="4" xr3:uid="{06C29F12-4D26-4FE9-9AAB-2C4ED510322F}" name="SDG Section Content"/>
    <tableColumn id="7" xr3:uid="{32EC1849-8BB0-4B86-9A3D-2BE748289C91}" name="TotalPointsSet"/>
    <tableColumn id="5" xr3:uid="{30E7ACBA-49E2-4000-BC63-26791259C7E0}" name="PointsGained (Score)" dataDxfId="22" dataCellStyle="Comma"/>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7AA8FE5-C4F3-4535-9A85-520EDB7D44DE}" name="Table6" displayName="Table6" ref="A1:H188" totalsRowShown="0" headerRowDxfId="14" dataDxfId="13">
  <tableColumns count="8">
    <tableColumn id="1" xr3:uid="{86EF7E61-65D5-4835-82C6-A1DF00298F0F}" name="Campus" dataDxfId="12"/>
    <tableColumn id="5" xr3:uid="{A4D5DB87-FDD8-45E2-A122-47330806E446}" name="SDG" dataDxfId="11" dataCellStyle="Comma"/>
    <tableColumn id="2" xr3:uid="{EDAB53B3-BD6B-4969-84B8-C08C0FD471CA}" name="SDG  " dataDxfId="10" dataCellStyle="Hyperlink"/>
    <tableColumn id="6" xr3:uid="{F08BE9D0-E3C1-41A2-8CBE-8BCCF58A4B5C}" name="SDG " dataDxfId="9"/>
    <tableColumn id="4" xr3:uid="{E770423A-2964-4929-8232-CBC6B95B5D50}" name="SCORE" dataDxfId="8"/>
    <tableColumn id="3" xr3:uid="{B36BFB25-7C0B-4327-A71B-4208E7AEDDCB}" name="INDICATOR" dataDxfId="7"/>
    <tableColumn id="7" xr3:uid="{D8949C8D-F57E-4209-AEC9-FA122CA54786}" name="Top 4" dataDxfId="6">
      <calculatedColumnFormula>IF(Table6[[#This Row],[SDG]]=17,Table6[[#This Row],[SCORE]]+100,Table6[[#This Row],[SCORE]])</calculatedColumnFormula>
    </tableColumn>
    <tableColumn id="8" xr3:uid="{643E765F-B0FC-4CB1-8BFB-35F5A573063C}" name="Target" dataDxfId="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B0F63-6616-46A3-A3A5-4FC4F3233288}">
  <dimension ref="A1:M103"/>
  <sheetViews>
    <sheetView topLeftCell="A25" workbookViewId="0">
      <selection activeCell="G118" sqref="G118"/>
    </sheetView>
  </sheetViews>
  <sheetFormatPr defaultRowHeight="15" x14ac:dyDescent="0.25"/>
  <cols>
    <col min="1" max="1" width="14.5703125" customWidth="1"/>
    <col min="2" max="2" width="12.5703125" bestFit="1" customWidth="1"/>
    <col min="3" max="3" width="13.42578125" customWidth="1"/>
    <col min="4" max="4" width="12.5703125" bestFit="1" customWidth="1"/>
    <col min="5" max="5" width="32" bestFit="1" customWidth="1"/>
    <col min="6" max="6" width="33.42578125" bestFit="1" customWidth="1"/>
    <col min="7" max="7" width="29.5703125" bestFit="1" customWidth="1"/>
    <col min="8" max="8" width="21.140625" bestFit="1" customWidth="1"/>
    <col min="9" max="9" width="33.85546875" customWidth="1"/>
    <col min="10" max="10" width="27.85546875" customWidth="1"/>
    <col min="11" max="11" width="12.140625" bestFit="1" customWidth="1"/>
    <col min="12" max="12" width="12.42578125" bestFit="1" customWidth="1"/>
  </cols>
  <sheetData>
    <row r="1" spans="1:10" ht="13.9" x14ac:dyDescent="0.25">
      <c r="A1" t="s">
        <v>2</v>
      </c>
    </row>
    <row r="2" spans="1:10" s="8" customFormat="1" ht="27.6" x14ac:dyDescent="0.25">
      <c r="A2" s="8" t="s">
        <v>16</v>
      </c>
      <c r="B2" s="8" t="s">
        <v>18</v>
      </c>
      <c r="C2" s="8" t="s">
        <v>19</v>
      </c>
      <c r="D2" s="8" t="s">
        <v>24</v>
      </c>
      <c r="E2" s="8" t="s">
        <v>25</v>
      </c>
      <c r="F2" s="8" t="s">
        <v>5</v>
      </c>
      <c r="G2" s="8" t="s">
        <v>4</v>
      </c>
      <c r="H2" s="8" t="s">
        <v>6</v>
      </c>
      <c r="I2" s="8" t="s">
        <v>3</v>
      </c>
      <c r="J2" s="9" t="s">
        <v>9</v>
      </c>
    </row>
    <row r="3" spans="1:10" ht="13.9" x14ac:dyDescent="0.25">
      <c r="A3" t="s">
        <v>17</v>
      </c>
      <c r="B3" t="s">
        <v>0</v>
      </c>
      <c r="C3" t="s">
        <v>1</v>
      </c>
      <c r="D3">
        <v>1.1000000000000001</v>
      </c>
      <c r="E3" t="s">
        <v>2</v>
      </c>
      <c r="F3" t="s">
        <v>7</v>
      </c>
      <c r="G3" t="s">
        <v>8</v>
      </c>
      <c r="H3">
        <v>2022</v>
      </c>
      <c r="I3">
        <v>2</v>
      </c>
      <c r="J3" t="s">
        <v>10</v>
      </c>
    </row>
    <row r="4" spans="1:10" ht="13.9" x14ac:dyDescent="0.25">
      <c r="A4" t="s">
        <v>17</v>
      </c>
      <c r="B4" t="s">
        <v>0</v>
      </c>
      <c r="C4" t="s">
        <v>1</v>
      </c>
      <c r="D4">
        <v>1.1000000000000001</v>
      </c>
      <c r="E4" t="s">
        <v>2</v>
      </c>
      <c r="F4" t="s">
        <v>11</v>
      </c>
      <c r="G4" t="s">
        <v>12</v>
      </c>
      <c r="H4">
        <v>2022</v>
      </c>
      <c r="I4">
        <v>1</v>
      </c>
      <c r="J4" t="s">
        <v>15</v>
      </c>
    </row>
    <row r="5" spans="1:10" ht="13.9" x14ac:dyDescent="0.25">
      <c r="A5" t="s">
        <v>17</v>
      </c>
      <c r="B5" t="s">
        <v>0</v>
      </c>
      <c r="C5" t="s">
        <v>1</v>
      </c>
      <c r="D5">
        <v>1.1000000000000001</v>
      </c>
      <c r="E5" t="s">
        <v>2</v>
      </c>
      <c r="F5" t="s">
        <v>13</v>
      </c>
      <c r="G5" t="s">
        <v>14</v>
      </c>
      <c r="H5">
        <v>2022</v>
      </c>
      <c r="I5">
        <v>1</v>
      </c>
      <c r="J5" t="s">
        <v>15</v>
      </c>
    </row>
    <row r="6" spans="1:10" ht="13.9" x14ac:dyDescent="0.25">
      <c r="A6" t="s">
        <v>17</v>
      </c>
      <c r="B6" t="s">
        <v>0</v>
      </c>
      <c r="C6" t="s">
        <v>1</v>
      </c>
      <c r="D6">
        <v>1.1000000000000001</v>
      </c>
      <c r="E6" t="s">
        <v>2</v>
      </c>
      <c r="F6" t="s">
        <v>36</v>
      </c>
      <c r="G6" t="s">
        <v>37</v>
      </c>
      <c r="H6">
        <v>2022</v>
      </c>
      <c r="I6">
        <v>3</v>
      </c>
      <c r="J6" t="s">
        <v>15</v>
      </c>
    </row>
    <row r="8" spans="1:10" ht="13.9" x14ac:dyDescent="0.25">
      <c r="A8" t="s">
        <v>62</v>
      </c>
    </row>
    <row r="9" spans="1:10" ht="13.9" x14ac:dyDescent="0.25">
      <c r="A9" s="1" t="s">
        <v>16</v>
      </c>
      <c r="B9" s="1" t="s">
        <v>18</v>
      </c>
      <c r="C9" s="1" t="s">
        <v>19</v>
      </c>
      <c r="D9" s="1" t="s">
        <v>24</v>
      </c>
      <c r="E9" s="1" t="s">
        <v>25</v>
      </c>
      <c r="F9" t="s">
        <v>38</v>
      </c>
      <c r="G9" s="6" t="s">
        <v>39</v>
      </c>
      <c r="H9" t="s">
        <v>27</v>
      </c>
      <c r="I9" t="s">
        <v>48</v>
      </c>
    </row>
    <row r="10" spans="1:10" ht="13.9" x14ac:dyDescent="0.25">
      <c r="A10" s="2" t="s">
        <v>17</v>
      </c>
      <c r="B10" s="2" t="s">
        <v>0</v>
      </c>
      <c r="C10" s="2" t="s">
        <v>1</v>
      </c>
      <c r="D10" s="2">
        <v>1.2</v>
      </c>
      <c r="E10" s="2" t="s">
        <v>26</v>
      </c>
      <c r="F10" t="s">
        <v>40</v>
      </c>
      <c r="G10" t="s">
        <v>28</v>
      </c>
      <c r="H10" t="s">
        <v>29</v>
      </c>
      <c r="I10">
        <v>635</v>
      </c>
    </row>
    <row r="11" spans="1:10" ht="13.9" x14ac:dyDescent="0.25">
      <c r="A11" s="2" t="s">
        <v>17</v>
      </c>
      <c r="B11" s="2" t="s">
        <v>0</v>
      </c>
      <c r="C11" s="2" t="s">
        <v>1</v>
      </c>
      <c r="D11" s="2">
        <v>1.2</v>
      </c>
      <c r="E11" s="2" t="s">
        <v>26</v>
      </c>
      <c r="F11" t="s">
        <v>40</v>
      </c>
      <c r="G11" t="s">
        <v>31</v>
      </c>
      <c r="H11" t="s">
        <v>29</v>
      </c>
      <c r="I11">
        <v>674</v>
      </c>
    </row>
    <row r="12" spans="1:10" ht="13.9" x14ac:dyDescent="0.25">
      <c r="A12" s="2" t="s">
        <v>17</v>
      </c>
      <c r="B12" s="2" t="s">
        <v>0</v>
      </c>
      <c r="C12" s="2" t="s">
        <v>1</v>
      </c>
      <c r="D12" s="2">
        <v>1.2</v>
      </c>
      <c r="E12" s="2" t="s">
        <v>26</v>
      </c>
      <c r="F12" t="s">
        <v>40</v>
      </c>
      <c r="G12" t="s">
        <v>33</v>
      </c>
      <c r="H12" t="s">
        <v>29</v>
      </c>
      <c r="I12">
        <v>354</v>
      </c>
    </row>
    <row r="13" spans="1:10" ht="13.9" x14ac:dyDescent="0.25">
      <c r="A13" s="2" t="s">
        <v>17</v>
      </c>
      <c r="B13" s="2" t="s">
        <v>0</v>
      </c>
      <c r="C13" s="2" t="s">
        <v>1</v>
      </c>
      <c r="D13" s="2">
        <v>1.2</v>
      </c>
      <c r="E13" s="2" t="s">
        <v>26</v>
      </c>
      <c r="F13" t="s">
        <v>40</v>
      </c>
      <c r="G13" t="s">
        <v>34</v>
      </c>
      <c r="H13" t="s">
        <v>29</v>
      </c>
      <c r="I13">
        <v>384</v>
      </c>
    </row>
    <row r="14" spans="1:10" ht="13.9" x14ac:dyDescent="0.25">
      <c r="A14" s="2" t="s">
        <v>17</v>
      </c>
      <c r="B14" s="2" t="s">
        <v>0</v>
      </c>
      <c r="C14" s="2" t="s">
        <v>1</v>
      </c>
      <c r="D14" s="2">
        <v>1.2</v>
      </c>
      <c r="E14" s="2" t="s">
        <v>26</v>
      </c>
      <c r="F14" t="s">
        <v>40</v>
      </c>
      <c r="G14" t="s">
        <v>35</v>
      </c>
      <c r="H14" t="s">
        <v>29</v>
      </c>
      <c r="I14">
        <v>213</v>
      </c>
    </row>
    <row r="15" spans="1:10" ht="13.9" x14ac:dyDescent="0.25">
      <c r="A15" s="2" t="s">
        <v>17</v>
      </c>
      <c r="B15" s="2" t="s">
        <v>0</v>
      </c>
      <c r="C15" s="2" t="s">
        <v>1</v>
      </c>
      <c r="D15" s="2">
        <v>1.2</v>
      </c>
      <c r="E15" s="2" t="s">
        <v>26</v>
      </c>
      <c r="F15" t="s">
        <v>40</v>
      </c>
      <c r="G15" t="s">
        <v>28</v>
      </c>
      <c r="H15" t="s">
        <v>30</v>
      </c>
      <c r="I15">
        <v>1063</v>
      </c>
    </row>
    <row r="16" spans="1:10" ht="13.9" x14ac:dyDescent="0.25">
      <c r="A16" s="2" t="s">
        <v>17</v>
      </c>
      <c r="B16" s="2" t="s">
        <v>0</v>
      </c>
      <c r="C16" s="2" t="s">
        <v>1</v>
      </c>
      <c r="D16" s="2">
        <v>1.2</v>
      </c>
      <c r="E16" s="2" t="s">
        <v>26</v>
      </c>
      <c r="F16" t="s">
        <v>41</v>
      </c>
      <c r="G16" t="s">
        <v>31</v>
      </c>
      <c r="H16" t="s">
        <v>30</v>
      </c>
      <c r="I16">
        <v>847</v>
      </c>
    </row>
    <row r="17" spans="1:9" ht="13.9" x14ac:dyDescent="0.25">
      <c r="A17" s="2" t="s">
        <v>17</v>
      </c>
      <c r="B17" s="2" t="s">
        <v>0</v>
      </c>
      <c r="C17" s="2" t="s">
        <v>1</v>
      </c>
      <c r="D17" s="2">
        <v>1.2</v>
      </c>
      <c r="E17" s="2" t="s">
        <v>26</v>
      </c>
      <c r="F17" t="s">
        <v>41</v>
      </c>
      <c r="G17" t="s">
        <v>33</v>
      </c>
      <c r="H17" t="s">
        <v>30</v>
      </c>
      <c r="I17">
        <v>531</v>
      </c>
    </row>
    <row r="18" spans="1:9" ht="13.9" x14ac:dyDescent="0.25">
      <c r="A18" s="2" t="s">
        <v>17</v>
      </c>
      <c r="B18" s="2" t="s">
        <v>0</v>
      </c>
      <c r="C18" s="2" t="s">
        <v>1</v>
      </c>
      <c r="D18" s="2">
        <v>1.2</v>
      </c>
      <c r="E18" s="2" t="s">
        <v>26</v>
      </c>
      <c r="F18" t="s">
        <v>41</v>
      </c>
      <c r="G18" t="s">
        <v>34</v>
      </c>
      <c r="H18" t="s">
        <v>30</v>
      </c>
      <c r="I18">
        <v>554</v>
      </c>
    </row>
    <row r="19" spans="1:9" ht="13.9" x14ac:dyDescent="0.25">
      <c r="A19" s="2" t="s">
        <v>17</v>
      </c>
      <c r="B19" s="2" t="s">
        <v>0</v>
      </c>
      <c r="C19" s="2" t="s">
        <v>1</v>
      </c>
      <c r="D19" s="2">
        <v>1.2</v>
      </c>
      <c r="E19" s="2" t="s">
        <v>26</v>
      </c>
      <c r="F19" t="s">
        <v>41</v>
      </c>
      <c r="G19" t="s">
        <v>35</v>
      </c>
      <c r="H19" t="s">
        <v>30</v>
      </c>
      <c r="I19">
        <v>409</v>
      </c>
    </row>
    <row r="20" spans="1:9" ht="13.9" x14ac:dyDescent="0.25">
      <c r="A20" s="2" t="s">
        <v>17</v>
      </c>
      <c r="B20" s="2" t="s">
        <v>0</v>
      </c>
      <c r="C20" s="2" t="s">
        <v>1</v>
      </c>
      <c r="D20" s="2">
        <v>1.2</v>
      </c>
      <c r="E20" s="2" t="s">
        <v>26</v>
      </c>
      <c r="F20" t="s">
        <v>41</v>
      </c>
      <c r="G20" t="s">
        <v>28</v>
      </c>
      <c r="H20" t="s">
        <v>29</v>
      </c>
      <c r="I20">
        <v>217</v>
      </c>
    </row>
    <row r="21" spans="1:9" ht="13.9" x14ac:dyDescent="0.25">
      <c r="A21" s="2" t="s">
        <v>17</v>
      </c>
      <c r="B21" s="2" t="s">
        <v>0</v>
      </c>
      <c r="C21" s="2" t="s">
        <v>1</v>
      </c>
      <c r="D21" s="2">
        <v>1.2</v>
      </c>
      <c r="E21" s="2" t="s">
        <v>26</v>
      </c>
      <c r="F21" t="s">
        <v>41</v>
      </c>
      <c r="G21" t="s">
        <v>31</v>
      </c>
      <c r="H21" t="s">
        <v>29</v>
      </c>
      <c r="I21">
        <v>347</v>
      </c>
    </row>
    <row r="22" spans="1:9" ht="13.9" x14ac:dyDescent="0.25">
      <c r="A22" s="2" t="s">
        <v>17</v>
      </c>
      <c r="B22" s="2" t="s">
        <v>0</v>
      </c>
      <c r="C22" s="2" t="s">
        <v>1</v>
      </c>
      <c r="D22" s="2">
        <v>1.2</v>
      </c>
      <c r="E22" s="2" t="s">
        <v>26</v>
      </c>
      <c r="F22" t="s">
        <v>41</v>
      </c>
      <c r="G22" t="s">
        <v>33</v>
      </c>
      <c r="H22" t="s">
        <v>29</v>
      </c>
      <c r="I22">
        <v>453</v>
      </c>
    </row>
    <row r="23" spans="1:9" ht="13.9" x14ac:dyDescent="0.25">
      <c r="A23" s="2" t="s">
        <v>17</v>
      </c>
      <c r="B23" s="2" t="s">
        <v>0</v>
      </c>
      <c r="C23" s="2" t="s">
        <v>1</v>
      </c>
      <c r="D23" s="2">
        <v>1.2</v>
      </c>
      <c r="E23" s="2" t="s">
        <v>26</v>
      </c>
      <c r="F23" t="s">
        <v>41</v>
      </c>
      <c r="G23" t="s">
        <v>34</v>
      </c>
      <c r="H23" t="s">
        <v>29</v>
      </c>
      <c r="I23">
        <v>338</v>
      </c>
    </row>
    <row r="24" spans="1:9" ht="13.9" x14ac:dyDescent="0.25">
      <c r="A24" s="2" t="s">
        <v>17</v>
      </c>
      <c r="B24" s="2" t="s">
        <v>0</v>
      </c>
      <c r="C24" s="2" t="s">
        <v>1</v>
      </c>
      <c r="D24" s="2">
        <v>1.2</v>
      </c>
      <c r="E24" s="2" t="s">
        <v>26</v>
      </c>
      <c r="F24" t="s">
        <v>41</v>
      </c>
      <c r="G24" t="s">
        <v>35</v>
      </c>
      <c r="H24" t="s">
        <v>29</v>
      </c>
      <c r="I24">
        <v>312</v>
      </c>
    </row>
    <row r="25" spans="1:9" ht="13.9" x14ac:dyDescent="0.25">
      <c r="A25" s="2" t="s">
        <v>17</v>
      </c>
      <c r="B25" s="2" t="s">
        <v>0</v>
      </c>
      <c r="C25" s="2" t="s">
        <v>1</v>
      </c>
      <c r="D25" s="2">
        <v>1.2</v>
      </c>
      <c r="E25" s="2" t="s">
        <v>26</v>
      </c>
      <c r="F25" t="s">
        <v>41</v>
      </c>
      <c r="G25" t="s">
        <v>28</v>
      </c>
      <c r="H25" t="s">
        <v>30</v>
      </c>
      <c r="I25">
        <v>963</v>
      </c>
    </row>
    <row r="26" spans="1:9" ht="13.9" x14ac:dyDescent="0.25">
      <c r="A26" s="2" t="s">
        <v>17</v>
      </c>
      <c r="B26" s="2" t="s">
        <v>0</v>
      </c>
      <c r="C26" s="2" t="s">
        <v>1</v>
      </c>
      <c r="D26" s="2">
        <v>1.2</v>
      </c>
      <c r="E26" s="2" t="s">
        <v>26</v>
      </c>
      <c r="F26" t="s">
        <v>41</v>
      </c>
      <c r="G26" t="s">
        <v>31</v>
      </c>
      <c r="H26" t="s">
        <v>30</v>
      </c>
      <c r="I26">
        <v>749</v>
      </c>
    </row>
    <row r="27" spans="1:9" ht="13.9" x14ac:dyDescent="0.25">
      <c r="A27" s="2" t="s">
        <v>17</v>
      </c>
      <c r="B27" s="2" t="s">
        <v>0</v>
      </c>
      <c r="C27" s="2" t="s">
        <v>1</v>
      </c>
      <c r="D27" s="2">
        <v>1.2</v>
      </c>
      <c r="E27" s="2" t="s">
        <v>26</v>
      </c>
      <c r="F27" t="s">
        <v>41</v>
      </c>
      <c r="G27" t="s">
        <v>33</v>
      </c>
      <c r="H27" t="s">
        <v>30</v>
      </c>
      <c r="I27">
        <v>524</v>
      </c>
    </row>
    <row r="28" spans="1:9" ht="13.9" x14ac:dyDescent="0.25">
      <c r="A28" s="2" t="s">
        <v>17</v>
      </c>
      <c r="B28" s="2" t="s">
        <v>0</v>
      </c>
      <c r="C28" s="2" t="s">
        <v>1</v>
      </c>
      <c r="D28" s="2">
        <v>1.2</v>
      </c>
      <c r="E28" s="2" t="s">
        <v>26</v>
      </c>
      <c r="F28" t="s">
        <v>41</v>
      </c>
      <c r="G28" t="s">
        <v>34</v>
      </c>
      <c r="H28" t="s">
        <v>30</v>
      </c>
      <c r="I28">
        <v>348</v>
      </c>
    </row>
    <row r="29" spans="1:9" ht="13.9" x14ac:dyDescent="0.25">
      <c r="A29" s="7" t="s">
        <v>17</v>
      </c>
      <c r="B29" s="7" t="s">
        <v>0</v>
      </c>
      <c r="C29" s="7" t="s">
        <v>1</v>
      </c>
      <c r="D29" s="7">
        <v>1.2</v>
      </c>
      <c r="E29" s="7" t="s">
        <v>26</v>
      </c>
      <c r="F29" t="s">
        <v>41</v>
      </c>
      <c r="G29" t="s">
        <v>35</v>
      </c>
      <c r="H29" t="s">
        <v>30</v>
      </c>
      <c r="I29">
        <v>238</v>
      </c>
    </row>
    <row r="30" spans="1:9" ht="13.9" x14ac:dyDescent="0.25">
      <c r="A30" s="7" t="s">
        <v>17</v>
      </c>
      <c r="B30" s="7" t="s">
        <v>0</v>
      </c>
      <c r="C30" s="7" t="s">
        <v>1</v>
      </c>
      <c r="D30" s="7">
        <v>1.2</v>
      </c>
      <c r="E30" s="7" t="s">
        <v>26</v>
      </c>
      <c r="F30" t="s">
        <v>42</v>
      </c>
      <c r="G30" t="s">
        <v>28</v>
      </c>
      <c r="H30" t="s">
        <v>29</v>
      </c>
      <c r="I30">
        <v>13</v>
      </c>
    </row>
    <row r="31" spans="1:9" ht="13.9" x14ac:dyDescent="0.25">
      <c r="A31" s="7" t="s">
        <v>17</v>
      </c>
      <c r="B31" s="7" t="s">
        <v>0</v>
      </c>
      <c r="C31" s="7" t="s">
        <v>1</v>
      </c>
      <c r="D31" s="7">
        <v>1.2</v>
      </c>
      <c r="E31" s="7" t="s">
        <v>26</v>
      </c>
      <c r="F31" t="s">
        <v>42</v>
      </c>
      <c r="G31" t="s">
        <v>31</v>
      </c>
      <c r="H31" t="s">
        <v>29</v>
      </c>
      <c r="I31">
        <v>22</v>
      </c>
    </row>
    <row r="32" spans="1:9" ht="13.9" x14ac:dyDescent="0.25">
      <c r="A32" s="7" t="s">
        <v>17</v>
      </c>
      <c r="B32" s="7" t="s">
        <v>0</v>
      </c>
      <c r="C32" s="7" t="s">
        <v>1</v>
      </c>
      <c r="D32" s="7">
        <v>1.2</v>
      </c>
      <c r="E32" s="7" t="s">
        <v>26</v>
      </c>
      <c r="F32" t="s">
        <v>42</v>
      </c>
      <c r="G32" t="s">
        <v>33</v>
      </c>
      <c r="H32" t="s">
        <v>29</v>
      </c>
      <c r="I32">
        <v>18</v>
      </c>
    </row>
    <row r="33" spans="1:9" ht="13.9" x14ac:dyDescent="0.25">
      <c r="A33" s="7" t="s">
        <v>17</v>
      </c>
      <c r="B33" s="7" t="s">
        <v>0</v>
      </c>
      <c r="C33" s="7" t="s">
        <v>1</v>
      </c>
      <c r="D33" s="7">
        <v>1.2</v>
      </c>
      <c r="E33" s="7" t="s">
        <v>26</v>
      </c>
      <c r="F33" t="s">
        <v>42</v>
      </c>
      <c r="G33" t="s">
        <v>34</v>
      </c>
      <c r="H33" t="s">
        <v>29</v>
      </c>
      <c r="I33">
        <v>17</v>
      </c>
    </row>
    <row r="34" spans="1:9" ht="13.9" x14ac:dyDescent="0.25">
      <c r="A34" s="7" t="s">
        <v>17</v>
      </c>
      <c r="B34" s="7" t="s">
        <v>0</v>
      </c>
      <c r="C34" s="7" t="s">
        <v>1</v>
      </c>
      <c r="D34" s="7">
        <v>1.2</v>
      </c>
      <c r="E34" s="7" t="s">
        <v>26</v>
      </c>
      <c r="F34" t="s">
        <v>42</v>
      </c>
      <c r="G34" t="s">
        <v>35</v>
      </c>
      <c r="H34" t="s">
        <v>29</v>
      </c>
      <c r="I34">
        <v>14</v>
      </c>
    </row>
    <row r="35" spans="1:9" ht="13.9" x14ac:dyDescent="0.25">
      <c r="A35" s="7" t="s">
        <v>17</v>
      </c>
      <c r="B35" s="7" t="s">
        <v>0</v>
      </c>
      <c r="C35" s="7" t="s">
        <v>1</v>
      </c>
      <c r="D35" s="7">
        <v>1.2</v>
      </c>
      <c r="E35" s="7" t="s">
        <v>26</v>
      </c>
      <c r="F35" t="s">
        <v>42</v>
      </c>
      <c r="G35" t="s">
        <v>28</v>
      </c>
      <c r="H35" t="s">
        <v>30</v>
      </c>
      <c r="I35">
        <v>21</v>
      </c>
    </row>
    <row r="36" spans="1:9" ht="13.9" x14ac:dyDescent="0.25">
      <c r="A36" s="7" t="s">
        <v>17</v>
      </c>
      <c r="B36" s="7" t="s">
        <v>0</v>
      </c>
      <c r="C36" s="7" t="s">
        <v>1</v>
      </c>
      <c r="D36" s="7">
        <v>1.2</v>
      </c>
      <c r="E36" s="7" t="s">
        <v>26</v>
      </c>
      <c r="F36" t="s">
        <v>42</v>
      </c>
      <c r="G36" t="s">
        <v>31</v>
      </c>
      <c r="H36" t="s">
        <v>30</v>
      </c>
      <c r="I36">
        <v>32</v>
      </c>
    </row>
    <row r="37" spans="1:9" ht="13.9" x14ac:dyDescent="0.25">
      <c r="A37" s="7" t="s">
        <v>17</v>
      </c>
      <c r="B37" s="7" t="s">
        <v>0</v>
      </c>
      <c r="C37" s="7" t="s">
        <v>1</v>
      </c>
      <c r="D37" s="7">
        <v>1.2</v>
      </c>
      <c r="E37" s="7" t="s">
        <v>26</v>
      </c>
      <c r="F37" t="s">
        <v>42</v>
      </c>
      <c r="G37" t="s">
        <v>33</v>
      </c>
      <c r="H37" t="s">
        <v>30</v>
      </c>
      <c r="I37">
        <v>11</v>
      </c>
    </row>
    <row r="38" spans="1:9" ht="13.9" x14ac:dyDescent="0.25">
      <c r="A38" s="7" t="s">
        <v>17</v>
      </c>
      <c r="B38" s="7" t="s">
        <v>0</v>
      </c>
      <c r="C38" s="7" t="s">
        <v>1</v>
      </c>
      <c r="D38" s="7">
        <v>1.2</v>
      </c>
      <c r="E38" s="7" t="s">
        <v>26</v>
      </c>
      <c r="F38" t="s">
        <v>42</v>
      </c>
      <c r="G38" t="s">
        <v>34</v>
      </c>
      <c r="H38" t="s">
        <v>30</v>
      </c>
      <c r="I38">
        <v>9</v>
      </c>
    </row>
    <row r="39" spans="1:9" ht="13.9" x14ac:dyDescent="0.25">
      <c r="A39" s="7" t="s">
        <v>17</v>
      </c>
      <c r="B39" s="7" t="s">
        <v>0</v>
      </c>
      <c r="C39" s="7" t="s">
        <v>1</v>
      </c>
      <c r="D39" s="7">
        <v>1.2</v>
      </c>
      <c r="E39" s="7" t="s">
        <v>26</v>
      </c>
      <c r="F39" t="s">
        <v>42</v>
      </c>
      <c r="G39" t="s">
        <v>35</v>
      </c>
      <c r="H39" t="s">
        <v>30</v>
      </c>
      <c r="I39">
        <v>12</v>
      </c>
    </row>
    <row r="40" spans="1:9" ht="13.9" x14ac:dyDescent="0.25">
      <c r="A40" s="7" t="s">
        <v>17</v>
      </c>
      <c r="B40" s="7" t="s">
        <v>0</v>
      </c>
      <c r="C40" s="7" t="s">
        <v>1</v>
      </c>
      <c r="D40" s="7">
        <v>1.2</v>
      </c>
      <c r="E40" s="7" t="s">
        <v>26</v>
      </c>
      <c r="F40" t="s">
        <v>41</v>
      </c>
      <c r="G40" t="s">
        <v>28</v>
      </c>
      <c r="H40" t="s">
        <v>29</v>
      </c>
      <c r="I40">
        <v>2</v>
      </c>
    </row>
    <row r="41" spans="1:9" ht="13.9" x14ac:dyDescent="0.25">
      <c r="A41" s="7" t="s">
        <v>17</v>
      </c>
      <c r="B41" s="7" t="s">
        <v>0</v>
      </c>
      <c r="C41" s="7" t="s">
        <v>1</v>
      </c>
      <c r="D41" s="7">
        <v>1.2</v>
      </c>
      <c r="E41" s="7" t="s">
        <v>26</v>
      </c>
      <c r="F41" t="s">
        <v>41</v>
      </c>
      <c r="G41" t="s">
        <v>31</v>
      </c>
      <c r="H41" t="s">
        <v>29</v>
      </c>
      <c r="I41">
        <v>1</v>
      </c>
    </row>
    <row r="42" spans="1:9" ht="13.9" x14ac:dyDescent="0.25">
      <c r="A42" s="7" t="s">
        <v>17</v>
      </c>
      <c r="B42" s="7" t="s">
        <v>0</v>
      </c>
      <c r="C42" s="7" t="s">
        <v>1</v>
      </c>
      <c r="D42" s="7">
        <v>1.2</v>
      </c>
      <c r="E42" s="7" t="s">
        <v>26</v>
      </c>
      <c r="F42" t="s">
        <v>41</v>
      </c>
      <c r="G42" t="s">
        <v>33</v>
      </c>
      <c r="H42" t="s">
        <v>29</v>
      </c>
      <c r="I42">
        <v>6</v>
      </c>
    </row>
    <row r="43" spans="1:9" ht="13.9" x14ac:dyDescent="0.25">
      <c r="A43" s="7" t="s">
        <v>17</v>
      </c>
      <c r="B43" s="7" t="s">
        <v>0</v>
      </c>
      <c r="C43" s="7" t="s">
        <v>1</v>
      </c>
      <c r="D43" s="7">
        <v>1.2</v>
      </c>
      <c r="E43" s="7" t="s">
        <v>26</v>
      </c>
      <c r="F43" t="s">
        <v>41</v>
      </c>
      <c r="G43" t="s">
        <v>34</v>
      </c>
      <c r="H43" t="s">
        <v>29</v>
      </c>
      <c r="I43">
        <v>7</v>
      </c>
    </row>
    <row r="44" spans="1:9" ht="13.9" x14ac:dyDescent="0.25">
      <c r="A44" s="7" t="s">
        <v>17</v>
      </c>
      <c r="B44" s="7" t="s">
        <v>0</v>
      </c>
      <c r="C44" s="7" t="s">
        <v>1</v>
      </c>
      <c r="D44" s="7">
        <v>1.2</v>
      </c>
      <c r="E44" s="7" t="s">
        <v>26</v>
      </c>
      <c r="F44" t="s">
        <v>43</v>
      </c>
      <c r="G44" t="s">
        <v>35</v>
      </c>
      <c r="H44" t="s">
        <v>29</v>
      </c>
      <c r="I44">
        <v>5</v>
      </c>
    </row>
    <row r="45" spans="1:9" ht="13.9" x14ac:dyDescent="0.25">
      <c r="A45" s="7" t="s">
        <v>17</v>
      </c>
      <c r="B45" s="7" t="s">
        <v>0</v>
      </c>
      <c r="C45" s="7" t="s">
        <v>1</v>
      </c>
      <c r="D45" s="7">
        <v>1.2</v>
      </c>
      <c r="E45" s="7" t="s">
        <v>26</v>
      </c>
      <c r="F45" t="s">
        <v>43</v>
      </c>
      <c r="G45" t="s">
        <v>28</v>
      </c>
      <c r="H45" t="s">
        <v>30</v>
      </c>
      <c r="I45">
        <v>3</v>
      </c>
    </row>
    <row r="46" spans="1:9" ht="13.9" x14ac:dyDescent="0.25">
      <c r="A46" s="7" t="s">
        <v>17</v>
      </c>
      <c r="B46" s="7" t="s">
        <v>0</v>
      </c>
      <c r="C46" s="7" t="s">
        <v>1</v>
      </c>
      <c r="D46" s="7">
        <v>1.2</v>
      </c>
      <c r="E46" s="7" t="s">
        <v>26</v>
      </c>
      <c r="F46" t="s">
        <v>41</v>
      </c>
      <c r="G46" t="s">
        <v>31</v>
      </c>
      <c r="H46" t="s">
        <v>30</v>
      </c>
      <c r="I46">
        <v>3</v>
      </c>
    </row>
    <row r="47" spans="1:9" ht="13.9" x14ac:dyDescent="0.25">
      <c r="A47" s="7" t="s">
        <v>17</v>
      </c>
      <c r="B47" s="7" t="s">
        <v>0</v>
      </c>
      <c r="C47" s="7" t="s">
        <v>1</v>
      </c>
      <c r="D47" s="7">
        <v>1.2</v>
      </c>
      <c r="E47" s="7" t="s">
        <v>26</v>
      </c>
      <c r="F47" t="s">
        <v>41</v>
      </c>
      <c r="G47" t="s">
        <v>33</v>
      </c>
      <c r="H47" t="s">
        <v>30</v>
      </c>
      <c r="I47">
        <v>4</v>
      </c>
    </row>
    <row r="48" spans="1:9" ht="13.9" x14ac:dyDescent="0.25">
      <c r="A48" s="7" t="s">
        <v>17</v>
      </c>
      <c r="B48" s="7" t="s">
        <v>0</v>
      </c>
      <c r="C48" s="7" t="s">
        <v>1</v>
      </c>
      <c r="D48" s="7">
        <v>1.2</v>
      </c>
      <c r="E48" s="7" t="s">
        <v>26</v>
      </c>
      <c r="F48" t="s">
        <v>43</v>
      </c>
      <c r="G48" t="s">
        <v>34</v>
      </c>
      <c r="H48" t="s">
        <v>30</v>
      </c>
      <c r="I48">
        <v>8</v>
      </c>
    </row>
    <row r="49" spans="1:10" ht="13.9" x14ac:dyDescent="0.25">
      <c r="A49" s="7" t="s">
        <v>17</v>
      </c>
      <c r="B49" s="7" t="s">
        <v>0</v>
      </c>
      <c r="C49" s="7" t="s">
        <v>1</v>
      </c>
      <c r="D49" s="7">
        <v>1.2</v>
      </c>
      <c r="E49" s="7" t="s">
        <v>26</v>
      </c>
      <c r="F49" t="s">
        <v>43</v>
      </c>
      <c r="G49" t="s">
        <v>35</v>
      </c>
      <c r="H49" t="s">
        <v>30</v>
      </c>
      <c r="I49">
        <v>6</v>
      </c>
    </row>
    <row r="52" spans="1:10" ht="13.9" x14ac:dyDescent="0.25">
      <c r="A52" s="478" t="s">
        <v>50</v>
      </c>
      <c r="B52" s="478"/>
      <c r="C52" s="478"/>
    </row>
    <row r="53" spans="1:10" ht="13.9" x14ac:dyDescent="0.25">
      <c r="A53" s="1" t="s">
        <v>16</v>
      </c>
      <c r="B53" s="1" t="s">
        <v>18</v>
      </c>
      <c r="C53" s="1" t="s">
        <v>19</v>
      </c>
      <c r="D53" s="1" t="s">
        <v>24</v>
      </c>
      <c r="E53" s="17" t="s">
        <v>25</v>
      </c>
      <c r="F53" s="18" t="s">
        <v>51</v>
      </c>
      <c r="G53" s="18" t="s">
        <v>27</v>
      </c>
      <c r="H53" s="18" t="s">
        <v>49</v>
      </c>
      <c r="I53" s="18" t="s">
        <v>64</v>
      </c>
      <c r="J53" s="18" t="s">
        <v>63</v>
      </c>
    </row>
    <row r="54" spans="1:10" ht="13.9" x14ac:dyDescent="0.25">
      <c r="A54" s="2" t="s">
        <v>17</v>
      </c>
      <c r="B54" s="2" t="s">
        <v>0</v>
      </c>
      <c r="C54" s="2" t="s">
        <v>1</v>
      </c>
      <c r="D54" s="2">
        <v>1.3</v>
      </c>
      <c r="E54" s="2" t="s">
        <v>47</v>
      </c>
      <c r="F54" t="s">
        <v>52</v>
      </c>
      <c r="G54" t="s">
        <v>29</v>
      </c>
      <c r="H54" s="16">
        <v>10123</v>
      </c>
      <c r="I54" s="16">
        <v>235</v>
      </c>
      <c r="J54" s="19">
        <f>LIS_Admission_T[[#This Row],[Admitted_Low-IncomeStudents]]/LIS_Admission_T[[#This Row],[AdmittedStudents]]</f>
        <v>2.3214462115973524E-2</v>
      </c>
    </row>
    <row r="55" spans="1:10" ht="13.9" x14ac:dyDescent="0.25">
      <c r="A55" s="2" t="s">
        <v>17</v>
      </c>
      <c r="B55" s="2" t="s">
        <v>0</v>
      </c>
      <c r="C55" s="2" t="s">
        <v>1</v>
      </c>
      <c r="D55" s="2">
        <v>1.3</v>
      </c>
      <c r="E55" s="2" t="s">
        <v>47</v>
      </c>
      <c r="F55" t="s">
        <v>53</v>
      </c>
      <c r="G55" t="s">
        <v>29</v>
      </c>
      <c r="H55" s="7">
        <v>8146</v>
      </c>
      <c r="I55" s="2">
        <v>325</v>
      </c>
      <c r="J55" s="20">
        <f>LIS_Admission_T[[#This Row],[Admitted_Low-IncomeStudents]]/LIS_Admission_T[[#This Row],[AdmittedStudents]]</f>
        <v>3.989688190522956E-2</v>
      </c>
    </row>
    <row r="56" spans="1:10" ht="13.9" x14ac:dyDescent="0.25">
      <c r="A56" s="2" t="s">
        <v>17</v>
      </c>
      <c r="B56" s="2" t="s">
        <v>0</v>
      </c>
      <c r="C56" s="2" t="s">
        <v>1</v>
      </c>
      <c r="D56" s="2">
        <v>1.3</v>
      </c>
      <c r="E56" s="2" t="s">
        <v>47</v>
      </c>
      <c r="F56" t="s">
        <v>54</v>
      </c>
      <c r="G56" t="s">
        <v>29</v>
      </c>
      <c r="H56" s="2">
        <v>3548</v>
      </c>
      <c r="I56" s="2">
        <v>841</v>
      </c>
      <c r="J56" s="20">
        <f>LIS_Admission_T[[#This Row],[Admitted_Low-IncomeStudents]]/LIS_Admission_T[[#This Row],[AdmittedStudents]]</f>
        <v>0.23703494926719279</v>
      </c>
    </row>
    <row r="57" spans="1:10" ht="13.9" x14ac:dyDescent="0.25">
      <c r="A57" s="2" t="s">
        <v>17</v>
      </c>
      <c r="B57" s="2" t="s">
        <v>0</v>
      </c>
      <c r="C57" s="2" t="s">
        <v>1</v>
      </c>
      <c r="D57" s="2">
        <v>1.3</v>
      </c>
      <c r="E57" s="2" t="s">
        <v>47</v>
      </c>
      <c r="F57" t="s">
        <v>55</v>
      </c>
      <c r="G57" t="s">
        <v>29</v>
      </c>
      <c r="H57" s="2">
        <v>1025</v>
      </c>
      <c r="I57" s="2">
        <v>120</v>
      </c>
      <c r="J57" s="20">
        <f>LIS_Admission_T[[#This Row],[Admitted_Low-IncomeStudents]]/LIS_Admission_T[[#This Row],[AdmittedStudents]]</f>
        <v>0.11707317073170732</v>
      </c>
    </row>
    <row r="58" spans="1:10" ht="13.9" x14ac:dyDescent="0.25">
      <c r="A58" s="2" t="s">
        <v>17</v>
      </c>
      <c r="B58" s="2" t="s">
        <v>0</v>
      </c>
      <c r="C58" s="2" t="s">
        <v>1</v>
      </c>
      <c r="D58" s="2">
        <v>1.3</v>
      </c>
      <c r="E58" s="2" t="s">
        <v>47</v>
      </c>
      <c r="F58" t="s">
        <v>56</v>
      </c>
      <c r="G58" t="s">
        <v>29</v>
      </c>
      <c r="H58" s="2">
        <v>2036</v>
      </c>
      <c r="I58" s="2">
        <v>952</v>
      </c>
      <c r="J58" s="20">
        <f>LIS_Admission_T[[#This Row],[Admitted_Low-IncomeStudents]]/LIS_Admission_T[[#This Row],[AdmittedStudents]]</f>
        <v>0.46758349705304519</v>
      </c>
    </row>
    <row r="59" spans="1:10" ht="13.9" x14ac:dyDescent="0.25">
      <c r="A59" s="2" t="s">
        <v>17</v>
      </c>
      <c r="B59" s="2" t="s">
        <v>0</v>
      </c>
      <c r="C59" s="2" t="s">
        <v>1</v>
      </c>
      <c r="D59" s="2">
        <v>1.3</v>
      </c>
      <c r="E59" s="2" t="s">
        <v>47</v>
      </c>
      <c r="F59" t="s">
        <v>57</v>
      </c>
      <c r="G59" t="s">
        <v>29</v>
      </c>
      <c r="H59" s="2">
        <v>6024</v>
      </c>
      <c r="I59" s="2">
        <v>321</v>
      </c>
      <c r="J59" s="20">
        <f>LIS_Admission_T[[#This Row],[Admitted_Low-IncomeStudents]]/LIS_Admission_T[[#This Row],[AdmittedStudents]]</f>
        <v>5.3286852589641436E-2</v>
      </c>
    </row>
    <row r="60" spans="1:10" ht="13.9" x14ac:dyDescent="0.25">
      <c r="A60" s="2" t="s">
        <v>17</v>
      </c>
      <c r="B60" s="2" t="s">
        <v>0</v>
      </c>
      <c r="C60" s="2" t="s">
        <v>1</v>
      </c>
      <c r="D60" s="2">
        <v>1.3</v>
      </c>
      <c r="E60" s="2" t="s">
        <v>47</v>
      </c>
      <c r="F60" t="s">
        <v>58</v>
      </c>
      <c r="G60" t="s">
        <v>29</v>
      </c>
      <c r="H60" s="2">
        <v>3105</v>
      </c>
      <c r="I60" s="2">
        <v>1023</v>
      </c>
      <c r="J60" s="20">
        <f>LIS_Admission_T[[#This Row],[Admitted_Low-IncomeStudents]]/LIS_Admission_T[[#This Row],[AdmittedStudents]]</f>
        <v>0.32946859903381642</v>
      </c>
    </row>
    <row r="61" spans="1:10" ht="13.9" x14ac:dyDescent="0.25">
      <c r="A61" s="2" t="s">
        <v>17</v>
      </c>
      <c r="B61" s="2" t="s">
        <v>0</v>
      </c>
      <c r="C61" s="2" t="s">
        <v>1</v>
      </c>
      <c r="D61" s="2">
        <v>1.3</v>
      </c>
      <c r="E61" s="2" t="s">
        <v>47</v>
      </c>
      <c r="F61" t="s">
        <v>59</v>
      </c>
      <c r="G61" t="s">
        <v>29</v>
      </c>
      <c r="H61" s="2">
        <v>10102</v>
      </c>
      <c r="I61" s="2">
        <v>6104</v>
      </c>
      <c r="J61" s="20">
        <f>LIS_Admission_T[[#This Row],[Admitted_Low-IncomeStudents]]/LIS_Admission_T[[#This Row],[AdmittedStudents]]</f>
        <v>0.60423678479509013</v>
      </c>
    </row>
    <row r="62" spans="1:10" ht="13.9" x14ac:dyDescent="0.25">
      <c r="A62" s="2" t="s">
        <v>17</v>
      </c>
      <c r="B62" s="2" t="s">
        <v>0</v>
      </c>
      <c r="C62" s="2" t="s">
        <v>1</v>
      </c>
      <c r="D62" s="2">
        <v>1.3</v>
      </c>
      <c r="E62" s="2" t="s">
        <v>47</v>
      </c>
      <c r="F62" t="s">
        <v>60</v>
      </c>
      <c r="G62" t="s">
        <v>29</v>
      </c>
      <c r="H62" s="2">
        <v>3214</v>
      </c>
      <c r="I62" s="2">
        <v>1515</v>
      </c>
      <c r="J62" s="20">
        <f>LIS_Admission_T[[#This Row],[Admitted_Low-IncomeStudents]]/LIS_Admission_T[[#This Row],[AdmittedStudents]]</f>
        <v>0.47137523335407594</v>
      </c>
    </row>
    <row r="63" spans="1:10" ht="13.9" x14ac:dyDescent="0.25">
      <c r="A63" s="2" t="s">
        <v>17</v>
      </c>
      <c r="B63" s="2" t="s">
        <v>0</v>
      </c>
      <c r="C63" s="2" t="s">
        <v>1</v>
      </c>
      <c r="D63" s="2">
        <v>1.3</v>
      </c>
      <c r="E63" s="2" t="s">
        <v>47</v>
      </c>
      <c r="F63" t="s">
        <v>61</v>
      </c>
      <c r="G63" t="s">
        <v>29</v>
      </c>
      <c r="H63" s="2">
        <v>123</v>
      </c>
      <c r="I63" s="2">
        <v>12</v>
      </c>
      <c r="J63" s="20">
        <f>LIS_Admission_T[[#This Row],[Admitted_Low-IncomeStudents]]/LIS_Admission_T[[#This Row],[AdmittedStudents]]</f>
        <v>9.7560975609756101E-2</v>
      </c>
    </row>
    <row r="64" spans="1:10" ht="13.9" x14ac:dyDescent="0.25">
      <c r="A64" s="2" t="s">
        <v>17</v>
      </c>
      <c r="B64" s="2" t="s">
        <v>0</v>
      </c>
      <c r="C64" s="2" t="s">
        <v>1</v>
      </c>
      <c r="D64" s="2">
        <v>1.3</v>
      </c>
      <c r="E64" s="2" t="s">
        <v>47</v>
      </c>
      <c r="F64" t="s">
        <v>52</v>
      </c>
      <c r="G64" t="s">
        <v>30</v>
      </c>
      <c r="H64" s="2">
        <v>326</v>
      </c>
      <c r="I64" s="2">
        <v>120</v>
      </c>
      <c r="J64" s="20">
        <f>LIS_Admission_T[[#This Row],[Admitted_Low-IncomeStudents]]/LIS_Admission_T[[#This Row],[AdmittedStudents]]</f>
        <v>0.36809815950920244</v>
      </c>
    </row>
    <row r="65" spans="1:13" ht="13.9" x14ac:dyDescent="0.25">
      <c r="A65" s="2" t="s">
        <v>17</v>
      </c>
      <c r="B65" s="2" t="s">
        <v>0</v>
      </c>
      <c r="C65" s="2" t="s">
        <v>1</v>
      </c>
      <c r="D65" s="2">
        <v>1.3</v>
      </c>
      <c r="E65" s="2" t="s">
        <v>47</v>
      </c>
      <c r="F65" t="s">
        <v>53</v>
      </c>
      <c r="G65" t="s">
        <v>30</v>
      </c>
      <c r="H65" s="2">
        <v>6214</v>
      </c>
      <c r="I65" s="2">
        <v>5148</v>
      </c>
      <c r="J65" s="20">
        <f>LIS_Admission_T[[#This Row],[Admitted_Low-IncomeStudents]]/LIS_Admission_T[[#This Row],[AdmittedStudents]]</f>
        <v>0.82845188284518834</v>
      </c>
    </row>
    <row r="66" spans="1:13" ht="13.9" x14ac:dyDescent="0.25">
      <c r="A66" s="2" t="s">
        <v>17</v>
      </c>
      <c r="B66" s="2" t="s">
        <v>0</v>
      </c>
      <c r="C66" s="2" t="s">
        <v>1</v>
      </c>
      <c r="D66" s="2">
        <v>1.3</v>
      </c>
      <c r="E66" s="2" t="s">
        <v>47</v>
      </c>
      <c r="F66" t="s">
        <v>54</v>
      </c>
      <c r="G66" t="s">
        <v>30</v>
      </c>
      <c r="H66" s="2">
        <v>3201</v>
      </c>
      <c r="I66" s="2">
        <v>1547</v>
      </c>
      <c r="J66" s="20">
        <f>LIS_Admission_T[[#This Row],[Admitted_Low-IncomeStudents]]/LIS_Admission_T[[#This Row],[AdmittedStudents]]</f>
        <v>0.48328647297719463</v>
      </c>
    </row>
    <row r="67" spans="1:13" x14ac:dyDescent="0.25">
      <c r="A67" s="2" t="s">
        <v>17</v>
      </c>
      <c r="B67" s="2" t="s">
        <v>0</v>
      </c>
      <c r="C67" s="2" t="s">
        <v>1</v>
      </c>
      <c r="D67" s="2">
        <v>1.3</v>
      </c>
      <c r="E67" s="2" t="s">
        <v>47</v>
      </c>
      <c r="F67" t="s">
        <v>55</v>
      </c>
      <c r="G67" t="s">
        <v>30</v>
      </c>
      <c r="H67" s="2">
        <v>3128</v>
      </c>
      <c r="I67" s="2">
        <v>945</v>
      </c>
      <c r="J67" s="20">
        <f>LIS_Admission_T[[#This Row],[Admitted_Low-IncomeStudents]]/LIS_Admission_T[[#This Row],[AdmittedStudents]]</f>
        <v>0.30210997442455245</v>
      </c>
    </row>
    <row r="68" spans="1:13" x14ac:dyDescent="0.25">
      <c r="A68" s="2" t="s">
        <v>17</v>
      </c>
      <c r="B68" s="2" t="s">
        <v>0</v>
      </c>
      <c r="C68" s="2" t="s">
        <v>1</v>
      </c>
      <c r="D68" s="2">
        <v>1.3</v>
      </c>
      <c r="E68" s="2" t="s">
        <v>47</v>
      </c>
      <c r="F68" t="s">
        <v>56</v>
      </c>
      <c r="G68" t="s">
        <v>30</v>
      </c>
      <c r="H68" s="2">
        <v>845</v>
      </c>
      <c r="I68" s="2">
        <v>661</v>
      </c>
      <c r="J68" s="20">
        <f>LIS_Admission_T[[#This Row],[Admitted_Low-IncomeStudents]]/LIS_Admission_T[[#This Row],[AdmittedStudents]]</f>
        <v>0.78224852071005913</v>
      </c>
    </row>
    <row r="69" spans="1:13" x14ac:dyDescent="0.25">
      <c r="A69" s="2" t="s">
        <v>17</v>
      </c>
      <c r="B69" s="2" t="s">
        <v>0</v>
      </c>
      <c r="C69" s="2" t="s">
        <v>1</v>
      </c>
      <c r="D69" s="2">
        <v>1.3</v>
      </c>
      <c r="E69" s="2" t="s">
        <v>47</v>
      </c>
      <c r="F69" t="s">
        <v>57</v>
      </c>
      <c r="G69" t="s">
        <v>30</v>
      </c>
      <c r="H69" s="2">
        <v>369</v>
      </c>
      <c r="I69" s="2">
        <v>27</v>
      </c>
      <c r="J69" s="20">
        <f>LIS_Admission_T[[#This Row],[Admitted_Low-IncomeStudents]]/LIS_Admission_T[[#This Row],[AdmittedStudents]]</f>
        <v>7.3170731707317069E-2</v>
      </c>
    </row>
    <row r="70" spans="1:13" x14ac:dyDescent="0.25">
      <c r="A70" s="2" t="s">
        <v>17</v>
      </c>
      <c r="B70" s="2" t="s">
        <v>0</v>
      </c>
      <c r="C70" s="2" t="s">
        <v>1</v>
      </c>
      <c r="D70" s="2">
        <v>1.3</v>
      </c>
      <c r="E70" s="2" t="s">
        <v>47</v>
      </c>
      <c r="F70" t="s">
        <v>58</v>
      </c>
      <c r="G70" t="s">
        <v>30</v>
      </c>
      <c r="H70" s="2">
        <v>10158</v>
      </c>
      <c r="I70" s="2">
        <v>5941</v>
      </c>
      <c r="J70" s="20">
        <f>LIS_Admission_T[[#This Row],[Admitted_Low-IncomeStudents]]/LIS_Admission_T[[#This Row],[AdmittedStudents]]</f>
        <v>0.58485922425674342</v>
      </c>
    </row>
    <row r="71" spans="1:13" x14ac:dyDescent="0.25">
      <c r="A71" s="2" t="s">
        <v>17</v>
      </c>
      <c r="B71" s="2" t="s">
        <v>0</v>
      </c>
      <c r="C71" s="2" t="s">
        <v>1</v>
      </c>
      <c r="D71" s="2">
        <v>1.3</v>
      </c>
      <c r="E71" s="2" t="s">
        <v>47</v>
      </c>
      <c r="F71" t="s">
        <v>59</v>
      </c>
      <c r="G71" t="s">
        <v>30</v>
      </c>
      <c r="H71" s="2">
        <v>646</v>
      </c>
      <c r="I71" s="2">
        <v>33</v>
      </c>
      <c r="J71" s="20">
        <f>LIS_Admission_T[[#This Row],[Admitted_Low-IncomeStudents]]/LIS_Admission_T[[#This Row],[AdmittedStudents]]</f>
        <v>5.108359133126935E-2</v>
      </c>
    </row>
    <row r="72" spans="1:13" x14ac:dyDescent="0.25">
      <c r="A72" s="2" t="s">
        <v>17</v>
      </c>
      <c r="B72" s="2" t="s">
        <v>0</v>
      </c>
      <c r="C72" s="2" t="s">
        <v>1</v>
      </c>
      <c r="D72" s="2">
        <v>1.3</v>
      </c>
      <c r="E72" s="2" t="s">
        <v>47</v>
      </c>
      <c r="F72" t="s">
        <v>60</v>
      </c>
      <c r="G72" t="s">
        <v>30</v>
      </c>
      <c r="H72" s="2">
        <v>814</v>
      </c>
      <c r="I72" s="2">
        <v>29</v>
      </c>
      <c r="J72" s="20">
        <f>LIS_Admission_T[[#This Row],[Admitted_Low-IncomeStudents]]/LIS_Admission_T[[#This Row],[AdmittedStudents]]</f>
        <v>3.562653562653563E-2</v>
      </c>
    </row>
    <row r="73" spans="1:13" x14ac:dyDescent="0.25">
      <c r="A73" s="2" t="s">
        <v>17</v>
      </c>
      <c r="B73" s="2" t="s">
        <v>0</v>
      </c>
      <c r="C73" s="2" t="s">
        <v>1</v>
      </c>
      <c r="D73" s="2">
        <v>1.3</v>
      </c>
      <c r="E73" s="2" t="s">
        <v>47</v>
      </c>
      <c r="F73" t="s">
        <v>61</v>
      </c>
      <c r="G73" t="s">
        <v>30</v>
      </c>
      <c r="H73" s="7">
        <v>713</v>
      </c>
      <c r="I73" s="7">
        <v>62</v>
      </c>
      <c r="J73" s="21">
        <f>LIS_Admission_T[[#This Row],[Admitted_Low-IncomeStudents]]/LIS_Admission_T[[#This Row],[AdmittedStudents]]</f>
        <v>8.6956521739130432E-2</v>
      </c>
    </row>
    <row r="74" spans="1:13" x14ac:dyDescent="0.25">
      <c r="A74" s="7"/>
      <c r="B74" s="7"/>
      <c r="C74" s="7"/>
      <c r="D74" s="7"/>
      <c r="E74" s="7"/>
      <c r="H74" s="7">
        <f>SUBTOTAL(109,LIS_Admission_T[AdmittedStudents])</f>
        <v>73860</v>
      </c>
      <c r="I74" s="7">
        <f>SUBTOTAL(109,LIS_Admission_T[Admitted_Low-IncomeStudents])</f>
        <v>25961</v>
      </c>
      <c r="J74" s="21">
        <f>LIS_Admission_T[[#Totals],[Admitted_Low-IncomeStudents]]/LIS_Admission_T[[#Totals],[AdmittedStudents]]</f>
        <v>0.35148930408881668</v>
      </c>
    </row>
    <row r="76" spans="1:13" x14ac:dyDescent="0.25">
      <c r="A76" t="s">
        <v>72</v>
      </c>
    </row>
    <row r="77" spans="1:13" x14ac:dyDescent="0.25">
      <c r="A77" t="s">
        <v>16</v>
      </c>
      <c r="B77" t="s">
        <v>18</v>
      </c>
      <c r="C77" t="s">
        <v>19</v>
      </c>
      <c r="D77" t="s">
        <v>24</v>
      </c>
      <c r="E77" t="s">
        <v>25</v>
      </c>
      <c r="F77" t="s">
        <v>51</v>
      </c>
      <c r="G77" t="s">
        <v>27</v>
      </c>
      <c r="H77" t="s">
        <v>69</v>
      </c>
      <c r="I77" t="s">
        <v>70</v>
      </c>
      <c r="J77" t="s">
        <v>71</v>
      </c>
    </row>
    <row r="78" spans="1:13" x14ac:dyDescent="0.25">
      <c r="A78" t="s">
        <v>17</v>
      </c>
      <c r="B78" t="s">
        <v>0</v>
      </c>
      <c r="C78" t="s">
        <v>1</v>
      </c>
      <c r="D78">
        <v>1.3</v>
      </c>
      <c r="E78" t="s">
        <v>47</v>
      </c>
      <c r="F78" t="s">
        <v>52</v>
      </c>
      <c r="G78" t="s">
        <v>29</v>
      </c>
      <c r="H78" s="24">
        <v>8312</v>
      </c>
      <c r="I78" s="24">
        <v>214</v>
      </c>
      <c r="J78" s="11">
        <f>LI_Graduate[[#This Row],[Graduated_Low-IncomeStudents]]/LI_Graduate[[#This Row],[GraduateStudents]]</f>
        <v>2.5745909528392685E-2</v>
      </c>
      <c r="L78" s="24"/>
      <c r="M78" s="24"/>
    </row>
    <row r="79" spans="1:13" x14ac:dyDescent="0.25">
      <c r="A79" t="s">
        <v>17</v>
      </c>
      <c r="B79" t="s">
        <v>0</v>
      </c>
      <c r="C79" t="s">
        <v>1</v>
      </c>
      <c r="D79">
        <v>1.3</v>
      </c>
      <c r="E79" t="s">
        <v>47</v>
      </c>
      <c r="F79" t="s">
        <v>53</v>
      </c>
      <c r="G79" t="s">
        <v>29</v>
      </c>
      <c r="H79" s="24">
        <v>7295</v>
      </c>
      <c r="I79" s="24">
        <v>289</v>
      </c>
      <c r="J79" s="11">
        <f>LI_Graduate[[#This Row],[Graduated_Low-IncomeStudents]]/LI_Graduate[[#This Row],[GraduateStudents]]</f>
        <v>3.9616175462645647E-2</v>
      </c>
      <c r="L79" s="24"/>
      <c r="M79" s="24"/>
    </row>
    <row r="80" spans="1:13" x14ac:dyDescent="0.25">
      <c r="A80" t="s">
        <v>17</v>
      </c>
      <c r="B80" t="s">
        <v>0</v>
      </c>
      <c r="C80" t="s">
        <v>1</v>
      </c>
      <c r="D80">
        <v>1.3</v>
      </c>
      <c r="E80" t="s">
        <v>47</v>
      </c>
      <c r="F80" t="s">
        <v>54</v>
      </c>
      <c r="G80" t="s">
        <v>29</v>
      </c>
      <c r="H80" s="24">
        <v>3164</v>
      </c>
      <c r="I80" s="24">
        <v>718</v>
      </c>
      <c r="J80" s="11">
        <f>LI_Graduate[[#This Row],[Graduated_Low-IncomeStudents]]/LI_Graduate[[#This Row],[GraduateStudents]]</f>
        <v>0.22692793931731986</v>
      </c>
      <c r="L80" s="24"/>
      <c r="M80" s="24"/>
    </row>
    <row r="81" spans="1:13" x14ac:dyDescent="0.25">
      <c r="A81" t="s">
        <v>17</v>
      </c>
      <c r="B81" t="s">
        <v>0</v>
      </c>
      <c r="C81" t="s">
        <v>1</v>
      </c>
      <c r="D81">
        <v>1.3</v>
      </c>
      <c r="E81" t="s">
        <v>47</v>
      </c>
      <c r="F81" t="s">
        <v>55</v>
      </c>
      <c r="G81" t="s">
        <v>29</v>
      </c>
      <c r="H81" s="24">
        <v>948</v>
      </c>
      <c r="I81" s="24">
        <v>102</v>
      </c>
      <c r="J81" s="11">
        <f>LI_Graduate[[#This Row],[Graduated_Low-IncomeStudents]]/LI_Graduate[[#This Row],[GraduateStudents]]</f>
        <v>0.10759493670886076</v>
      </c>
      <c r="L81" s="24"/>
      <c r="M81" s="24"/>
    </row>
    <row r="82" spans="1:13" x14ac:dyDescent="0.25">
      <c r="A82" t="s">
        <v>17</v>
      </c>
      <c r="B82" t="s">
        <v>0</v>
      </c>
      <c r="C82" t="s">
        <v>1</v>
      </c>
      <c r="D82">
        <v>1.3</v>
      </c>
      <c r="E82" t="s">
        <v>47</v>
      </c>
      <c r="F82" t="s">
        <v>56</v>
      </c>
      <c r="G82" t="s">
        <v>29</v>
      </c>
      <c r="H82" s="24">
        <v>1874</v>
      </c>
      <c r="I82" s="24">
        <v>877</v>
      </c>
      <c r="J82" s="11">
        <f>LI_Graduate[[#This Row],[Graduated_Low-IncomeStudents]]/LI_Graduate[[#This Row],[GraduateStudents]]</f>
        <v>0.46798292422625398</v>
      </c>
      <c r="L82" s="24"/>
      <c r="M82" s="24"/>
    </row>
    <row r="83" spans="1:13" x14ac:dyDescent="0.25">
      <c r="A83" t="s">
        <v>17</v>
      </c>
      <c r="B83" t="s">
        <v>0</v>
      </c>
      <c r="C83" t="s">
        <v>1</v>
      </c>
      <c r="D83">
        <v>1.3</v>
      </c>
      <c r="E83" t="s">
        <v>47</v>
      </c>
      <c r="F83" t="s">
        <v>57</v>
      </c>
      <c r="G83" t="s">
        <v>29</v>
      </c>
      <c r="H83" s="24">
        <v>5454</v>
      </c>
      <c r="I83" s="24">
        <v>259</v>
      </c>
      <c r="J83" s="11">
        <f>LI_Graduate[[#This Row],[Graduated_Low-IncomeStudents]]/LI_Graduate[[#This Row],[GraduateStudents]]</f>
        <v>4.748808214154749E-2</v>
      </c>
      <c r="L83" s="24"/>
      <c r="M83" s="24"/>
    </row>
    <row r="84" spans="1:13" x14ac:dyDescent="0.25">
      <c r="A84" t="s">
        <v>17</v>
      </c>
      <c r="B84" t="s">
        <v>0</v>
      </c>
      <c r="C84" t="s">
        <v>1</v>
      </c>
      <c r="D84">
        <v>1.3</v>
      </c>
      <c r="E84" t="s">
        <v>47</v>
      </c>
      <c r="F84" t="s">
        <v>58</v>
      </c>
      <c r="G84" t="s">
        <v>29</v>
      </c>
      <c r="H84" s="24">
        <v>2957</v>
      </c>
      <c r="I84" s="24">
        <v>914</v>
      </c>
      <c r="J84" s="11">
        <f>LI_Graduate[[#This Row],[Graduated_Low-IncomeStudents]]/LI_Graduate[[#This Row],[GraduateStudents]]</f>
        <v>0.30909705782888064</v>
      </c>
      <c r="L84" s="24"/>
      <c r="M84" s="24"/>
    </row>
    <row r="85" spans="1:13" x14ac:dyDescent="0.25">
      <c r="A85" t="s">
        <v>17</v>
      </c>
      <c r="B85" t="s">
        <v>0</v>
      </c>
      <c r="C85" t="s">
        <v>1</v>
      </c>
      <c r="D85">
        <v>1.3</v>
      </c>
      <c r="E85" t="s">
        <v>47</v>
      </c>
      <c r="F85" t="s">
        <v>59</v>
      </c>
      <c r="G85" t="s">
        <v>29</v>
      </c>
      <c r="H85" s="24">
        <v>9147</v>
      </c>
      <c r="I85" s="24">
        <v>5600</v>
      </c>
      <c r="J85" s="11">
        <f>LI_Graduate[[#This Row],[Graduated_Low-IncomeStudents]]/LI_Graduate[[#This Row],[GraduateStudents]]</f>
        <v>0.6122225866404285</v>
      </c>
      <c r="L85" s="24"/>
      <c r="M85" s="24"/>
    </row>
    <row r="86" spans="1:13" x14ac:dyDescent="0.25">
      <c r="A86" t="s">
        <v>17</v>
      </c>
      <c r="B86" t="s">
        <v>0</v>
      </c>
      <c r="C86" t="s">
        <v>1</v>
      </c>
      <c r="D86">
        <v>1.3</v>
      </c>
      <c r="E86" t="s">
        <v>47</v>
      </c>
      <c r="F86" t="s">
        <v>60</v>
      </c>
      <c r="G86" t="s">
        <v>29</v>
      </c>
      <c r="H86" s="24">
        <v>2147</v>
      </c>
      <c r="I86" s="24">
        <v>1299</v>
      </c>
      <c r="J86" s="11">
        <f>LI_Graduate[[#This Row],[Graduated_Low-IncomeStudents]]/LI_Graduate[[#This Row],[GraduateStudents]]</f>
        <v>0.60503027480204941</v>
      </c>
      <c r="L86" s="24"/>
      <c r="M86" s="24"/>
    </row>
    <row r="87" spans="1:13" x14ac:dyDescent="0.25">
      <c r="A87" t="s">
        <v>17</v>
      </c>
      <c r="B87" t="s">
        <v>0</v>
      </c>
      <c r="C87" t="s">
        <v>1</v>
      </c>
      <c r="D87">
        <v>1.3</v>
      </c>
      <c r="E87" t="s">
        <v>47</v>
      </c>
      <c r="F87" t="s">
        <v>61</v>
      </c>
      <c r="G87" t="s">
        <v>29</v>
      </c>
      <c r="H87" s="24">
        <v>112</v>
      </c>
      <c r="I87" s="24">
        <v>8</v>
      </c>
      <c r="J87" s="11">
        <f>LI_Graduate[[#This Row],[Graduated_Low-IncomeStudents]]/LI_Graduate[[#This Row],[GraduateStudents]]</f>
        <v>7.1428571428571425E-2</v>
      </c>
      <c r="L87" s="24"/>
      <c r="M87" s="24"/>
    </row>
    <row r="88" spans="1:13" x14ac:dyDescent="0.25">
      <c r="A88" t="s">
        <v>17</v>
      </c>
      <c r="B88" t="s">
        <v>0</v>
      </c>
      <c r="C88" t="s">
        <v>1</v>
      </c>
      <c r="D88">
        <v>1.3</v>
      </c>
      <c r="E88" t="s">
        <v>47</v>
      </c>
      <c r="F88" t="s">
        <v>52</v>
      </c>
      <c r="G88" t="s">
        <v>30</v>
      </c>
      <c r="H88" s="24">
        <v>208</v>
      </c>
      <c r="I88" s="24">
        <v>98</v>
      </c>
      <c r="J88" s="11">
        <f>LI_Graduate[[#This Row],[Graduated_Low-IncomeStudents]]/LI_Graduate[[#This Row],[GraduateStudents]]</f>
        <v>0.47115384615384615</v>
      </c>
      <c r="L88" s="24"/>
      <c r="M88" s="24"/>
    </row>
    <row r="89" spans="1:13" x14ac:dyDescent="0.25">
      <c r="A89" t="s">
        <v>17</v>
      </c>
      <c r="B89" t="s">
        <v>0</v>
      </c>
      <c r="C89" t="s">
        <v>1</v>
      </c>
      <c r="D89">
        <v>1.3</v>
      </c>
      <c r="E89" t="s">
        <v>47</v>
      </c>
      <c r="F89" t="s">
        <v>53</v>
      </c>
      <c r="G89" t="s">
        <v>30</v>
      </c>
      <c r="H89" s="24">
        <v>4817</v>
      </c>
      <c r="I89" s="24">
        <v>3763</v>
      </c>
      <c r="J89" s="11">
        <f>LI_Graduate[[#This Row],[Graduated_Low-IncomeStudents]]/LI_Graduate[[#This Row],[GraduateStudents]]</f>
        <v>0.78119161303716</v>
      </c>
      <c r="L89" s="24"/>
      <c r="M89" s="24"/>
    </row>
    <row r="90" spans="1:13" x14ac:dyDescent="0.25">
      <c r="A90" t="s">
        <v>17</v>
      </c>
      <c r="B90" t="s">
        <v>0</v>
      </c>
      <c r="C90" t="s">
        <v>1</v>
      </c>
      <c r="D90">
        <v>1.3</v>
      </c>
      <c r="E90" t="s">
        <v>47</v>
      </c>
      <c r="F90" t="s">
        <v>54</v>
      </c>
      <c r="G90" t="s">
        <v>30</v>
      </c>
      <c r="H90" s="24">
        <v>2584</v>
      </c>
      <c r="I90" s="24">
        <v>1444</v>
      </c>
      <c r="J90" s="11">
        <f>LI_Graduate[[#This Row],[Graduated_Low-IncomeStudents]]/LI_Graduate[[#This Row],[GraduateStudents]]</f>
        <v>0.55882352941176472</v>
      </c>
      <c r="L90" s="24"/>
      <c r="M90" s="24"/>
    </row>
    <row r="91" spans="1:13" x14ac:dyDescent="0.25">
      <c r="A91" t="s">
        <v>17</v>
      </c>
      <c r="B91" t="s">
        <v>0</v>
      </c>
      <c r="C91" t="s">
        <v>1</v>
      </c>
      <c r="D91">
        <v>1.3</v>
      </c>
      <c r="E91" t="s">
        <v>47</v>
      </c>
      <c r="F91" t="s">
        <v>55</v>
      </c>
      <c r="G91" t="s">
        <v>30</v>
      </c>
      <c r="H91" s="24">
        <v>1547</v>
      </c>
      <c r="I91" s="24">
        <v>866</v>
      </c>
      <c r="J91" s="11">
        <f>LI_Graduate[[#This Row],[Graduated_Low-IncomeStudents]]/LI_Graduate[[#This Row],[GraduateStudents]]</f>
        <v>0.55979314802844216</v>
      </c>
      <c r="L91" s="24"/>
      <c r="M91" s="24"/>
    </row>
    <row r="92" spans="1:13" x14ac:dyDescent="0.25">
      <c r="A92" t="s">
        <v>17</v>
      </c>
      <c r="B92" t="s">
        <v>0</v>
      </c>
      <c r="C92" t="s">
        <v>1</v>
      </c>
      <c r="D92">
        <v>1.3</v>
      </c>
      <c r="E92" t="s">
        <v>47</v>
      </c>
      <c r="F92" t="s">
        <v>56</v>
      </c>
      <c r="G92" t="s">
        <v>30</v>
      </c>
      <c r="H92" s="24">
        <v>315</v>
      </c>
      <c r="I92" s="24">
        <v>508</v>
      </c>
      <c r="J92" s="11">
        <f>LI_Graduate[[#This Row],[Graduated_Low-IncomeStudents]]/LI_Graduate[[#This Row],[GraduateStudents]]</f>
        <v>1.6126984126984127</v>
      </c>
      <c r="L92" s="24"/>
      <c r="M92" s="24"/>
    </row>
    <row r="93" spans="1:13" x14ac:dyDescent="0.25">
      <c r="A93" t="s">
        <v>17</v>
      </c>
      <c r="B93" t="s">
        <v>0</v>
      </c>
      <c r="C93" t="s">
        <v>1</v>
      </c>
      <c r="D93">
        <v>1.3</v>
      </c>
      <c r="E93" t="s">
        <v>47</v>
      </c>
      <c r="F93" t="s">
        <v>57</v>
      </c>
      <c r="G93" t="s">
        <v>30</v>
      </c>
      <c r="H93" s="24">
        <v>123</v>
      </c>
      <c r="I93" s="24">
        <v>18</v>
      </c>
      <c r="J93" s="11">
        <f>LI_Graduate[[#This Row],[Graduated_Low-IncomeStudents]]/LI_Graduate[[#This Row],[GraduateStudents]]</f>
        <v>0.14634146341463414</v>
      </c>
      <c r="L93" s="24"/>
      <c r="M93" s="24"/>
    </row>
    <row r="94" spans="1:13" x14ac:dyDescent="0.25">
      <c r="A94" t="s">
        <v>17</v>
      </c>
      <c r="B94" t="s">
        <v>0</v>
      </c>
      <c r="C94" t="s">
        <v>1</v>
      </c>
      <c r="D94">
        <v>1.3</v>
      </c>
      <c r="E94" t="s">
        <v>47</v>
      </c>
      <c r="F94" t="s">
        <v>58</v>
      </c>
      <c r="G94" t="s">
        <v>30</v>
      </c>
      <c r="H94" s="24">
        <v>8217</v>
      </c>
      <c r="I94" s="24">
        <v>4665</v>
      </c>
      <c r="J94" s="11">
        <f>LI_Graduate[[#This Row],[Graduated_Low-IncomeStudents]]/LI_Graduate[[#This Row],[GraduateStudents]]</f>
        <v>0.56772544724351959</v>
      </c>
      <c r="L94" s="24"/>
      <c r="M94" s="24"/>
    </row>
    <row r="95" spans="1:13" x14ac:dyDescent="0.25">
      <c r="A95" t="s">
        <v>17</v>
      </c>
      <c r="B95" t="s">
        <v>0</v>
      </c>
      <c r="C95" t="s">
        <v>1</v>
      </c>
      <c r="D95">
        <v>1.3</v>
      </c>
      <c r="E95" t="s">
        <v>47</v>
      </c>
      <c r="F95" t="s">
        <v>59</v>
      </c>
      <c r="G95" t="s">
        <v>30</v>
      </c>
      <c r="H95" s="24">
        <v>461</v>
      </c>
      <c r="I95" s="24">
        <v>20</v>
      </c>
      <c r="J95" s="11">
        <f>LI_Graduate[[#This Row],[Graduated_Low-IncomeStudents]]/LI_Graduate[[#This Row],[GraduateStudents]]</f>
        <v>4.3383947939262472E-2</v>
      </c>
      <c r="L95" s="24"/>
      <c r="M95" s="24"/>
    </row>
    <row r="96" spans="1:13" x14ac:dyDescent="0.25">
      <c r="A96" t="s">
        <v>17</v>
      </c>
      <c r="B96" t="s">
        <v>0</v>
      </c>
      <c r="C96" t="s">
        <v>1</v>
      </c>
      <c r="D96">
        <v>1.3</v>
      </c>
      <c r="E96" t="s">
        <v>47</v>
      </c>
      <c r="F96" t="s">
        <v>60</v>
      </c>
      <c r="G96" t="s">
        <v>30</v>
      </c>
      <c r="H96" s="24">
        <v>689</v>
      </c>
      <c r="I96" s="24">
        <v>17</v>
      </c>
      <c r="J96" s="11">
        <f>LI_Graduate[[#This Row],[Graduated_Low-IncomeStudents]]/LI_Graduate[[#This Row],[GraduateStudents]]</f>
        <v>2.4673439767779391E-2</v>
      </c>
      <c r="L96" s="24"/>
      <c r="M96" s="24"/>
    </row>
    <row r="97" spans="1:13" x14ac:dyDescent="0.25">
      <c r="A97" t="s">
        <v>17</v>
      </c>
      <c r="B97" t="s">
        <v>0</v>
      </c>
      <c r="C97" t="s">
        <v>1</v>
      </c>
      <c r="D97">
        <v>1.3</v>
      </c>
      <c r="E97" t="s">
        <v>47</v>
      </c>
      <c r="F97" t="s">
        <v>61</v>
      </c>
      <c r="G97" t="s">
        <v>30</v>
      </c>
      <c r="H97" s="24">
        <v>187</v>
      </c>
      <c r="I97" s="24">
        <v>27</v>
      </c>
      <c r="J97" s="11">
        <f>LI_Graduate[[#This Row],[Graduated_Low-IncomeStudents]]/LI_Graduate[[#This Row],[GraduateStudents]]</f>
        <v>0.14438502673796791</v>
      </c>
      <c r="L97" s="24"/>
      <c r="M97" s="24"/>
    </row>
    <row r="98" spans="1:13" x14ac:dyDescent="0.25">
      <c r="H98" s="24">
        <f>SUBTOTAL(109,LI_Graduate[GraduateStudents])</f>
        <v>60558</v>
      </c>
      <c r="I98" s="24">
        <f>SUBTOTAL(109,LI_Graduate[Graduated_Low-IncomeStudents])</f>
        <v>21706</v>
      </c>
      <c r="J98" s="11">
        <f>LI_Graduate[[#Totals],[Graduated_Low-IncomeStudents]]/LI_Graduate[[#Totals],[GraduateStudents]]</f>
        <v>0.35843323755738299</v>
      </c>
    </row>
    <row r="101" spans="1:13" x14ac:dyDescent="0.25">
      <c r="A101" t="s">
        <v>84</v>
      </c>
    </row>
    <row r="102" spans="1:13" x14ac:dyDescent="0.25">
      <c r="A102" t="s">
        <v>16</v>
      </c>
      <c r="B102" t="s">
        <v>18</v>
      </c>
      <c r="C102" t="s">
        <v>19</v>
      </c>
      <c r="D102" t="s">
        <v>24</v>
      </c>
      <c r="E102" t="s">
        <v>25</v>
      </c>
      <c r="F102" t="s">
        <v>106</v>
      </c>
      <c r="G102" t="s">
        <v>23</v>
      </c>
      <c r="H102" t="s">
        <v>32</v>
      </c>
    </row>
    <row r="103" spans="1:13" x14ac:dyDescent="0.25">
      <c r="A103" t="s">
        <v>17</v>
      </c>
      <c r="B103" t="s">
        <v>0</v>
      </c>
      <c r="C103" t="s">
        <v>1</v>
      </c>
      <c r="D103">
        <v>1.3</v>
      </c>
      <c r="E103" t="s">
        <v>47</v>
      </c>
      <c r="F103" t="s">
        <v>52</v>
      </c>
    </row>
  </sheetData>
  <mergeCells count="1">
    <mergeCell ref="A52:C52"/>
  </mergeCells>
  <phoneticPr fontId="1" type="noConversion"/>
  <pageMargins left="0.7" right="0.7" top="0.75" bottom="0.75" header="0.3" footer="0.3"/>
  <pageSetup orientation="portrait" r:id="rId1"/>
  <tableParts count="5">
    <tablePart r:id="rId2"/>
    <tablePart r:id="rId3"/>
    <tablePart r:id="rId4"/>
    <tablePart r:id="rId5"/>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D8B96-B930-4670-9B7E-69C5AF8E9A06}">
  <sheetPr>
    <tabColor rgb="FF4C9F38"/>
    <pageSetUpPr autoPageBreaks="0"/>
  </sheetPr>
  <dimension ref="A1:M114"/>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s>
  <sheetData>
    <row r="1" spans="1:13" s="93" customFormat="1" ht="45.6" x14ac:dyDescent="0.7">
      <c r="A1" s="139" t="s">
        <v>86</v>
      </c>
      <c r="B1" s="139" t="s">
        <v>44</v>
      </c>
      <c r="C1" s="140" t="s">
        <v>111</v>
      </c>
      <c r="D1" s="139" t="s">
        <v>112</v>
      </c>
      <c r="E1" s="139" t="s">
        <v>73</v>
      </c>
      <c r="F1" s="139" t="s">
        <v>92</v>
      </c>
      <c r="G1" s="141"/>
      <c r="H1" s="141"/>
      <c r="I1" s="142" t="s">
        <v>46</v>
      </c>
      <c r="J1" s="142" t="s">
        <v>181</v>
      </c>
      <c r="K1" s="92" t="s">
        <v>110</v>
      </c>
      <c r="L1" s="115" t="s">
        <v>172</v>
      </c>
      <c r="M1" s="116" t="s">
        <v>177</v>
      </c>
    </row>
    <row r="2" spans="1:13" x14ac:dyDescent="0.25">
      <c r="A2" s="46" t="s">
        <v>86</v>
      </c>
      <c r="B2" s="47" t="s">
        <v>195</v>
      </c>
      <c r="C2" s="48">
        <v>3.1</v>
      </c>
      <c r="D2" s="47" t="s">
        <v>197</v>
      </c>
      <c r="E2" s="47" t="s">
        <v>196</v>
      </c>
      <c r="F2" s="47" t="s">
        <v>197</v>
      </c>
      <c r="G2" s="49" t="s">
        <v>128</v>
      </c>
      <c r="H2" s="450">
        <v>1</v>
      </c>
      <c r="I2" s="122"/>
      <c r="J2" s="482">
        <f>I3</f>
        <v>25</v>
      </c>
      <c r="K2" s="52"/>
      <c r="L2">
        <v>25</v>
      </c>
      <c r="M2" s="78">
        <f>H2*L2</f>
        <v>25</v>
      </c>
    </row>
    <row r="3" spans="1:13" x14ac:dyDescent="0.25">
      <c r="A3" s="43"/>
      <c r="B3" s="44"/>
      <c r="C3" s="45"/>
      <c r="D3" s="44"/>
      <c r="E3" s="44"/>
      <c r="F3" s="44"/>
      <c r="G3" s="50" t="s">
        <v>127</v>
      </c>
      <c r="H3" s="450">
        <v>2</v>
      </c>
      <c r="I3" s="128">
        <f>IF(M4&gt;=25,25,M4)</f>
        <v>25</v>
      </c>
      <c r="J3" s="483"/>
      <c r="K3" s="53">
        <v>25</v>
      </c>
      <c r="L3">
        <v>10</v>
      </c>
      <c r="M3" s="78">
        <f>H3*L3</f>
        <v>20</v>
      </c>
    </row>
    <row r="4" spans="1:13" x14ac:dyDescent="0.25">
      <c r="A4" s="46" t="s">
        <v>86</v>
      </c>
      <c r="B4" s="47" t="s">
        <v>195</v>
      </c>
      <c r="C4" s="48">
        <v>3.2</v>
      </c>
      <c r="D4" s="47" t="s">
        <v>199</v>
      </c>
      <c r="E4" s="47" t="s">
        <v>198</v>
      </c>
      <c r="F4" s="47" t="s">
        <v>200</v>
      </c>
      <c r="G4" s="49" t="s">
        <v>120</v>
      </c>
      <c r="H4" s="450">
        <v>1</v>
      </c>
      <c r="I4" s="491">
        <f>IF(M8&gt;=K7,K7,M8)</f>
        <v>15</v>
      </c>
      <c r="J4" s="131"/>
      <c r="M4" s="78">
        <f>SUM(M2:M3)</f>
        <v>45</v>
      </c>
    </row>
    <row r="5" spans="1:13" x14ac:dyDescent="0.25">
      <c r="A5" s="60"/>
      <c r="B5" s="61"/>
      <c r="C5" s="62"/>
      <c r="D5" s="61"/>
      <c r="E5" s="61"/>
      <c r="F5" s="61"/>
      <c r="G5" s="150" t="s">
        <v>122</v>
      </c>
      <c r="H5" s="450">
        <v>1</v>
      </c>
      <c r="I5" s="492"/>
      <c r="J5" s="131"/>
      <c r="L5">
        <v>5</v>
      </c>
      <c r="M5" s="153">
        <f>L5*H4</f>
        <v>5</v>
      </c>
    </row>
    <row r="6" spans="1:13" x14ac:dyDescent="0.25">
      <c r="A6" s="43"/>
      <c r="B6" s="44"/>
      <c r="C6" s="45"/>
      <c r="D6" s="44"/>
      <c r="E6" s="44"/>
      <c r="F6" s="44"/>
      <c r="G6" s="50" t="s">
        <v>123</v>
      </c>
      <c r="H6" s="450">
        <v>1</v>
      </c>
      <c r="I6" s="493"/>
      <c r="J6" s="131"/>
      <c r="L6">
        <v>6</v>
      </c>
      <c r="M6" s="154">
        <f>L6*H5</f>
        <v>6</v>
      </c>
    </row>
    <row r="7" spans="1:13" ht="14.45" thickBot="1" x14ac:dyDescent="0.3">
      <c r="A7" s="55" t="s">
        <v>86</v>
      </c>
      <c r="B7" s="56" t="s">
        <v>195</v>
      </c>
      <c r="C7" s="57">
        <v>3.2</v>
      </c>
      <c r="D7" s="56" t="s">
        <v>199</v>
      </c>
      <c r="E7" s="56" t="s">
        <v>202</v>
      </c>
      <c r="F7" s="56" t="s">
        <v>203</v>
      </c>
      <c r="G7" s="58" t="s">
        <v>205</v>
      </c>
      <c r="H7" s="450">
        <v>11</v>
      </c>
      <c r="I7" s="59">
        <f>IF(M9&gt;=K9,K9,M9)</f>
        <v>10</v>
      </c>
      <c r="K7" s="53">
        <v>15</v>
      </c>
      <c r="L7">
        <v>7</v>
      </c>
      <c r="M7" s="156">
        <f>L7*H6</f>
        <v>7</v>
      </c>
    </row>
    <row r="8" spans="1:13" ht="14.45" thickTop="1" x14ac:dyDescent="0.25">
      <c r="A8" s="55" t="s">
        <v>86</v>
      </c>
      <c r="B8" s="56" t="s">
        <v>195</v>
      </c>
      <c r="C8" s="57">
        <v>3.2</v>
      </c>
      <c r="D8" s="56" t="s">
        <v>199</v>
      </c>
      <c r="E8" s="56" t="s">
        <v>206</v>
      </c>
      <c r="F8" s="56" t="s">
        <v>207</v>
      </c>
      <c r="G8" s="58" t="s">
        <v>208</v>
      </c>
      <c r="H8" s="450">
        <v>5</v>
      </c>
      <c r="I8" s="59">
        <f>IF(M11&gt;=K11,K11,M11)</f>
        <v>10</v>
      </c>
      <c r="J8"/>
      <c r="M8" s="155">
        <f>SUM(M5:M7)</f>
        <v>18</v>
      </c>
    </row>
    <row r="9" spans="1:13" ht="13.9" x14ac:dyDescent="0.25">
      <c r="A9" s="55" t="s">
        <v>86</v>
      </c>
      <c r="B9" s="56" t="s">
        <v>195</v>
      </c>
      <c r="C9" s="57">
        <v>3.2</v>
      </c>
      <c r="D9" s="56" t="s">
        <v>199</v>
      </c>
      <c r="E9" s="56" t="s">
        <v>209</v>
      </c>
      <c r="F9" s="56" t="s">
        <v>210</v>
      </c>
      <c r="G9" s="58" t="s">
        <v>211</v>
      </c>
      <c r="H9" s="450">
        <v>12</v>
      </c>
      <c r="I9" s="59">
        <f>IF(M14&gt;=K14,K14,M14)</f>
        <v>10</v>
      </c>
      <c r="J9"/>
      <c r="K9" s="53">
        <v>10</v>
      </c>
      <c r="L9">
        <v>10</v>
      </c>
      <c r="M9">
        <f>H7/K9*10</f>
        <v>11</v>
      </c>
    </row>
    <row r="10" spans="1:13" ht="13.9" x14ac:dyDescent="0.25">
      <c r="A10" s="55" t="s">
        <v>86</v>
      </c>
      <c r="B10" s="56" t="s">
        <v>195</v>
      </c>
      <c r="C10" s="57">
        <v>3.2</v>
      </c>
      <c r="D10" s="56" t="s">
        <v>199</v>
      </c>
      <c r="E10" s="56" t="s">
        <v>212</v>
      </c>
      <c r="F10" s="56" t="s">
        <v>215</v>
      </c>
      <c r="G10" s="58" t="s">
        <v>211</v>
      </c>
      <c r="H10" s="450">
        <v>3</v>
      </c>
      <c r="I10" s="59">
        <f>IF(M16&gt;=K16,K16,M16)</f>
        <v>10</v>
      </c>
      <c r="J10"/>
      <c r="M10"/>
    </row>
    <row r="11" spans="1:13" ht="13.9" x14ac:dyDescent="0.25">
      <c r="A11" s="55" t="s">
        <v>86</v>
      </c>
      <c r="B11" s="56" t="s">
        <v>195</v>
      </c>
      <c r="C11" s="57">
        <v>3.2</v>
      </c>
      <c r="D11" s="56" t="s">
        <v>199</v>
      </c>
      <c r="E11" s="56" t="s">
        <v>213</v>
      </c>
      <c r="F11" s="56" t="s">
        <v>216</v>
      </c>
      <c r="G11" s="58" t="s">
        <v>218</v>
      </c>
      <c r="H11" s="450">
        <v>13</v>
      </c>
      <c r="I11" s="59">
        <f>IF(M18&gt;=K18,K18,M18)</f>
        <v>10</v>
      </c>
      <c r="J11"/>
      <c r="K11" s="53">
        <v>10</v>
      </c>
      <c r="L11">
        <v>4</v>
      </c>
      <c r="M11" s="26">
        <f>H8/L11*10</f>
        <v>12.5</v>
      </c>
    </row>
    <row r="12" spans="1:13" ht="13.9" x14ac:dyDescent="0.25">
      <c r="A12" s="55" t="s">
        <v>86</v>
      </c>
      <c r="B12" s="56" t="s">
        <v>195</v>
      </c>
      <c r="C12" s="57">
        <v>3.2</v>
      </c>
      <c r="D12" s="56" t="s">
        <v>199</v>
      </c>
      <c r="E12" s="56" t="s">
        <v>214</v>
      </c>
      <c r="F12" s="56" t="s">
        <v>217</v>
      </c>
      <c r="G12" s="58" t="s">
        <v>791</v>
      </c>
      <c r="H12" s="450">
        <v>1</v>
      </c>
      <c r="I12" s="59">
        <f>IF(H12&gt;=1,1,0)</f>
        <v>1</v>
      </c>
      <c r="J12" s="152">
        <f>SUM(I4:I12)</f>
        <v>66</v>
      </c>
    </row>
    <row r="13" spans="1:13" ht="13.9" x14ac:dyDescent="0.25">
      <c r="A13" s="55"/>
      <c r="B13" s="56"/>
      <c r="C13" s="57"/>
      <c r="D13" s="56"/>
      <c r="E13" s="56"/>
      <c r="F13" s="56"/>
      <c r="G13" s="190" t="s">
        <v>248</v>
      </c>
      <c r="H13" s="450">
        <v>3</v>
      </c>
      <c r="I13" s="59">
        <f>IF(H12=0,0,IF(M21&gt;=K21,K21,M21))</f>
        <v>9</v>
      </c>
      <c r="J13" s="151"/>
    </row>
    <row r="14" spans="1:13" ht="17.45" x14ac:dyDescent="0.25">
      <c r="A14" s="143"/>
      <c r="B14" s="143"/>
      <c r="C14" s="144"/>
      <c r="D14" s="143"/>
      <c r="E14" s="143"/>
      <c r="F14" s="143"/>
      <c r="G14" s="145"/>
      <c r="H14" s="146"/>
      <c r="I14" s="147" t="s">
        <v>204</v>
      </c>
      <c r="J14" s="148">
        <f>SUM(J2:J12)</f>
        <v>91</v>
      </c>
      <c r="K14" s="53">
        <v>10</v>
      </c>
      <c r="L14">
        <v>10</v>
      </c>
      <c r="M14" s="26">
        <f>H9/L14*10</f>
        <v>12</v>
      </c>
    </row>
    <row r="15" spans="1:13" ht="13.9" x14ac:dyDescent="0.25">
      <c r="G15" s="13"/>
    </row>
    <row r="16" spans="1:13" ht="13.9" x14ac:dyDescent="0.25">
      <c r="G16" s="13"/>
      <c r="K16" s="53">
        <v>10</v>
      </c>
      <c r="L16">
        <v>2</v>
      </c>
      <c r="M16" s="26">
        <f>H10/L16*10</f>
        <v>15</v>
      </c>
    </row>
    <row r="17" spans="7:13" ht="13.9" x14ac:dyDescent="0.25">
      <c r="G17" s="13"/>
    </row>
    <row r="18" spans="7:13" ht="13.9" x14ac:dyDescent="0.25">
      <c r="G18" s="13"/>
      <c r="K18" s="53">
        <v>10</v>
      </c>
      <c r="L18">
        <v>10</v>
      </c>
      <c r="M18" s="26">
        <f>H11/L18*10</f>
        <v>13</v>
      </c>
    </row>
    <row r="19" spans="7:13" ht="13.9" x14ac:dyDescent="0.25">
      <c r="G19" s="13"/>
    </row>
    <row r="20" spans="7:13" ht="13.9" x14ac:dyDescent="0.25">
      <c r="G20" s="13"/>
      <c r="M20" s="26"/>
    </row>
    <row r="21" spans="7:13" ht="13.9" x14ac:dyDescent="0.25">
      <c r="G21" s="13"/>
      <c r="K21" s="53">
        <v>9</v>
      </c>
      <c r="L21">
        <v>2</v>
      </c>
      <c r="M21" s="370">
        <f>H13/L21*K21</f>
        <v>13.5</v>
      </c>
    </row>
    <row r="22" spans="7:13" ht="13.9" x14ac:dyDescent="0.25">
      <c r="G22" s="13"/>
      <c r="M22" s="117"/>
    </row>
    <row r="23" spans="7:13" ht="13.9" x14ac:dyDescent="0.25">
      <c r="G23" s="13"/>
    </row>
    <row r="24" spans="7:13" ht="13.9" x14ac:dyDescent="0.25">
      <c r="G24" s="13"/>
    </row>
    <row r="25" spans="7:13" ht="13.9" x14ac:dyDescent="0.25">
      <c r="G25" s="13"/>
    </row>
    <row r="26" spans="7:13" ht="13.9" x14ac:dyDescent="0.25">
      <c r="G26" s="13"/>
    </row>
    <row r="27" spans="7:13" ht="13.9" x14ac:dyDescent="0.25">
      <c r="G27" s="13"/>
    </row>
    <row r="28" spans="7:13" ht="13.9" x14ac:dyDescent="0.25">
      <c r="G28" s="13"/>
    </row>
    <row r="29" spans="7:13" ht="13.9" x14ac:dyDescent="0.25">
      <c r="G29" s="13"/>
    </row>
    <row r="30" spans="7:13" ht="13.9" x14ac:dyDescent="0.25">
      <c r="G30" s="13"/>
    </row>
    <row r="31" spans="7:13" ht="13.9" x14ac:dyDescent="0.25">
      <c r="G31" s="13"/>
    </row>
    <row r="32" spans="7:13" ht="13.9" x14ac:dyDescent="0.25">
      <c r="G32" s="13"/>
    </row>
    <row r="33" spans="7:7" ht="13.9" x14ac:dyDescent="0.25">
      <c r="G33" s="13"/>
    </row>
    <row r="34" spans="7:7" ht="13.9" x14ac:dyDescent="0.25">
      <c r="G34" s="13"/>
    </row>
    <row r="35" spans="7:7" ht="13.9" x14ac:dyDescent="0.25">
      <c r="G35" s="13"/>
    </row>
    <row r="36" spans="7:7" ht="13.9" x14ac:dyDescent="0.25">
      <c r="G36" s="13"/>
    </row>
    <row r="37" spans="7:7" ht="13.9" x14ac:dyDescent="0.25">
      <c r="G37" s="13"/>
    </row>
    <row r="38" spans="7:7" ht="13.9" x14ac:dyDescent="0.25">
      <c r="G38" s="13"/>
    </row>
    <row r="39" spans="7:7" ht="13.9" x14ac:dyDescent="0.25">
      <c r="G39" s="13"/>
    </row>
    <row r="40" spans="7:7" ht="13.9" x14ac:dyDescent="0.25">
      <c r="G40" s="13"/>
    </row>
    <row r="41" spans="7:7" ht="13.9"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sheetData>
  <sheetProtection algorithmName="SHA-512" hashValue="m4eWHX1cv3bzUNwTckc1pVFumWSCTho6igqkXVAWzxL4ArQ3P7TSraBMnZUoScvyB63mPDy7dUXO2yU7n/C60g==" saltValue="chEl2DwtHBvxlV4Nj2v3Rg==" spinCount="100000" sheet="1" objects="1" scenarios="1" selectLockedCells="1"/>
  <mergeCells count="2">
    <mergeCell ref="J2:J3"/>
    <mergeCell ref="I4:I6"/>
  </mergeCells>
  <pageMargins left="0.7" right="0.7" top="0.75" bottom="0.75" header="0.3" footer="0.3"/>
  <pageSetup paperSize="14"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63E01-62E1-4000-A035-4D5F7A9E862A}">
  <sheetPr>
    <tabColor rgb="FFC5192D"/>
    <pageSetUpPr autoPageBreaks="0"/>
  </sheetPr>
  <dimension ref="A1:N116"/>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s>
  <sheetData>
    <row r="1" spans="1:14" s="93" customFormat="1" ht="45.6" x14ac:dyDescent="0.7">
      <c r="A1" s="157" t="s">
        <v>87</v>
      </c>
      <c r="B1" s="157" t="s">
        <v>44</v>
      </c>
      <c r="C1" s="158" t="s">
        <v>111</v>
      </c>
      <c r="D1" s="157" t="s">
        <v>112</v>
      </c>
      <c r="E1" s="157" t="s">
        <v>73</v>
      </c>
      <c r="F1" s="157" t="s">
        <v>92</v>
      </c>
      <c r="G1" s="159"/>
      <c r="H1" s="159"/>
      <c r="I1" s="160" t="s">
        <v>46</v>
      </c>
      <c r="J1" s="160" t="s">
        <v>181</v>
      </c>
      <c r="K1" s="92" t="s">
        <v>110</v>
      </c>
      <c r="L1" s="115" t="s">
        <v>172</v>
      </c>
      <c r="M1" s="116" t="s">
        <v>177</v>
      </c>
    </row>
    <row r="2" spans="1:14" x14ac:dyDescent="0.25">
      <c r="A2" s="46" t="s">
        <v>87</v>
      </c>
      <c r="B2" s="47" t="s">
        <v>220</v>
      </c>
      <c r="C2" s="48">
        <v>4.0999999999999996</v>
      </c>
      <c r="D2" s="494" t="s">
        <v>221</v>
      </c>
      <c r="E2" s="47" t="s">
        <v>222</v>
      </c>
      <c r="F2" s="47" t="s">
        <v>221</v>
      </c>
      <c r="G2" s="49" t="s">
        <v>128</v>
      </c>
      <c r="H2" s="450">
        <v>1</v>
      </c>
      <c r="I2" s="122"/>
      <c r="J2" s="482">
        <f>I3</f>
        <v>25</v>
      </c>
      <c r="K2" s="52"/>
      <c r="L2">
        <v>25</v>
      </c>
      <c r="M2" s="78">
        <f>H2*L2</f>
        <v>25</v>
      </c>
    </row>
    <row r="3" spans="1:14" x14ac:dyDescent="0.25">
      <c r="A3" s="43"/>
      <c r="B3" s="44"/>
      <c r="C3" s="45"/>
      <c r="D3" s="495"/>
      <c r="E3" s="44"/>
      <c r="F3" s="44"/>
      <c r="G3" s="50" t="s">
        <v>127</v>
      </c>
      <c r="H3" s="450">
        <v>2</v>
      </c>
      <c r="I3" s="128">
        <f>IF(M4&gt;=25,25,M4)</f>
        <v>25</v>
      </c>
      <c r="J3" s="483"/>
      <c r="K3" s="53">
        <v>25</v>
      </c>
      <c r="L3">
        <v>10</v>
      </c>
      <c r="M3" s="78">
        <f>H3*L3</f>
        <v>20</v>
      </c>
    </row>
    <row r="4" spans="1:14" x14ac:dyDescent="0.25">
      <c r="A4" s="46" t="s">
        <v>87</v>
      </c>
      <c r="B4" s="47" t="s">
        <v>220</v>
      </c>
      <c r="C4" s="48">
        <v>4.2</v>
      </c>
      <c r="D4" s="47" t="s">
        <v>224</v>
      </c>
      <c r="E4" s="47" t="s">
        <v>223</v>
      </c>
      <c r="F4" s="496" t="s">
        <v>225</v>
      </c>
      <c r="G4" s="167" t="s">
        <v>229</v>
      </c>
      <c r="H4" s="451" t="s">
        <v>10</v>
      </c>
      <c r="I4" s="491">
        <f>IF(H6&gt;H5,"Can't Be!",IF(H4=M7,H6/H5*K7,IF(H4=M6,H6/H5*K6)))</f>
        <v>20</v>
      </c>
      <c r="J4" s="131"/>
      <c r="M4" s="78">
        <f>SUM(M2:M3)</f>
        <v>45</v>
      </c>
    </row>
    <row r="5" spans="1:14" x14ac:dyDescent="0.25">
      <c r="A5" s="60"/>
      <c r="B5" s="61"/>
      <c r="C5" s="62"/>
      <c r="D5" s="61"/>
      <c r="E5" s="61"/>
      <c r="F5" s="497"/>
      <c r="G5" s="168" t="s">
        <v>227</v>
      </c>
      <c r="H5" s="454">
        <v>12</v>
      </c>
      <c r="I5" s="492"/>
      <c r="J5" s="131"/>
      <c r="L5">
        <v>5</v>
      </c>
      <c r="M5" s="169">
        <f>H6/H5*K7</f>
        <v>20</v>
      </c>
    </row>
    <row r="6" spans="1:14" x14ac:dyDescent="0.25">
      <c r="A6" s="43"/>
      <c r="B6" s="44"/>
      <c r="C6" s="45"/>
      <c r="D6" s="44"/>
      <c r="E6" s="44"/>
      <c r="F6" s="498"/>
      <c r="G6" s="50" t="s">
        <v>226</v>
      </c>
      <c r="H6" s="450">
        <v>12</v>
      </c>
      <c r="I6" s="493"/>
      <c r="J6" s="178">
        <f>I4</f>
        <v>20</v>
      </c>
      <c r="K6" s="53">
        <v>20</v>
      </c>
      <c r="M6" s="154" t="s">
        <v>15</v>
      </c>
    </row>
    <row r="7" spans="1:14" ht="15.75" thickBot="1" x14ac:dyDescent="0.3">
      <c r="A7" s="46" t="s">
        <v>87</v>
      </c>
      <c r="B7" s="47" t="s">
        <v>220</v>
      </c>
      <c r="C7" s="174">
        <v>4.2</v>
      </c>
      <c r="D7" s="175" t="s">
        <v>224</v>
      </c>
      <c r="E7" s="175" t="s">
        <v>231</v>
      </c>
      <c r="F7" s="499" t="s">
        <v>230</v>
      </c>
      <c r="G7" s="49" t="s">
        <v>232</v>
      </c>
      <c r="H7" s="455">
        <v>0.8</v>
      </c>
      <c r="I7" s="501">
        <f>IF(AND(H4="No",H8=0,H7=0,),K10,IF(AND(H4="Yes",H8=0,H7=0),0,IF(H8&gt;=H7,5,IF(H8&lt;H7,0))))</f>
        <v>5</v>
      </c>
      <c r="K7" s="170">
        <v>20</v>
      </c>
      <c r="M7" s="156" t="s">
        <v>10</v>
      </c>
      <c r="N7" s="171" t="s">
        <v>228</v>
      </c>
    </row>
    <row r="8" spans="1:14" ht="15.75" thickTop="1" x14ac:dyDescent="0.25">
      <c r="A8" s="43"/>
      <c r="B8" s="44"/>
      <c r="C8" s="177"/>
      <c r="D8" s="176"/>
      <c r="E8" s="176"/>
      <c r="F8" s="500"/>
      <c r="G8" s="50" t="s">
        <v>233</v>
      </c>
      <c r="H8" s="456">
        <v>0.8</v>
      </c>
      <c r="I8" s="502"/>
      <c r="M8" s="155">
        <f>SUM(M5:M7)</f>
        <v>20</v>
      </c>
    </row>
    <row r="9" spans="1:14" ht="13.9" x14ac:dyDescent="0.25">
      <c r="A9" s="55" t="s">
        <v>87</v>
      </c>
      <c r="B9" s="56" t="s">
        <v>220</v>
      </c>
      <c r="C9" s="57">
        <v>4.3</v>
      </c>
      <c r="D9" s="56" t="s">
        <v>234</v>
      </c>
      <c r="E9" s="56" t="s">
        <v>235</v>
      </c>
      <c r="F9" s="56" t="s">
        <v>236</v>
      </c>
      <c r="G9" s="58" t="s">
        <v>237</v>
      </c>
      <c r="H9" s="450">
        <v>3</v>
      </c>
      <c r="I9" s="59">
        <f>IF(M12&gt;=K12,K12,M12)</f>
        <v>5</v>
      </c>
      <c r="J9"/>
      <c r="M9"/>
    </row>
    <row r="10" spans="1:14" ht="13.9" x14ac:dyDescent="0.25">
      <c r="A10" s="55" t="s">
        <v>87</v>
      </c>
      <c r="B10" s="56" t="s">
        <v>220</v>
      </c>
      <c r="C10" s="57">
        <v>4.3</v>
      </c>
      <c r="D10" s="56" t="s">
        <v>234</v>
      </c>
      <c r="E10" s="56" t="s">
        <v>239</v>
      </c>
      <c r="F10" s="56" t="s">
        <v>238</v>
      </c>
      <c r="G10" s="58" t="s">
        <v>240</v>
      </c>
      <c r="H10" s="450">
        <v>2</v>
      </c>
      <c r="I10" s="59">
        <f>IF(M14&gt;=K14,K14,M14)</f>
        <v>5</v>
      </c>
      <c r="J10"/>
      <c r="K10" s="53">
        <v>5</v>
      </c>
      <c r="L10">
        <v>5</v>
      </c>
      <c r="M10"/>
    </row>
    <row r="11" spans="1:14" ht="13.9" x14ac:dyDescent="0.25">
      <c r="A11" s="55" t="s">
        <v>87</v>
      </c>
      <c r="B11" s="56" t="s">
        <v>220</v>
      </c>
      <c r="C11" s="57">
        <v>4.3</v>
      </c>
      <c r="D11" s="56" t="s">
        <v>234</v>
      </c>
      <c r="E11" s="56" t="s">
        <v>241</v>
      </c>
      <c r="F11" s="56" t="s">
        <v>242</v>
      </c>
      <c r="G11" s="58" t="s">
        <v>761</v>
      </c>
      <c r="H11" s="450">
        <v>1</v>
      </c>
      <c r="I11" s="59">
        <f>IF(M16&gt;=K16,K16,M16)</f>
        <v>5</v>
      </c>
      <c r="J11"/>
      <c r="M11"/>
    </row>
    <row r="12" spans="1:14" ht="13.9" x14ac:dyDescent="0.25">
      <c r="A12" s="55" t="s">
        <v>87</v>
      </c>
      <c r="B12" s="56" t="s">
        <v>220</v>
      </c>
      <c r="C12" s="57">
        <v>4.3</v>
      </c>
      <c r="D12" s="56" t="s">
        <v>234</v>
      </c>
      <c r="E12" s="56" t="s">
        <v>243</v>
      </c>
      <c r="F12" s="56" t="s">
        <v>244</v>
      </c>
      <c r="G12" s="58" t="s">
        <v>245</v>
      </c>
      <c r="H12" s="450">
        <v>2</v>
      </c>
      <c r="I12" s="59">
        <f>IF(M18&gt;=K18,K18,M18)</f>
        <v>5</v>
      </c>
      <c r="J12"/>
      <c r="K12" s="53">
        <v>5</v>
      </c>
      <c r="L12">
        <v>2</v>
      </c>
      <c r="M12" s="25">
        <f>H9/L12*K12</f>
        <v>7.5</v>
      </c>
    </row>
    <row r="13" spans="1:14" ht="13.9" x14ac:dyDescent="0.25">
      <c r="A13" s="46" t="s">
        <v>87</v>
      </c>
      <c r="B13" s="47" t="s">
        <v>220</v>
      </c>
      <c r="C13" s="48">
        <v>4.3</v>
      </c>
      <c r="D13" s="47" t="s">
        <v>234</v>
      </c>
      <c r="E13" s="47" t="s">
        <v>247</v>
      </c>
      <c r="F13" s="47" t="s">
        <v>246</v>
      </c>
      <c r="G13" s="49" t="s">
        <v>249</v>
      </c>
      <c r="H13" s="450">
        <v>1</v>
      </c>
      <c r="I13" s="122">
        <f>IF(H13&gt;=1,1,0)</f>
        <v>1</v>
      </c>
      <c r="J13"/>
    </row>
    <row r="14" spans="1:14" ht="13.9" x14ac:dyDescent="0.25">
      <c r="A14" s="43"/>
      <c r="B14" s="44"/>
      <c r="C14" s="45"/>
      <c r="D14" s="44"/>
      <c r="E14" s="44"/>
      <c r="F14" s="44"/>
      <c r="G14" s="50" t="s">
        <v>248</v>
      </c>
      <c r="H14" s="450">
        <v>3</v>
      </c>
      <c r="I14" s="128">
        <f>IF(H13=0,0,IF(M21&gt;=K21,K21,M21))</f>
        <v>4</v>
      </c>
      <c r="J14" s="178">
        <f>SUM(I7:I14)</f>
        <v>30</v>
      </c>
      <c r="K14" s="53">
        <v>5</v>
      </c>
      <c r="L14">
        <v>2</v>
      </c>
      <c r="M14" s="25">
        <f>H10/L14*K14</f>
        <v>5</v>
      </c>
    </row>
    <row r="15" spans="1:14" ht="13.9" x14ac:dyDescent="0.25">
      <c r="A15" s="55" t="s">
        <v>87</v>
      </c>
      <c r="B15" s="56" t="s">
        <v>220</v>
      </c>
      <c r="C15" s="57">
        <v>4.4000000000000004</v>
      </c>
      <c r="D15" s="56" t="s">
        <v>234</v>
      </c>
      <c r="E15" s="56" t="s">
        <v>250</v>
      </c>
      <c r="F15" s="56" t="s">
        <v>244</v>
      </c>
      <c r="G15" s="58" t="s">
        <v>251</v>
      </c>
      <c r="H15" s="455">
        <v>0.11</v>
      </c>
      <c r="I15" s="59">
        <f>IF(M23&gt;=K23,K23,M23)</f>
        <v>25</v>
      </c>
      <c r="J15" s="178">
        <f>I15</f>
        <v>25</v>
      </c>
    </row>
    <row r="16" spans="1:14" ht="17.45" x14ac:dyDescent="0.25">
      <c r="A16" s="161"/>
      <c r="B16" s="161"/>
      <c r="C16" s="162"/>
      <c r="D16" s="161"/>
      <c r="E16" s="161"/>
      <c r="F16" s="161"/>
      <c r="G16" s="163"/>
      <c r="H16" s="164"/>
      <c r="I16" s="165" t="s">
        <v>219</v>
      </c>
      <c r="J16" s="166">
        <f>SUM(J2:J15)</f>
        <v>100</v>
      </c>
      <c r="K16" s="53">
        <v>5</v>
      </c>
      <c r="L16">
        <v>1</v>
      </c>
      <c r="M16" s="25">
        <f>H11/L16*K16</f>
        <v>5</v>
      </c>
    </row>
    <row r="17" spans="7:13" ht="13.9" x14ac:dyDescent="0.25">
      <c r="G17" s="13"/>
    </row>
    <row r="18" spans="7:13" ht="13.9" x14ac:dyDescent="0.25">
      <c r="G18" s="13"/>
      <c r="K18" s="53">
        <v>5</v>
      </c>
      <c r="L18">
        <v>2</v>
      </c>
      <c r="M18" s="25">
        <f>H12/L18*K18</f>
        <v>5</v>
      </c>
    </row>
    <row r="20" spans="7:13" ht="13.9" x14ac:dyDescent="0.25">
      <c r="G20" s="13"/>
    </row>
    <row r="21" spans="7:13" ht="13.9" x14ac:dyDescent="0.25">
      <c r="G21" s="13"/>
      <c r="K21" s="53">
        <v>4</v>
      </c>
      <c r="L21">
        <v>2</v>
      </c>
      <c r="M21" s="25">
        <f>H14/L21*K21</f>
        <v>6</v>
      </c>
    </row>
    <row r="22" spans="7:13" ht="13.9" x14ac:dyDescent="0.25">
      <c r="G22" s="13"/>
    </row>
    <row r="23" spans="7:13" ht="13.9" x14ac:dyDescent="0.25">
      <c r="G23" s="13"/>
      <c r="K23" s="53">
        <v>25</v>
      </c>
      <c r="L23" s="10">
        <v>0.1</v>
      </c>
      <c r="M23" s="25">
        <f>H15/L23*K23</f>
        <v>27.499999999999996</v>
      </c>
    </row>
    <row r="24" spans="7:13" ht="13.9" x14ac:dyDescent="0.25">
      <c r="G24" s="13"/>
    </row>
    <row r="25" spans="7:13" ht="13.9" x14ac:dyDescent="0.25">
      <c r="G25" s="13"/>
      <c r="M25" s="117"/>
    </row>
    <row r="26" spans="7:13" ht="13.9" x14ac:dyDescent="0.25">
      <c r="G26" s="13"/>
    </row>
    <row r="27" spans="7:13" ht="13.9" x14ac:dyDescent="0.25">
      <c r="G27" s="13"/>
    </row>
    <row r="28" spans="7:13" ht="13.9" x14ac:dyDescent="0.25">
      <c r="G28" s="13"/>
    </row>
    <row r="29" spans="7:13" ht="13.9" x14ac:dyDescent="0.25">
      <c r="G29" s="13"/>
    </row>
    <row r="30" spans="7:13" ht="13.9" x14ac:dyDescent="0.25">
      <c r="G30" s="13"/>
    </row>
    <row r="31" spans="7:13" ht="13.9" x14ac:dyDescent="0.25">
      <c r="G31" s="13"/>
    </row>
    <row r="32" spans="7:13" ht="13.9" x14ac:dyDescent="0.25">
      <c r="G32" s="13"/>
    </row>
    <row r="33" spans="7:7" ht="13.9" x14ac:dyDescent="0.25">
      <c r="G33" s="13"/>
    </row>
    <row r="34" spans="7:7" ht="13.9" x14ac:dyDescent="0.25">
      <c r="G34" s="13"/>
    </row>
    <row r="35" spans="7:7" ht="13.9" x14ac:dyDescent="0.25">
      <c r="G35" s="13"/>
    </row>
    <row r="36" spans="7:7" ht="13.9" x14ac:dyDescent="0.25">
      <c r="G36" s="13"/>
    </row>
    <row r="37" spans="7:7" ht="13.9" x14ac:dyDescent="0.25">
      <c r="G37" s="13"/>
    </row>
    <row r="38" spans="7:7" ht="13.9" x14ac:dyDescent="0.25">
      <c r="G38" s="13"/>
    </row>
    <row r="39" spans="7:7" ht="13.9" x14ac:dyDescent="0.25">
      <c r="G39" s="13"/>
    </row>
    <row r="40" spans="7:7" ht="13.9" x14ac:dyDescent="0.25">
      <c r="G40" s="13"/>
    </row>
    <row r="41" spans="7:7" ht="13.9"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sheetData>
  <sheetProtection algorithmName="SHA-512" hashValue="G1wuNdXEGLhKdEFHw64QW9l+CQ2DYU0qOinB4Jl9MmCzKLAWKwAJfcU3ff/NiZxKhb6lV3eAH0kQq366gP0oBw==" saltValue="Z9x7Ip5+Q1LBEF4i8nwFJA==" spinCount="100000" sheet="1" objects="1" scenarios="1" selectLockedCells="1"/>
  <mergeCells count="6">
    <mergeCell ref="D2:D3"/>
    <mergeCell ref="J2:J3"/>
    <mergeCell ref="I4:I6"/>
    <mergeCell ref="F4:F6"/>
    <mergeCell ref="F7:F8"/>
    <mergeCell ref="I7:I8"/>
  </mergeCells>
  <dataValidations disablePrompts="1" count="1">
    <dataValidation type="list" showInputMessage="1" showErrorMessage="1" sqref="H4" xr:uid="{56DCD71A-EBE8-4868-926E-9DA98212DBED}">
      <formula1>yesno</formula1>
    </dataValidation>
  </dataValidations>
  <pageMargins left="0.7" right="0.7" top="0.75" bottom="0.75" header="0.3" footer="0.3"/>
  <pageSetup paperSize="14"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D4F3C-7A90-4AA8-8ED1-BF93F20E1D74}">
  <sheetPr>
    <tabColor rgb="FFFF3A21"/>
    <pageSetUpPr autoPageBreaks="0"/>
  </sheetPr>
  <dimension ref="A1:N123"/>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6.5703125" style="30" bestFit="1" customWidth="1"/>
    <col min="14" max="14" width="2" bestFit="1" customWidth="1"/>
  </cols>
  <sheetData>
    <row r="1" spans="1:13" s="93" customFormat="1" ht="45.6" x14ac:dyDescent="0.7">
      <c r="A1" s="185" t="s">
        <v>88</v>
      </c>
      <c r="B1" s="185" t="s">
        <v>44</v>
      </c>
      <c r="C1" s="186" t="s">
        <v>111</v>
      </c>
      <c r="D1" s="185" t="s">
        <v>112</v>
      </c>
      <c r="E1" s="185" t="s">
        <v>73</v>
      </c>
      <c r="F1" s="185" t="s">
        <v>92</v>
      </c>
      <c r="G1" s="187"/>
      <c r="H1" s="187"/>
      <c r="I1" s="188" t="s">
        <v>46</v>
      </c>
      <c r="J1" s="188" t="s">
        <v>181</v>
      </c>
      <c r="K1" s="92" t="s">
        <v>110</v>
      </c>
      <c r="L1" s="115" t="s">
        <v>172</v>
      </c>
      <c r="M1" s="116" t="s">
        <v>177</v>
      </c>
    </row>
    <row r="2" spans="1:13" x14ac:dyDescent="0.25">
      <c r="A2" s="46" t="s">
        <v>88</v>
      </c>
      <c r="B2" s="47" t="s">
        <v>254</v>
      </c>
      <c r="C2" s="48">
        <v>5.0999999999999996</v>
      </c>
      <c r="D2" s="47" t="s">
        <v>253</v>
      </c>
      <c r="E2" s="47" t="s">
        <v>255</v>
      </c>
      <c r="F2" s="47" t="s">
        <v>253</v>
      </c>
      <c r="G2" s="49" t="s">
        <v>128</v>
      </c>
      <c r="H2" s="450">
        <v>1</v>
      </c>
      <c r="I2" s="122"/>
      <c r="J2" s="482">
        <f>I3</f>
        <v>25</v>
      </c>
      <c r="K2" s="52"/>
      <c r="L2">
        <v>25</v>
      </c>
      <c r="M2" s="78">
        <f>H2*L2</f>
        <v>25</v>
      </c>
    </row>
    <row r="3" spans="1:13" x14ac:dyDescent="0.25">
      <c r="A3" s="43"/>
      <c r="B3" s="44"/>
      <c r="C3" s="45"/>
      <c r="D3" s="44"/>
      <c r="E3" s="44"/>
      <c r="F3" s="44"/>
      <c r="G3" s="50" t="s">
        <v>127</v>
      </c>
      <c r="H3" s="450">
        <v>2</v>
      </c>
      <c r="I3" s="128">
        <f>IF(M4&gt;=25,25,M4)</f>
        <v>25</v>
      </c>
      <c r="J3" s="483"/>
      <c r="K3" s="53">
        <v>25</v>
      </c>
      <c r="L3">
        <v>10</v>
      </c>
      <c r="M3" s="78">
        <f>H3*L3</f>
        <v>20</v>
      </c>
    </row>
    <row r="4" spans="1:13" ht="13.9" x14ac:dyDescent="0.25">
      <c r="A4" s="55" t="s">
        <v>88</v>
      </c>
      <c r="B4" s="56" t="s">
        <v>254</v>
      </c>
      <c r="C4" s="57">
        <v>5.2</v>
      </c>
      <c r="D4" s="56" t="s">
        <v>256</v>
      </c>
      <c r="E4" s="56" t="s">
        <v>257</v>
      </c>
      <c r="F4" s="189" t="s">
        <v>258</v>
      </c>
      <c r="G4" s="190" t="s">
        <v>259</v>
      </c>
      <c r="H4" s="456">
        <v>0.51</v>
      </c>
      <c r="I4" s="59">
        <f>IF(M5&gt;=K5,K5,M5)</f>
        <v>5</v>
      </c>
      <c r="J4" s="131"/>
      <c r="M4" s="78">
        <f>SUM(M2:M3)</f>
        <v>45</v>
      </c>
    </row>
    <row r="5" spans="1:13" ht="13.9" x14ac:dyDescent="0.25">
      <c r="A5" s="70" t="s">
        <v>88</v>
      </c>
      <c r="B5" s="71" t="s">
        <v>254</v>
      </c>
      <c r="C5" s="72">
        <v>5.3</v>
      </c>
      <c r="D5" s="189" t="s">
        <v>260</v>
      </c>
      <c r="E5" s="71" t="s">
        <v>261</v>
      </c>
      <c r="F5" s="196" t="s">
        <v>262</v>
      </c>
      <c r="G5" s="58" t="s">
        <v>249</v>
      </c>
      <c r="H5" s="457">
        <v>3</v>
      </c>
      <c r="I5" s="59">
        <f>IF(H5&gt;=1,1,0)</f>
        <v>1</v>
      </c>
      <c r="K5" s="53">
        <v>5</v>
      </c>
      <c r="L5" s="29">
        <v>0.5</v>
      </c>
      <c r="M5" s="192">
        <f>H4/L5*K5</f>
        <v>5.0999999999999996</v>
      </c>
    </row>
    <row r="6" spans="1:13" ht="13.9" x14ac:dyDescent="0.25">
      <c r="A6" s="70"/>
      <c r="B6" s="71"/>
      <c r="C6" s="72"/>
      <c r="D6" s="189"/>
      <c r="E6" s="71"/>
      <c r="F6" s="196"/>
      <c r="G6" s="58" t="s">
        <v>263</v>
      </c>
      <c r="H6" s="457">
        <v>3</v>
      </c>
      <c r="I6" s="59">
        <f>IF(H5=0,0,IF(M8&gt;=L8,K8,M8))</f>
        <v>2</v>
      </c>
      <c r="L6" s="29"/>
      <c r="M6" s="192"/>
    </row>
    <row r="7" spans="1:13" ht="30" x14ac:dyDescent="0.25">
      <c r="A7" s="70" t="s">
        <v>88</v>
      </c>
      <c r="B7" s="71" t="s">
        <v>254</v>
      </c>
      <c r="C7" s="72">
        <v>5.3</v>
      </c>
      <c r="D7" s="189" t="s">
        <v>260</v>
      </c>
      <c r="E7" s="71" t="s">
        <v>265</v>
      </c>
      <c r="F7" s="71" t="s">
        <v>264</v>
      </c>
      <c r="G7" s="58" t="s">
        <v>269</v>
      </c>
      <c r="H7" s="450">
        <v>2</v>
      </c>
      <c r="I7" s="59">
        <f>IF(M9&gt;=K9,K9,M9)</f>
        <v>3</v>
      </c>
      <c r="J7"/>
      <c r="M7"/>
    </row>
    <row r="8" spans="1:13" ht="30" x14ac:dyDescent="0.25">
      <c r="A8" s="70" t="s">
        <v>88</v>
      </c>
      <c r="B8" s="71" t="s">
        <v>254</v>
      </c>
      <c r="C8" s="72">
        <v>5.3</v>
      </c>
      <c r="D8" s="189" t="s">
        <v>260</v>
      </c>
      <c r="E8" s="71" t="s">
        <v>266</v>
      </c>
      <c r="F8" s="71" t="s">
        <v>267</v>
      </c>
      <c r="G8" s="73" t="s">
        <v>268</v>
      </c>
      <c r="H8" s="452">
        <v>3</v>
      </c>
      <c r="I8" s="149">
        <f>IF(M12&gt;=K12,K12,M12)</f>
        <v>4</v>
      </c>
      <c r="J8"/>
      <c r="K8" s="53">
        <v>2</v>
      </c>
      <c r="L8">
        <v>2</v>
      </c>
      <c r="M8" s="25">
        <f>H6/L8*K8</f>
        <v>3</v>
      </c>
    </row>
    <row r="9" spans="1:13" ht="27.6" x14ac:dyDescent="0.25">
      <c r="A9" s="55" t="s">
        <v>88</v>
      </c>
      <c r="B9" s="56" t="s">
        <v>254</v>
      </c>
      <c r="C9" s="57">
        <v>5.5</v>
      </c>
      <c r="D9" s="56" t="s">
        <v>270</v>
      </c>
      <c r="E9" s="56" t="s">
        <v>762</v>
      </c>
      <c r="F9" s="230" t="s">
        <v>271</v>
      </c>
      <c r="G9" s="58" t="s">
        <v>272</v>
      </c>
      <c r="H9" s="455">
        <v>0.63</v>
      </c>
      <c r="I9" s="59">
        <f>IF(M14&gt;=K14,K14,M14)</f>
        <v>10</v>
      </c>
      <c r="J9"/>
      <c r="K9" s="53">
        <v>3</v>
      </c>
      <c r="L9">
        <v>2</v>
      </c>
      <c r="M9" s="25">
        <f>H7/L9*K9</f>
        <v>3</v>
      </c>
    </row>
    <row r="10" spans="1:13" ht="30" x14ac:dyDescent="0.25">
      <c r="A10" s="70" t="s">
        <v>88</v>
      </c>
      <c r="B10" s="71" t="s">
        <v>254</v>
      </c>
      <c r="C10" s="72">
        <v>5.6</v>
      </c>
      <c r="D10" s="196" t="s">
        <v>273</v>
      </c>
      <c r="E10" s="71" t="s">
        <v>834</v>
      </c>
      <c r="F10" s="71" t="s">
        <v>275</v>
      </c>
      <c r="G10" s="58" t="s">
        <v>791</v>
      </c>
      <c r="H10" s="452">
        <v>5</v>
      </c>
      <c r="I10" s="200">
        <f>IF(M10&gt;=K10,K10,M10)</f>
        <v>4</v>
      </c>
      <c r="J10"/>
      <c r="K10" s="53">
        <v>4</v>
      </c>
      <c r="L10">
        <v>4</v>
      </c>
      <c r="M10" s="25">
        <f>H10/L10*K10</f>
        <v>5</v>
      </c>
    </row>
    <row r="11" spans="1:13" ht="30" x14ac:dyDescent="0.25">
      <c r="A11" s="70" t="s">
        <v>88</v>
      </c>
      <c r="B11" s="71" t="s">
        <v>254</v>
      </c>
      <c r="C11" s="72">
        <v>5.6</v>
      </c>
      <c r="D11" s="196" t="s">
        <v>273</v>
      </c>
      <c r="E11" s="71" t="s">
        <v>274</v>
      </c>
      <c r="F11" s="71"/>
      <c r="G11" s="58" t="s">
        <v>835</v>
      </c>
      <c r="H11" s="452">
        <v>7</v>
      </c>
      <c r="I11" s="200">
        <f>IF(H10=0,0,IF(M11&gt;=K11,K11,M11))</f>
        <v>6</v>
      </c>
      <c r="J11" s="439">
        <f>SUM(I4:I11)</f>
        <v>35</v>
      </c>
      <c r="K11" s="53">
        <v>6</v>
      </c>
      <c r="L11">
        <v>6</v>
      </c>
      <c r="M11" s="25">
        <f>H11/L11*K11</f>
        <v>7</v>
      </c>
    </row>
    <row r="12" spans="1:13" ht="13.9" x14ac:dyDescent="0.25">
      <c r="A12" s="70" t="s">
        <v>88</v>
      </c>
      <c r="B12" s="71" t="s">
        <v>254</v>
      </c>
      <c r="C12" s="72">
        <v>5.7</v>
      </c>
      <c r="D12" s="196" t="s">
        <v>276</v>
      </c>
      <c r="E12" s="71" t="s">
        <v>277</v>
      </c>
      <c r="F12" s="71" t="s">
        <v>278</v>
      </c>
      <c r="G12" s="58" t="s">
        <v>279</v>
      </c>
      <c r="H12" s="452">
        <v>87</v>
      </c>
      <c r="I12" s="195">
        <f>IF(M21&gt;=K21,K21,M21)</f>
        <v>4</v>
      </c>
      <c r="J12" s="197"/>
      <c r="K12" s="53">
        <v>4</v>
      </c>
      <c r="L12">
        <v>2</v>
      </c>
      <c r="M12" s="25">
        <f>H8/L12*K12</f>
        <v>6</v>
      </c>
    </row>
    <row r="13" spans="1:13" ht="13.9" x14ac:dyDescent="0.25">
      <c r="A13" s="70" t="s">
        <v>88</v>
      </c>
      <c r="B13" s="71" t="s">
        <v>254</v>
      </c>
      <c r="C13" s="72">
        <v>5.7</v>
      </c>
      <c r="D13" s="196" t="s">
        <v>276</v>
      </c>
      <c r="E13" s="71" t="s">
        <v>280</v>
      </c>
      <c r="F13" s="71" t="s">
        <v>281</v>
      </c>
      <c r="G13" s="58" t="s">
        <v>282</v>
      </c>
      <c r="H13" s="452">
        <v>2</v>
      </c>
      <c r="I13" s="195">
        <f>IF(M23&gt;=K23,K23,M23)</f>
        <v>4</v>
      </c>
      <c r="J13" s="197"/>
    </row>
    <row r="14" spans="1:13" ht="13.9" x14ac:dyDescent="0.25">
      <c r="A14" s="198" t="s">
        <v>88</v>
      </c>
      <c r="B14" s="175" t="s">
        <v>254</v>
      </c>
      <c r="C14" s="174">
        <v>5.7</v>
      </c>
      <c r="D14" s="199" t="s">
        <v>276</v>
      </c>
      <c r="E14" s="175" t="s">
        <v>283</v>
      </c>
      <c r="F14" s="175" t="s">
        <v>284</v>
      </c>
      <c r="G14" s="49" t="s">
        <v>766</v>
      </c>
      <c r="H14" s="458" t="s">
        <v>10</v>
      </c>
      <c r="I14" s="200">
        <f>IF(AND(H14="Yes",H15&lt;&gt;""),2,IF(AND(H14="Yes",H15=""),0,IF(AND(H14="No",H15&lt;&gt;""),1,0)))</f>
        <v>2</v>
      </c>
      <c r="J14" s="197"/>
      <c r="K14" s="53">
        <v>10</v>
      </c>
      <c r="L14" s="12">
        <v>0.5</v>
      </c>
      <c r="M14" s="25">
        <f>H9/L14*K14</f>
        <v>12.6</v>
      </c>
    </row>
    <row r="15" spans="1:13" s="74" customFormat="1" ht="13.9" x14ac:dyDescent="0.25">
      <c r="A15" s="201"/>
      <c r="B15" s="176"/>
      <c r="C15" s="177"/>
      <c r="D15" s="202"/>
      <c r="E15" s="176"/>
      <c r="F15" s="176"/>
      <c r="G15" s="50" t="s">
        <v>765</v>
      </c>
      <c r="H15" s="459" t="s">
        <v>768</v>
      </c>
      <c r="I15" s="203"/>
      <c r="J15" s="197"/>
    </row>
    <row r="16" spans="1:13" ht="13.9" x14ac:dyDescent="0.25">
      <c r="A16" s="70" t="s">
        <v>88</v>
      </c>
      <c r="B16" s="71" t="s">
        <v>254</v>
      </c>
      <c r="C16" s="72">
        <v>5.8</v>
      </c>
      <c r="D16" s="196" t="s">
        <v>289</v>
      </c>
      <c r="E16" s="71" t="s">
        <v>291</v>
      </c>
      <c r="F16" s="71" t="s">
        <v>290</v>
      </c>
      <c r="G16" s="204" t="s">
        <v>295</v>
      </c>
      <c r="H16" s="460">
        <v>0.05</v>
      </c>
      <c r="I16" s="195">
        <f>IF(M28&gt;=K28,K28,M28)</f>
        <v>10</v>
      </c>
    </row>
    <row r="17" spans="1:14" ht="13.9" x14ac:dyDescent="0.25">
      <c r="A17" s="70" t="s">
        <v>88</v>
      </c>
      <c r="B17" s="71" t="s">
        <v>254</v>
      </c>
      <c r="C17" s="72">
        <v>5.9</v>
      </c>
      <c r="D17" s="196" t="s">
        <v>292</v>
      </c>
      <c r="E17" s="71" t="s">
        <v>293</v>
      </c>
      <c r="F17" s="71" t="s">
        <v>294</v>
      </c>
      <c r="G17" s="58" t="s">
        <v>769</v>
      </c>
      <c r="H17" s="461">
        <v>6</v>
      </c>
      <c r="I17" s="193">
        <f>IF(M30&gt;=L30,K30,M30/L30*K30)</f>
        <v>8</v>
      </c>
    </row>
    <row r="18" spans="1:14" ht="13.9" x14ac:dyDescent="0.25">
      <c r="A18" s="70" t="s">
        <v>88</v>
      </c>
      <c r="B18" s="71" t="s">
        <v>254</v>
      </c>
      <c r="C18" s="72">
        <v>5.9</v>
      </c>
      <c r="D18" s="196" t="s">
        <v>292</v>
      </c>
      <c r="E18" s="71" t="s">
        <v>771</v>
      </c>
      <c r="F18" s="71" t="s">
        <v>772</v>
      </c>
      <c r="G18" s="58" t="s">
        <v>770</v>
      </c>
      <c r="H18" s="461">
        <v>5</v>
      </c>
      <c r="I18" s="194"/>
    </row>
    <row r="19" spans="1:14" ht="13.9" x14ac:dyDescent="0.25">
      <c r="A19" s="70" t="s">
        <v>88</v>
      </c>
      <c r="B19" s="71" t="s">
        <v>254</v>
      </c>
      <c r="C19" s="72">
        <v>5.9</v>
      </c>
      <c r="D19" s="196" t="s">
        <v>292</v>
      </c>
      <c r="E19" s="71" t="s">
        <v>296</v>
      </c>
      <c r="F19" s="71" t="s">
        <v>297</v>
      </c>
      <c r="G19" s="58" t="s">
        <v>298</v>
      </c>
      <c r="H19" s="452">
        <v>5</v>
      </c>
      <c r="I19" s="195">
        <f>IF(M34&gt;=K34,K34,M34)</f>
        <v>2</v>
      </c>
    </row>
    <row r="20" spans="1:14" ht="13.9" x14ac:dyDescent="0.25">
      <c r="A20" s="198" t="s">
        <v>88</v>
      </c>
      <c r="B20" s="175" t="s">
        <v>254</v>
      </c>
      <c r="C20" s="174" t="s">
        <v>299</v>
      </c>
      <c r="D20" s="199" t="s">
        <v>300</v>
      </c>
      <c r="E20" s="175" t="s">
        <v>301</v>
      </c>
      <c r="F20" s="175" t="s">
        <v>302</v>
      </c>
      <c r="G20" s="49" t="s">
        <v>306</v>
      </c>
      <c r="H20" s="461">
        <v>6</v>
      </c>
      <c r="I20" s="193"/>
    </row>
    <row r="21" spans="1:14" ht="13.9" x14ac:dyDescent="0.25">
      <c r="A21" s="201"/>
      <c r="B21" s="176"/>
      <c r="C21" s="177"/>
      <c r="D21" s="202"/>
      <c r="E21" s="176"/>
      <c r="F21" s="176"/>
      <c r="G21" s="50" t="s">
        <v>307</v>
      </c>
      <c r="H21" s="462">
        <v>6</v>
      </c>
      <c r="I21" s="194">
        <f>IF(M37&gt;=K37,K37,M37)</f>
        <v>5</v>
      </c>
      <c r="K21" s="53">
        <v>4</v>
      </c>
      <c r="L21">
        <v>86</v>
      </c>
      <c r="M21" s="25">
        <f>H12/L21*K21</f>
        <v>4.0465116279069768</v>
      </c>
    </row>
    <row r="22" spans="1:14" ht="13.9" x14ac:dyDescent="0.25">
      <c r="A22" s="70" t="s">
        <v>88</v>
      </c>
      <c r="B22" s="71" t="s">
        <v>254</v>
      </c>
      <c r="C22" s="72" t="s">
        <v>305</v>
      </c>
      <c r="D22" s="196" t="s">
        <v>304</v>
      </c>
      <c r="E22" s="71" t="s">
        <v>303</v>
      </c>
      <c r="F22" s="71" t="s">
        <v>308</v>
      </c>
      <c r="G22" s="204" t="s">
        <v>309</v>
      </c>
      <c r="H22" s="452">
        <v>7</v>
      </c>
      <c r="I22" s="195">
        <f>IF(M39&gt;=K39,K39,M39)</f>
        <v>5</v>
      </c>
      <c r="J22" s="178">
        <f>SUM(I12:I22)</f>
        <v>40</v>
      </c>
    </row>
    <row r="23" spans="1:14" ht="17.45" x14ac:dyDescent="0.25">
      <c r="A23" s="179"/>
      <c r="B23" s="179"/>
      <c r="C23" s="180"/>
      <c r="D23" s="179"/>
      <c r="E23" s="179"/>
      <c r="F23" s="179"/>
      <c r="G23" s="181"/>
      <c r="H23" s="182"/>
      <c r="I23" s="183" t="s">
        <v>252</v>
      </c>
      <c r="J23" s="184">
        <f>SUM(J2:J22)</f>
        <v>100</v>
      </c>
      <c r="K23" s="53">
        <v>4</v>
      </c>
      <c r="L23">
        <v>2</v>
      </c>
      <c r="M23" s="25">
        <f>H13/L23*K23</f>
        <v>4</v>
      </c>
    </row>
    <row r="24" spans="1:14" ht="13.9" x14ac:dyDescent="0.25">
      <c r="G24" s="13"/>
    </row>
    <row r="25" spans="1:14" ht="13.9" x14ac:dyDescent="0.25">
      <c r="G25" s="13"/>
      <c r="K25" s="53">
        <v>4</v>
      </c>
      <c r="L25">
        <v>2</v>
      </c>
      <c r="M25" s="437" t="s">
        <v>285</v>
      </c>
      <c r="N25">
        <f>L25</f>
        <v>2</v>
      </c>
    </row>
    <row r="26" spans="1:14" ht="13.9" x14ac:dyDescent="0.25">
      <c r="G26" s="13"/>
      <c r="L26">
        <v>1</v>
      </c>
      <c r="M26" s="438" t="s">
        <v>286</v>
      </c>
      <c r="N26">
        <f>L26</f>
        <v>1</v>
      </c>
    </row>
    <row r="27" spans="1:14" ht="13.9" x14ac:dyDescent="0.25">
      <c r="G27" s="13"/>
    </row>
    <row r="28" spans="1:14" ht="13.9" x14ac:dyDescent="0.25">
      <c r="G28" s="13"/>
      <c r="K28" s="53">
        <v>10</v>
      </c>
      <c r="L28" s="10">
        <v>0.05</v>
      </c>
      <c r="M28" s="25">
        <f>H16/L28*K28</f>
        <v>10</v>
      </c>
    </row>
    <row r="29" spans="1:14" ht="13.9" x14ac:dyDescent="0.25">
      <c r="G29" s="13"/>
    </row>
    <row r="30" spans="1:14" ht="13.9" x14ac:dyDescent="0.25">
      <c r="G30" s="13"/>
      <c r="K30" s="53">
        <v>8</v>
      </c>
      <c r="L30">
        <v>11</v>
      </c>
      <c r="M30" s="25">
        <f>SUM(H17:H18)</f>
        <v>11</v>
      </c>
    </row>
    <row r="31" spans="1:14" ht="13.9" x14ac:dyDescent="0.25">
      <c r="G31" s="13"/>
      <c r="K31" s="440"/>
      <c r="M31" s="25"/>
    </row>
    <row r="32" spans="1:14" ht="13.9" x14ac:dyDescent="0.25">
      <c r="G32" s="13"/>
    </row>
    <row r="33" spans="7:13" ht="13.9" x14ac:dyDescent="0.25">
      <c r="G33" s="13"/>
    </row>
    <row r="34" spans="7:13" ht="13.9" x14ac:dyDescent="0.25">
      <c r="G34" s="13"/>
      <c r="K34" s="53">
        <v>2</v>
      </c>
      <c r="L34">
        <v>5</v>
      </c>
      <c r="M34" s="25">
        <f>H19/L34*K34</f>
        <v>2</v>
      </c>
    </row>
    <row r="35" spans="7:13" ht="13.9" x14ac:dyDescent="0.25">
      <c r="G35" s="13"/>
    </row>
    <row r="36" spans="7:13" ht="13.9" x14ac:dyDescent="0.25">
      <c r="G36" s="13"/>
    </row>
    <row r="37" spans="7:13" x14ac:dyDescent="0.25">
      <c r="G37" s="13"/>
      <c r="K37" s="53">
        <v>5</v>
      </c>
      <c r="M37" s="25">
        <f>H21/H20*K37</f>
        <v>5</v>
      </c>
    </row>
    <row r="38" spans="7:13" x14ac:dyDescent="0.25">
      <c r="G38" s="13"/>
    </row>
    <row r="39" spans="7:13" x14ac:dyDescent="0.25">
      <c r="G39" s="13"/>
      <c r="K39" s="53">
        <v>5</v>
      </c>
      <c r="L39">
        <v>7</v>
      </c>
      <c r="M39" s="25">
        <f>H22/L39*K39</f>
        <v>5</v>
      </c>
    </row>
    <row r="40" spans="7:13" x14ac:dyDescent="0.25">
      <c r="G40" s="13"/>
    </row>
    <row r="41" spans="7:13" x14ac:dyDescent="0.25">
      <c r="G41" s="13"/>
      <c r="M41" s="117"/>
    </row>
    <row r="42" spans="7:13" x14ac:dyDescent="0.25">
      <c r="G42" s="13"/>
    </row>
    <row r="43" spans="7:13" x14ac:dyDescent="0.25">
      <c r="G43" s="13"/>
    </row>
    <row r="44" spans="7:13" x14ac:dyDescent="0.25">
      <c r="G44" s="13"/>
    </row>
    <row r="45" spans="7:13" x14ac:dyDescent="0.25">
      <c r="G45" s="13"/>
    </row>
    <row r="46" spans="7:13" x14ac:dyDescent="0.25">
      <c r="G46" s="13"/>
    </row>
    <row r="47" spans="7:13" x14ac:dyDescent="0.25">
      <c r="G47" s="13"/>
    </row>
    <row r="48" spans="7:13"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row r="117" spans="7:7" x14ac:dyDescent="0.25">
      <c r="G117" s="13"/>
    </row>
    <row r="118" spans="7:7" x14ac:dyDescent="0.25">
      <c r="G118" s="13"/>
    </row>
    <row r="119" spans="7:7" x14ac:dyDescent="0.25">
      <c r="G119" s="13"/>
    </row>
    <row r="120" spans="7:7" x14ac:dyDescent="0.25">
      <c r="G120" s="13"/>
    </row>
    <row r="121" spans="7:7" x14ac:dyDescent="0.25">
      <c r="G121" s="13"/>
    </row>
    <row r="122" spans="7:7" x14ac:dyDescent="0.25">
      <c r="G122" s="13"/>
    </row>
    <row r="123" spans="7:7" x14ac:dyDescent="0.25">
      <c r="G123" s="13"/>
    </row>
  </sheetData>
  <sheetProtection algorithmName="SHA-512" hashValue="woPvkvGePnH+LDG+q/DzSXlVlgO6yRbBEcOwwTeRVpvNoa3UpPXEYn7iD1MS+qR5S5Fzw+8ptShfixN9jp0Mog==" saltValue="2sgDKdYNtXds5lbl1U0AZA==" spinCount="100000" sheet="1" objects="1" scenarios="1" selectLockedCells="1"/>
  <mergeCells count="1">
    <mergeCell ref="J2:J3"/>
  </mergeCells>
  <dataValidations count="2">
    <dataValidation showInputMessage="1" showErrorMessage="1" sqref="H15" xr:uid="{45A25CD7-2C68-45F9-8160-2B75186FAF52}"/>
    <dataValidation type="list" showInputMessage="1" showErrorMessage="1" sqref="H14" xr:uid="{42555526-832F-4202-91C0-9565D93C2B21}">
      <formula1>yesno</formula1>
    </dataValidation>
  </dataValidations>
  <pageMargins left="0.7" right="0.7" top="0.75" bottom="0.75" header="0.3" footer="0.3"/>
  <pageSetup paperSize="14"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71F55-2BFC-4357-A6C0-C535DEE5BF45}">
  <sheetPr>
    <tabColor rgb="FF26BDE2"/>
    <pageSetUpPr autoPageBreaks="0"/>
  </sheetPr>
  <dimension ref="A1:M118"/>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s>
  <sheetData>
    <row r="1" spans="1:13" s="93" customFormat="1" ht="45.6" x14ac:dyDescent="0.7">
      <c r="A1" s="205" t="s">
        <v>89</v>
      </c>
      <c r="B1" s="205" t="s">
        <v>44</v>
      </c>
      <c r="C1" s="206" t="s">
        <v>111</v>
      </c>
      <c r="D1" s="205" t="s">
        <v>112</v>
      </c>
      <c r="E1" s="205" t="s">
        <v>73</v>
      </c>
      <c r="F1" s="205" t="s">
        <v>92</v>
      </c>
      <c r="G1" s="207"/>
      <c r="H1" s="207"/>
      <c r="I1" s="208" t="s">
        <v>46</v>
      </c>
      <c r="J1" s="208" t="s">
        <v>181</v>
      </c>
      <c r="K1" s="92" t="s">
        <v>110</v>
      </c>
      <c r="L1" s="115" t="s">
        <v>172</v>
      </c>
      <c r="M1" s="116" t="s">
        <v>177</v>
      </c>
    </row>
    <row r="2" spans="1:13" x14ac:dyDescent="0.25">
      <c r="A2" s="46" t="s">
        <v>89</v>
      </c>
      <c r="B2" s="47" t="s">
        <v>311</v>
      </c>
      <c r="C2" s="48">
        <v>6.1</v>
      </c>
      <c r="D2" s="47" t="s">
        <v>312</v>
      </c>
      <c r="E2" s="47" t="s">
        <v>313</v>
      </c>
      <c r="F2" s="47" t="s">
        <v>312</v>
      </c>
      <c r="G2" s="49" t="s">
        <v>128</v>
      </c>
      <c r="H2" s="450">
        <v>1</v>
      </c>
      <c r="I2" s="122"/>
      <c r="J2" s="482">
        <f>I3</f>
        <v>25</v>
      </c>
      <c r="K2" s="52"/>
      <c r="L2">
        <v>25</v>
      </c>
      <c r="M2" s="78">
        <f>H2*L2</f>
        <v>25</v>
      </c>
    </row>
    <row r="3" spans="1:13" x14ac:dyDescent="0.25">
      <c r="A3" s="43"/>
      <c r="B3" s="44"/>
      <c r="C3" s="45"/>
      <c r="D3" s="44"/>
      <c r="E3" s="44"/>
      <c r="F3" s="44"/>
      <c r="G3" s="50" t="s">
        <v>127</v>
      </c>
      <c r="H3" s="450">
        <v>2</v>
      </c>
      <c r="I3" s="128">
        <f>IF(M4&gt;=25,25,M4)</f>
        <v>25</v>
      </c>
      <c r="J3" s="483"/>
      <c r="K3" s="53">
        <v>25</v>
      </c>
      <c r="L3">
        <v>10</v>
      </c>
      <c r="M3" s="78">
        <f>H3*L3</f>
        <v>20</v>
      </c>
    </row>
    <row r="4" spans="1:13" ht="13.9" x14ac:dyDescent="0.25">
      <c r="A4" s="55" t="s">
        <v>89</v>
      </c>
      <c r="B4" s="56" t="s">
        <v>311</v>
      </c>
      <c r="C4" s="57">
        <v>6.2</v>
      </c>
      <c r="D4" s="56" t="s">
        <v>314</v>
      </c>
      <c r="E4" s="56" t="s">
        <v>315</v>
      </c>
      <c r="F4" s="189" t="s">
        <v>314</v>
      </c>
      <c r="G4" s="190" t="s">
        <v>316</v>
      </c>
      <c r="H4" s="457">
        <v>9.9</v>
      </c>
      <c r="I4" s="59">
        <f>IF(M5&gt;=K5,K5,M5)</f>
        <v>20</v>
      </c>
      <c r="J4" s="131"/>
      <c r="M4" s="78">
        <f>SUM(M2:M3)</f>
        <v>45</v>
      </c>
    </row>
    <row r="5" spans="1:13" ht="13.9" x14ac:dyDescent="0.25">
      <c r="A5" s="70" t="s">
        <v>89</v>
      </c>
      <c r="B5" s="71" t="s">
        <v>311</v>
      </c>
      <c r="C5" s="72">
        <v>6.3</v>
      </c>
      <c r="D5" s="189" t="s">
        <v>317</v>
      </c>
      <c r="E5" s="71" t="s">
        <v>318</v>
      </c>
      <c r="F5" s="196" t="s">
        <v>319</v>
      </c>
      <c r="G5" s="204" t="s">
        <v>320</v>
      </c>
      <c r="H5" s="463" t="s">
        <v>10</v>
      </c>
      <c r="I5" s="59">
        <f>IF(H5=L7,M7,0)</f>
        <v>5</v>
      </c>
      <c r="K5" s="53">
        <v>20</v>
      </c>
      <c r="L5" s="215">
        <v>10</v>
      </c>
      <c r="M5" s="191">
        <f>IFERROR(L5/H4*K5,"0")</f>
        <v>20.202020202020204</v>
      </c>
    </row>
    <row r="6" spans="1:13" ht="13.9" x14ac:dyDescent="0.25">
      <c r="A6" s="70" t="s">
        <v>89</v>
      </c>
      <c r="B6" s="71" t="s">
        <v>311</v>
      </c>
      <c r="C6" s="72">
        <v>6.3</v>
      </c>
      <c r="D6" s="189" t="s">
        <v>317</v>
      </c>
      <c r="E6" s="71" t="s">
        <v>321</v>
      </c>
      <c r="F6" s="71" t="s">
        <v>322</v>
      </c>
      <c r="G6" s="58" t="s">
        <v>323</v>
      </c>
      <c r="H6" s="450">
        <v>7</v>
      </c>
      <c r="I6" s="59">
        <f>IF(M9&gt;=K9,K9,M9)</f>
        <v>5</v>
      </c>
      <c r="J6"/>
      <c r="M6"/>
    </row>
    <row r="7" spans="1:13" ht="13.9" x14ac:dyDescent="0.25">
      <c r="A7" s="198" t="s">
        <v>89</v>
      </c>
      <c r="B7" s="175" t="s">
        <v>311</v>
      </c>
      <c r="C7" s="174">
        <v>6.3</v>
      </c>
      <c r="D7" s="172" t="s">
        <v>317</v>
      </c>
      <c r="E7" s="175" t="s">
        <v>324</v>
      </c>
      <c r="F7" s="175" t="s">
        <v>326</v>
      </c>
      <c r="G7" s="216" t="s">
        <v>328</v>
      </c>
      <c r="H7" s="452">
        <v>4</v>
      </c>
      <c r="I7" s="200"/>
      <c r="J7"/>
      <c r="K7" s="53">
        <v>5</v>
      </c>
      <c r="L7" s="13" t="s">
        <v>10</v>
      </c>
      <c r="M7" s="25">
        <f>K7</f>
        <v>5</v>
      </c>
    </row>
    <row r="8" spans="1:13" ht="13.9" x14ac:dyDescent="0.25">
      <c r="A8" s="201"/>
      <c r="B8" s="176"/>
      <c r="C8" s="177"/>
      <c r="D8" s="173"/>
      <c r="E8" s="176"/>
      <c r="F8" s="176"/>
      <c r="G8" s="217" t="s">
        <v>329</v>
      </c>
      <c r="H8" s="452">
        <v>4</v>
      </c>
      <c r="I8" s="203">
        <f>IF(M13&gt;=K13,K13,M13)</f>
        <v>5</v>
      </c>
      <c r="J8"/>
      <c r="L8" s="13" t="s">
        <v>15</v>
      </c>
      <c r="M8">
        <v>0</v>
      </c>
    </row>
    <row r="9" spans="1:13" ht="13.9" x14ac:dyDescent="0.25">
      <c r="A9" s="55" t="s">
        <v>89</v>
      </c>
      <c r="B9" s="56" t="s">
        <v>311</v>
      </c>
      <c r="C9" s="72">
        <v>6.3</v>
      </c>
      <c r="D9" s="189" t="s">
        <v>317</v>
      </c>
      <c r="E9" s="56" t="s">
        <v>325</v>
      </c>
      <c r="F9" s="56" t="s">
        <v>327</v>
      </c>
      <c r="G9" s="58" t="s">
        <v>763</v>
      </c>
      <c r="H9" s="450">
        <v>5</v>
      </c>
      <c r="I9" s="59">
        <f>IF(M15&gt;=K15,K15,M15)</f>
        <v>5</v>
      </c>
      <c r="J9"/>
      <c r="K9" s="53">
        <v>5</v>
      </c>
      <c r="L9">
        <v>5</v>
      </c>
      <c r="M9" s="25">
        <f>H6/L9*K9</f>
        <v>7</v>
      </c>
    </row>
    <row r="10" spans="1:13" ht="13.9" x14ac:dyDescent="0.25">
      <c r="A10" s="55" t="s">
        <v>89</v>
      </c>
      <c r="B10" s="56" t="s">
        <v>311</v>
      </c>
      <c r="C10" s="72">
        <v>6.3</v>
      </c>
      <c r="D10" s="189" t="s">
        <v>317</v>
      </c>
      <c r="E10" s="56" t="s">
        <v>330</v>
      </c>
      <c r="F10" s="56" t="s">
        <v>331</v>
      </c>
      <c r="G10" s="58" t="s">
        <v>332</v>
      </c>
      <c r="H10" s="464">
        <v>5</v>
      </c>
      <c r="I10" s="59">
        <f>IF(M17&gt;=K17,K17,M17)</f>
        <v>5</v>
      </c>
      <c r="J10"/>
    </row>
    <row r="11" spans="1:13" s="74" customFormat="1" ht="13.9" x14ac:dyDescent="0.25">
      <c r="A11" s="70" t="s">
        <v>89</v>
      </c>
      <c r="B11" s="71" t="s">
        <v>311</v>
      </c>
      <c r="C11" s="72">
        <v>6.4</v>
      </c>
      <c r="D11" s="196" t="s">
        <v>333</v>
      </c>
      <c r="E11" s="71" t="s">
        <v>792</v>
      </c>
      <c r="F11" s="71" t="s">
        <v>335</v>
      </c>
      <c r="G11" s="58" t="s">
        <v>793</v>
      </c>
      <c r="H11" s="473">
        <v>1</v>
      </c>
      <c r="I11" s="149">
        <f>IF(H11&gt;=1,1,0)</f>
        <v>1</v>
      </c>
    </row>
    <row r="12" spans="1:13" s="74" customFormat="1" ht="13.9" x14ac:dyDescent="0.25">
      <c r="A12" s="70" t="s">
        <v>89</v>
      </c>
      <c r="B12" s="71" t="s">
        <v>311</v>
      </c>
      <c r="C12" s="72">
        <v>6.4</v>
      </c>
      <c r="D12" s="196" t="s">
        <v>333</v>
      </c>
      <c r="E12" s="71" t="s">
        <v>334</v>
      </c>
      <c r="F12" s="71" t="s">
        <v>335</v>
      </c>
      <c r="G12" s="58" t="s">
        <v>336</v>
      </c>
      <c r="H12" s="460">
        <v>0.92</v>
      </c>
      <c r="I12" s="149">
        <f>IF(M19&gt;=K19,K19,M19)</f>
        <v>9</v>
      </c>
    </row>
    <row r="13" spans="1:13" s="74" customFormat="1" ht="13.9" x14ac:dyDescent="0.25">
      <c r="A13" s="70" t="s">
        <v>89</v>
      </c>
      <c r="B13" s="71" t="s">
        <v>311</v>
      </c>
      <c r="C13" s="72">
        <v>6.5</v>
      </c>
      <c r="D13" s="196" t="s">
        <v>337</v>
      </c>
      <c r="E13" s="71" t="s">
        <v>338</v>
      </c>
      <c r="F13" s="71" t="s">
        <v>339</v>
      </c>
      <c r="G13" s="58" t="s">
        <v>340</v>
      </c>
      <c r="H13" s="452">
        <v>3</v>
      </c>
      <c r="I13" s="195">
        <f>IF(M21&gt;=K21,K21,M21)</f>
        <v>4</v>
      </c>
      <c r="J13" s="197"/>
      <c r="K13" s="53">
        <v>5</v>
      </c>
      <c r="L13"/>
      <c r="M13" s="25">
        <f>H7/H8*5</f>
        <v>5</v>
      </c>
    </row>
    <row r="14" spans="1:13" ht="27.6" x14ac:dyDescent="0.25">
      <c r="A14" s="70" t="s">
        <v>89</v>
      </c>
      <c r="B14" s="71" t="s">
        <v>311</v>
      </c>
      <c r="C14" s="72">
        <v>6.5</v>
      </c>
      <c r="D14" s="196" t="s">
        <v>337</v>
      </c>
      <c r="E14" s="71" t="s">
        <v>342</v>
      </c>
      <c r="F14" s="71" t="s">
        <v>341</v>
      </c>
      <c r="G14" s="219" t="s">
        <v>343</v>
      </c>
      <c r="H14" s="452">
        <v>3</v>
      </c>
      <c r="I14" s="195">
        <f>IF(M23&gt;=K23,K23,M23)</f>
        <v>4</v>
      </c>
      <c r="J14" s="197"/>
    </row>
    <row r="15" spans="1:13" ht="13.9" x14ac:dyDescent="0.25">
      <c r="A15" s="70" t="s">
        <v>89</v>
      </c>
      <c r="B15" s="71" t="s">
        <v>311</v>
      </c>
      <c r="C15" s="72">
        <v>6.5</v>
      </c>
      <c r="D15" s="196" t="s">
        <v>337</v>
      </c>
      <c r="E15" s="71" t="s">
        <v>344</v>
      </c>
      <c r="F15" s="71" t="s">
        <v>345</v>
      </c>
      <c r="G15" s="204" t="s">
        <v>346</v>
      </c>
      <c r="H15" s="452">
        <v>2</v>
      </c>
      <c r="I15" s="195">
        <f>IF(M25&gt;=K25,K25,M25)</f>
        <v>4</v>
      </c>
      <c r="J15" s="197"/>
      <c r="K15" s="53">
        <v>5</v>
      </c>
      <c r="L15">
        <v>5</v>
      </c>
      <c r="M15" s="25">
        <f>H9/L15*K15</f>
        <v>5</v>
      </c>
    </row>
    <row r="16" spans="1:13" ht="27.6" x14ac:dyDescent="0.25">
      <c r="A16" s="70" t="s">
        <v>89</v>
      </c>
      <c r="B16" s="71" t="s">
        <v>311</v>
      </c>
      <c r="C16" s="72">
        <v>6.5</v>
      </c>
      <c r="D16" s="196" t="s">
        <v>337</v>
      </c>
      <c r="E16" s="71" t="s">
        <v>348</v>
      </c>
      <c r="F16" s="71" t="s">
        <v>347</v>
      </c>
      <c r="G16" s="393" t="s">
        <v>349</v>
      </c>
      <c r="H16" s="452">
        <v>2</v>
      </c>
      <c r="I16" s="195">
        <f>IF(M27&gt;=K27,K27,M27)</f>
        <v>4</v>
      </c>
      <c r="J16" s="197"/>
    </row>
    <row r="17" spans="1:13" ht="27.6" x14ac:dyDescent="0.25">
      <c r="A17" s="70" t="s">
        <v>89</v>
      </c>
      <c r="B17" s="71" t="s">
        <v>311</v>
      </c>
      <c r="C17" s="72">
        <v>6.5</v>
      </c>
      <c r="D17" s="196" t="s">
        <v>337</v>
      </c>
      <c r="E17" s="71" t="s">
        <v>351</v>
      </c>
      <c r="F17" s="71" t="s">
        <v>350</v>
      </c>
      <c r="G17" s="219" t="s">
        <v>352</v>
      </c>
      <c r="H17" s="452">
        <v>3</v>
      </c>
      <c r="I17" s="195">
        <f>IF(M29&gt;=K29,K29,M29)</f>
        <v>4</v>
      </c>
      <c r="J17" s="178">
        <f>SUM(I4:I17)</f>
        <v>75</v>
      </c>
      <c r="K17" s="53">
        <v>5</v>
      </c>
      <c r="L17">
        <v>5</v>
      </c>
      <c r="M17" s="25">
        <f>H10/L17*K17</f>
        <v>5</v>
      </c>
    </row>
    <row r="18" spans="1:13" ht="17.45" x14ac:dyDescent="0.25">
      <c r="A18" s="209"/>
      <c r="B18" s="209"/>
      <c r="C18" s="210"/>
      <c r="D18" s="209"/>
      <c r="E18" s="209"/>
      <c r="F18" s="209"/>
      <c r="G18" s="211"/>
      <c r="H18" s="212"/>
      <c r="I18" s="213" t="s">
        <v>310</v>
      </c>
      <c r="J18" s="214">
        <f>SUM(J2:J17)</f>
        <v>100</v>
      </c>
    </row>
    <row r="19" spans="1:13" s="74" customFormat="1" ht="13.9" x14ac:dyDescent="0.25">
      <c r="A19"/>
      <c r="B19"/>
      <c r="C19" s="5"/>
      <c r="D19"/>
      <c r="E19"/>
      <c r="F19"/>
      <c r="G19" s="13"/>
      <c r="H19"/>
      <c r="I19" s="123"/>
      <c r="J19" s="123"/>
      <c r="K19" s="53">
        <v>9</v>
      </c>
      <c r="L19" s="15">
        <v>0.9</v>
      </c>
      <c r="M19" s="218">
        <f>H12/L19*K19</f>
        <v>9.1999999999999993</v>
      </c>
    </row>
    <row r="20" spans="1:13" ht="13.9" x14ac:dyDescent="0.25">
      <c r="G20" s="13"/>
    </row>
    <row r="21" spans="1:13" ht="13.9" x14ac:dyDescent="0.25">
      <c r="G21" s="13"/>
      <c r="K21" s="53">
        <v>4</v>
      </c>
      <c r="L21">
        <v>3</v>
      </c>
      <c r="M21" s="25">
        <f>H13/L21*K21</f>
        <v>4</v>
      </c>
    </row>
    <row r="22" spans="1:13" ht="13.9" x14ac:dyDescent="0.25">
      <c r="G22" s="13"/>
    </row>
    <row r="23" spans="1:13" ht="13.9" x14ac:dyDescent="0.25">
      <c r="G23" s="13"/>
      <c r="K23" s="53">
        <v>4</v>
      </c>
      <c r="L23">
        <v>3</v>
      </c>
      <c r="M23" s="25">
        <f>H14/L23*K23</f>
        <v>4</v>
      </c>
    </row>
    <row r="24" spans="1:13" ht="13.9" x14ac:dyDescent="0.25">
      <c r="G24" s="13"/>
    </row>
    <row r="25" spans="1:13" ht="13.9" x14ac:dyDescent="0.25">
      <c r="G25" s="13"/>
      <c r="K25" s="53">
        <v>4</v>
      </c>
      <c r="L25">
        <v>2</v>
      </c>
      <c r="M25" s="25">
        <f>H15/L25*K25</f>
        <v>4</v>
      </c>
    </row>
    <row r="26" spans="1:13" ht="13.9" x14ac:dyDescent="0.25">
      <c r="G26" s="13"/>
    </row>
    <row r="27" spans="1:13" ht="13.9" x14ac:dyDescent="0.25">
      <c r="G27" s="13"/>
      <c r="K27" s="53">
        <v>4</v>
      </c>
      <c r="L27">
        <v>2</v>
      </c>
      <c r="M27" s="25">
        <f>H16/L27*K27</f>
        <v>4</v>
      </c>
    </row>
    <row r="28" spans="1:13" ht="13.9" x14ac:dyDescent="0.25">
      <c r="G28" s="13"/>
    </row>
    <row r="29" spans="1:13" ht="13.9" x14ac:dyDescent="0.25">
      <c r="G29" s="13"/>
      <c r="K29" s="53">
        <v>4</v>
      </c>
      <c r="L29">
        <v>2</v>
      </c>
      <c r="M29" s="25">
        <f>H17/L29*K29</f>
        <v>6</v>
      </c>
    </row>
    <row r="30" spans="1:13" ht="13.9" x14ac:dyDescent="0.25">
      <c r="G30" s="13"/>
    </row>
    <row r="31" spans="1:13" ht="13.9" x14ac:dyDescent="0.25">
      <c r="G31" s="13"/>
      <c r="M31" s="117"/>
    </row>
    <row r="32" spans="1:13" ht="13.9" x14ac:dyDescent="0.25">
      <c r="G32" s="13"/>
    </row>
    <row r="33" spans="7:7" ht="13.9" x14ac:dyDescent="0.25">
      <c r="G33" s="13"/>
    </row>
    <row r="34" spans="7:7" ht="13.9" x14ac:dyDescent="0.25">
      <c r="G34" s="13"/>
    </row>
    <row r="35" spans="7:7" ht="13.9" x14ac:dyDescent="0.25">
      <c r="G35" s="13"/>
    </row>
    <row r="36" spans="7:7" ht="13.9" x14ac:dyDescent="0.25">
      <c r="G36" s="13"/>
    </row>
    <row r="37" spans="7:7" ht="13.9" x14ac:dyDescent="0.25">
      <c r="G37" s="13"/>
    </row>
    <row r="38" spans="7:7" ht="13.9" x14ac:dyDescent="0.25">
      <c r="G38" s="13"/>
    </row>
    <row r="39" spans="7:7" ht="13.9" x14ac:dyDescent="0.25">
      <c r="G39" s="13"/>
    </row>
    <row r="40" spans="7:7" x14ac:dyDescent="0.25">
      <c r="G40" s="13"/>
    </row>
    <row r="41" spans="7:7"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row r="117" spans="7:7" x14ac:dyDescent="0.25">
      <c r="G117" s="13"/>
    </row>
    <row r="118" spans="7:7" x14ac:dyDescent="0.25">
      <c r="G118" s="13"/>
    </row>
  </sheetData>
  <sheetProtection algorithmName="SHA-512" hashValue="XiMKe1MTo4KKq4BadXLjmAJLpebNnu2e0qzBq3mr/gEV5UeOV4yzc4eEpP7gVcLNtqHYNaMcHn/irAFhH/4foQ==" saltValue="NQBGBU6w8+Brlk+Gn/Y29g==" spinCount="100000" sheet="1" objects="1" scenarios="1" selectLockedCells="1"/>
  <mergeCells count="1">
    <mergeCell ref="J2:J3"/>
  </mergeCells>
  <dataValidations count="1">
    <dataValidation type="list" showInputMessage="1" showErrorMessage="1" sqref="H5" xr:uid="{3D23DB34-402A-4ADF-AA25-5162ABC9D39A}">
      <formula1>yesno</formula1>
    </dataValidation>
  </dataValidations>
  <pageMargins left="0.7" right="0.7" top="0.75" bottom="0.75" header="0.3" footer="0.3"/>
  <pageSetup paperSize="14"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177A-4E83-40F6-B349-DD434B926B52}">
  <sheetPr>
    <tabColor rgb="FFFCC30B"/>
    <pageSetUpPr autoPageBreaks="0"/>
  </sheetPr>
  <dimension ref="A1:P120"/>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s>
  <sheetData>
    <row r="1" spans="1:16" s="93" customFormat="1" ht="45.6" x14ac:dyDescent="0.7">
      <c r="A1" s="220" t="s">
        <v>90</v>
      </c>
      <c r="B1" s="220" t="s">
        <v>44</v>
      </c>
      <c r="C1" s="221" t="s">
        <v>111</v>
      </c>
      <c r="D1" s="220" t="s">
        <v>112</v>
      </c>
      <c r="E1" s="220" t="s">
        <v>73</v>
      </c>
      <c r="F1" s="220" t="s">
        <v>92</v>
      </c>
      <c r="G1" s="222"/>
      <c r="H1" s="222"/>
      <c r="I1" s="223" t="s">
        <v>46</v>
      </c>
      <c r="J1" s="223" t="s">
        <v>181</v>
      </c>
      <c r="K1" s="92" t="s">
        <v>110</v>
      </c>
      <c r="L1" s="115" t="s">
        <v>172</v>
      </c>
      <c r="M1" s="116" t="s">
        <v>177</v>
      </c>
    </row>
    <row r="2" spans="1:16" x14ac:dyDescent="0.25">
      <c r="A2" s="46" t="s">
        <v>90</v>
      </c>
      <c r="B2" s="47" t="s">
        <v>354</v>
      </c>
      <c r="C2" s="48">
        <v>7.1</v>
      </c>
      <c r="D2" s="47" t="s">
        <v>355</v>
      </c>
      <c r="E2" s="47" t="s">
        <v>356</v>
      </c>
      <c r="F2" s="47" t="s">
        <v>355</v>
      </c>
      <c r="G2" s="49" t="s">
        <v>128</v>
      </c>
      <c r="H2" s="450">
        <v>1</v>
      </c>
      <c r="I2" s="122"/>
      <c r="J2" s="482">
        <f>I3</f>
        <v>25</v>
      </c>
      <c r="K2" s="52"/>
      <c r="L2">
        <v>25</v>
      </c>
      <c r="M2" s="78">
        <f>H2*L2</f>
        <v>25</v>
      </c>
    </row>
    <row r="3" spans="1:16" x14ac:dyDescent="0.25">
      <c r="A3" s="43"/>
      <c r="B3" s="44"/>
      <c r="C3" s="45"/>
      <c r="D3" s="44"/>
      <c r="E3" s="44"/>
      <c r="F3" s="44"/>
      <c r="G3" s="50" t="s">
        <v>127</v>
      </c>
      <c r="H3" s="450">
        <v>2</v>
      </c>
      <c r="I3" s="128">
        <f>IF(N3&gt;=25,25,N3)</f>
        <v>25</v>
      </c>
      <c r="J3" s="483"/>
      <c r="K3" s="53">
        <v>25</v>
      </c>
      <c r="L3">
        <v>10</v>
      </c>
      <c r="M3" s="78">
        <f>H3*L3</f>
        <v>20</v>
      </c>
      <c r="N3" s="78">
        <f>SUM(M2:M3)</f>
        <v>45</v>
      </c>
    </row>
    <row r="4" spans="1:16" ht="13.9" x14ac:dyDescent="0.25">
      <c r="A4" s="70" t="s">
        <v>90</v>
      </c>
      <c r="B4" s="71" t="s">
        <v>354</v>
      </c>
      <c r="C4" s="72">
        <v>7.2</v>
      </c>
      <c r="D4" s="196" t="s">
        <v>359</v>
      </c>
      <c r="E4" s="71" t="s">
        <v>357</v>
      </c>
      <c r="F4" s="189" t="s">
        <v>358</v>
      </c>
      <c r="G4" s="231" t="s">
        <v>791</v>
      </c>
      <c r="H4" s="452">
        <v>1</v>
      </c>
      <c r="I4" s="195">
        <f>IF(H4&gt;=1,1,0)</f>
        <v>1</v>
      </c>
      <c r="J4" s="197"/>
      <c r="K4" s="53">
        <v>3</v>
      </c>
      <c r="L4">
        <v>2</v>
      </c>
      <c r="M4" s="25">
        <f>H5/L4*K4</f>
        <v>3</v>
      </c>
    </row>
    <row r="5" spans="1:16" ht="13.9" x14ac:dyDescent="0.25">
      <c r="A5" s="70" t="s">
        <v>90</v>
      </c>
      <c r="B5" s="71" t="s">
        <v>354</v>
      </c>
      <c r="C5" s="72">
        <v>7.2</v>
      </c>
      <c r="D5" s="196" t="s">
        <v>359</v>
      </c>
      <c r="E5" s="71"/>
      <c r="F5" s="189"/>
      <c r="G5" s="231" t="s">
        <v>248</v>
      </c>
      <c r="H5" s="452">
        <v>2</v>
      </c>
      <c r="I5" s="195">
        <f>IF(H4=0,0,IF(M4&gt;=K4,K4,M4))</f>
        <v>3</v>
      </c>
      <c r="J5" s="197"/>
      <c r="K5" s="53">
        <v>3</v>
      </c>
      <c r="L5">
        <v>2</v>
      </c>
      <c r="M5" s="25">
        <f>H7/L5*K5</f>
        <v>4.5</v>
      </c>
    </row>
    <row r="6" spans="1:16" ht="13.9" x14ac:dyDescent="0.25">
      <c r="A6" s="70" t="s">
        <v>90</v>
      </c>
      <c r="B6" s="71" t="s">
        <v>354</v>
      </c>
      <c r="C6" s="72">
        <v>7.2</v>
      </c>
      <c r="D6" s="196" t="s">
        <v>359</v>
      </c>
      <c r="E6" s="71" t="s">
        <v>360</v>
      </c>
      <c r="F6" s="196" t="s">
        <v>361</v>
      </c>
      <c r="G6" s="231" t="s">
        <v>791</v>
      </c>
      <c r="H6" s="452">
        <v>1</v>
      </c>
      <c r="I6" s="195">
        <f>IF(H6&gt;=1,1,0)</f>
        <v>1</v>
      </c>
      <c r="J6" s="197"/>
      <c r="K6" s="53">
        <v>4</v>
      </c>
      <c r="L6">
        <v>2</v>
      </c>
      <c r="M6" s="25">
        <f>H8/L6*K6</f>
        <v>6</v>
      </c>
    </row>
    <row r="7" spans="1:16" ht="13.9" x14ac:dyDescent="0.25">
      <c r="A7" s="70" t="s">
        <v>90</v>
      </c>
      <c r="B7" s="71" t="s">
        <v>354</v>
      </c>
      <c r="C7" s="72">
        <v>7.2</v>
      </c>
      <c r="D7" s="196" t="s">
        <v>359</v>
      </c>
      <c r="E7" s="71" t="s">
        <v>360</v>
      </c>
      <c r="F7" s="196"/>
      <c r="G7" s="204" t="s">
        <v>362</v>
      </c>
      <c r="H7" s="452">
        <v>3</v>
      </c>
      <c r="I7" s="195">
        <f>IF(H6=0,0,IF(M5&gt;=K5,K5,M5))</f>
        <v>3</v>
      </c>
      <c r="J7" s="197"/>
      <c r="K7" s="53">
        <v>4</v>
      </c>
      <c r="L7" s="15">
        <v>0.05</v>
      </c>
      <c r="M7" s="25">
        <f>H9/L7*K7</f>
        <v>4</v>
      </c>
    </row>
    <row r="8" spans="1:16" ht="27.6" x14ac:dyDescent="0.25">
      <c r="A8" s="70" t="s">
        <v>90</v>
      </c>
      <c r="B8" s="71" t="s">
        <v>354</v>
      </c>
      <c r="C8" s="72">
        <v>7.2</v>
      </c>
      <c r="D8" s="196" t="s">
        <v>359</v>
      </c>
      <c r="E8" s="71" t="s">
        <v>363</v>
      </c>
      <c r="F8" s="71" t="s">
        <v>364</v>
      </c>
      <c r="G8" s="219" t="s">
        <v>365</v>
      </c>
      <c r="H8" s="450">
        <v>3</v>
      </c>
      <c r="I8" s="59">
        <f>IF(M6&gt;=K6,K6,M6)</f>
        <v>4</v>
      </c>
      <c r="J8"/>
      <c r="K8" s="53">
        <v>5</v>
      </c>
      <c r="L8" s="13" t="s">
        <v>10</v>
      </c>
      <c r="M8" s="25">
        <f>K8</f>
        <v>5</v>
      </c>
    </row>
    <row r="9" spans="1:16" ht="13.9" x14ac:dyDescent="0.25">
      <c r="A9" s="70" t="s">
        <v>90</v>
      </c>
      <c r="B9" s="71" t="s">
        <v>354</v>
      </c>
      <c r="C9" s="72">
        <v>7.2</v>
      </c>
      <c r="D9" s="189" t="s">
        <v>359</v>
      </c>
      <c r="E9" s="71" t="s">
        <v>366</v>
      </c>
      <c r="F9" s="71" t="s">
        <v>367</v>
      </c>
      <c r="G9" s="219" t="s">
        <v>773</v>
      </c>
      <c r="H9" s="455">
        <v>0.05</v>
      </c>
      <c r="I9" s="59">
        <f>IF(H9&gt;=L7,K7,M7)</f>
        <v>4</v>
      </c>
      <c r="J9"/>
      <c r="L9" s="13" t="s">
        <v>15</v>
      </c>
      <c r="M9">
        <v>0</v>
      </c>
    </row>
    <row r="10" spans="1:16" ht="13.9" x14ac:dyDescent="0.25">
      <c r="A10" s="55" t="s">
        <v>90</v>
      </c>
      <c r="B10" s="71" t="s">
        <v>354</v>
      </c>
      <c r="C10" s="72">
        <v>7.2</v>
      </c>
      <c r="D10" s="189" t="s">
        <v>359</v>
      </c>
      <c r="E10" s="71" t="s">
        <v>368</v>
      </c>
      <c r="F10" s="71" t="s">
        <v>369</v>
      </c>
      <c r="G10" s="58" t="s">
        <v>370</v>
      </c>
      <c r="H10" s="463" t="s">
        <v>10</v>
      </c>
      <c r="I10" s="59">
        <f>IF(H10=L8,M8,0)</f>
        <v>5</v>
      </c>
    </row>
    <row r="11" spans="1:16" ht="13.9" x14ac:dyDescent="0.25">
      <c r="A11" s="55" t="s">
        <v>90</v>
      </c>
      <c r="B11" s="71" t="s">
        <v>354</v>
      </c>
      <c r="C11" s="72">
        <v>7.2</v>
      </c>
      <c r="D11" s="189" t="s">
        <v>359</v>
      </c>
      <c r="E11" s="71" t="s">
        <v>371</v>
      </c>
      <c r="F11" s="71" t="s">
        <v>372</v>
      </c>
      <c r="G11" s="231" t="s">
        <v>791</v>
      </c>
      <c r="H11" s="450">
        <v>1</v>
      </c>
      <c r="I11" s="59">
        <f>IF(H11&gt;=1,1,0)</f>
        <v>1</v>
      </c>
      <c r="J11"/>
    </row>
    <row r="12" spans="1:16" ht="13.9" x14ac:dyDescent="0.25">
      <c r="A12" s="55" t="s">
        <v>90</v>
      </c>
      <c r="B12" s="71" t="s">
        <v>354</v>
      </c>
      <c r="C12" s="72">
        <v>7.2</v>
      </c>
      <c r="D12" s="189" t="s">
        <v>359</v>
      </c>
      <c r="E12" s="71"/>
      <c r="F12" s="71"/>
      <c r="G12" s="231" t="s">
        <v>248</v>
      </c>
      <c r="H12" s="450">
        <v>2</v>
      </c>
      <c r="I12" s="59">
        <f>IF(H11=0,0,IF(M12&gt;=K12,K12,M12))</f>
        <v>3</v>
      </c>
      <c r="J12"/>
      <c r="K12" s="53">
        <v>3</v>
      </c>
      <c r="L12">
        <v>2</v>
      </c>
      <c r="M12" s="25">
        <f>H12/L12*K12</f>
        <v>3</v>
      </c>
    </row>
    <row r="13" spans="1:16" ht="13.9" x14ac:dyDescent="0.25">
      <c r="A13" s="70" t="s">
        <v>90</v>
      </c>
      <c r="B13" s="71" t="s">
        <v>354</v>
      </c>
      <c r="C13" s="72">
        <v>7.3</v>
      </c>
      <c r="D13" s="196" t="s">
        <v>373</v>
      </c>
      <c r="E13" s="71" t="s">
        <v>374</v>
      </c>
      <c r="F13" s="71" t="s">
        <v>375</v>
      </c>
      <c r="G13" s="58" t="s">
        <v>376</v>
      </c>
      <c r="H13" s="465">
        <v>5</v>
      </c>
      <c r="I13" s="195">
        <f>IF(M13&gt;=K13,K13,M13)</f>
        <v>12.5</v>
      </c>
      <c r="J13" s="197"/>
      <c r="K13" s="232">
        <v>12.5</v>
      </c>
      <c r="L13">
        <v>5</v>
      </c>
      <c r="M13" s="25">
        <f>IFERROR((L13/H13)*K13,0)</f>
        <v>12.5</v>
      </c>
    </row>
    <row r="14" spans="1:16" s="74" customFormat="1" ht="13.9" x14ac:dyDescent="0.25">
      <c r="A14" s="70" t="s">
        <v>90</v>
      </c>
      <c r="B14" s="71" t="s">
        <v>354</v>
      </c>
      <c r="C14" s="72">
        <v>7.3</v>
      </c>
      <c r="D14" s="196" t="s">
        <v>373</v>
      </c>
      <c r="E14" s="71" t="s">
        <v>377</v>
      </c>
      <c r="F14" s="71" t="s">
        <v>378</v>
      </c>
      <c r="G14" s="58" t="s">
        <v>379</v>
      </c>
      <c r="H14" s="455">
        <v>0.5</v>
      </c>
      <c r="I14" s="59">
        <f>IF(M15&gt;=K15,K15,M15)</f>
        <v>12.5</v>
      </c>
      <c r="J14"/>
      <c r="K14" s="53"/>
      <c r="L14"/>
      <c r="M14" s="30"/>
      <c r="O14" s="74">
        <v>5</v>
      </c>
      <c r="P14" s="74">
        <v>100</v>
      </c>
    </row>
    <row r="15" spans="1:16" ht="27.6" x14ac:dyDescent="0.25">
      <c r="A15" s="70" t="s">
        <v>90</v>
      </c>
      <c r="B15" s="71" t="s">
        <v>354</v>
      </c>
      <c r="C15" s="72">
        <v>7.4</v>
      </c>
      <c r="D15" s="196" t="s">
        <v>380</v>
      </c>
      <c r="E15" s="71" t="s">
        <v>381</v>
      </c>
      <c r="F15" s="71" t="s">
        <v>382</v>
      </c>
      <c r="G15" s="219" t="s">
        <v>383</v>
      </c>
      <c r="H15" s="452">
        <v>2</v>
      </c>
      <c r="I15" s="195">
        <f>IF(M17&gt;=K17,K17,M17)</f>
        <v>5</v>
      </c>
      <c r="J15" s="197"/>
      <c r="K15" s="232">
        <v>12.5</v>
      </c>
      <c r="L15" s="15">
        <v>0.5</v>
      </c>
      <c r="M15" s="25">
        <f>H14/L15*K15</f>
        <v>12.5</v>
      </c>
      <c r="O15">
        <v>4</v>
      </c>
      <c r="P15">
        <v>80</v>
      </c>
    </row>
    <row r="16" spans="1:16" ht="13.9" x14ac:dyDescent="0.25">
      <c r="A16" s="70" t="s">
        <v>90</v>
      </c>
      <c r="B16" s="71" t="s">
        <v>354</v>
      </c>
      <c r="C16" s="72">
        <v>7.4</v>
      </c>
      <c r="D16" s="196" t="s">
        <v>380</v>
      </c>
      <c r="E16" s="71" t="s">
        <v>384</v>
      </c>
      <c r="F16" s="71" t="s">
        <v>385</v>
      </c>
      <c r="G16" s="204" t="s">
        <v>774</v>
      </c>
      <c r="H16" s="452">
        <v>2</v>
      </c>
      <c r="I16" s="195">
        <f>IF(M19&gt;=K19,K19,M19)</f>
        <v>5</v>
      </c>
      <c r="J16" s="197"/>
      <c r="O16">
        <v>3</v>
      </c>
      <c r="P16">
        <v>60</v>
      </c>
    </row>
    <row r="17" spans="1:16" ht="13.9" x14ac:dyDescent="0.25">
      <c r="A17" s="70" t="s">
        <v>90</v>
      </c>
      <c r="B17" s="71" t="s">
        <v>354</v>
      </c>
      <c r="C17" s="72">
        <v>7.4</v>
      </c>
      <c r="D17" s="196" t="s">
        <v>380</v>
      </c>
      <c r="E17" s="71" t="s">
        <v>387</v>
      </c>
      <c r="F17" s="71" t="s">
        <v>386</v>
      </c>
      <c r="G17" s="204" t="s">
        <v>388</v>
      </c>
      <c r="H17" s="452">
        <v>2</v>
      </c>
      <c r="I17" s="195">
        <f>IF(M21&gt;=K21,K21,M21)</f>
        <v>5</v>
      </c>
      <c r="J17" s="197"/>
      <c r="K17" s="53">
        <v>5</v>
      </c>
      <c r="L17">
        <v>2</v>
      </c>
      <c r="M17" s="25">
        <f>H15/L17*K17</f>
        <v>5</v>
      </c>
      <c r="O17">
        <v>2</v>
      </c>
      <c r="P17">
        <v>40</v>
      </c>
    </row>
    <row r="18" spans="1:16" ht="27.6" x14ac:dyDescent="0.25">
      <c r="A18" s="70" t="s">
        <v>90</v>
      </c>
      <c r="B18" s="71" t="s">
        <v>354</v>
      </c>
      <c r="C18" s="72">
        <v>7.4</v>
      </c>
      <c r="D18" s="196" t="s">
        <v>380</v>
      </c>
      <c r="E18" s="71" t="s">
        <v>390</v>
      </c>
      <c r="F18" s="71" t="s">
        <v>389</v>
      </c>
      <c r="G18" s="219" t="s">
        <v>391</v>
      </c>
      <c r="H18" s="452">
        <v>3</v>
      </c>
      <c r="I18" s="195">
        <f>IF(M23&gt;=K23,K23,M23)</f>
        <v>5</v>
      </c>
      <c r="O18">
        <v>1</v>
      </c>
      <c r="P18">
        <v>20</v>
      </c>
    </row>
    <row r="19" spans="1:16" ht="27.6" x14ac:dyDescent="0.25">
      <c r="A19" s="70" t="s">
        <v>90</v>
      </c>
      <c r="B19" s="71" t="s">
        <v>354</v>
      </c>
      <c r="C19" s="72">
        <v>7.4</v>
      </c>
      <c r="D19" s="196" t="s">
        <v>380</v>
      </c>
      <c r="E19" s="71" t="s">
        <v>392</v>
      </c>
      <c r="F19" s="71" t="s">
        <v>393</v>
      </c>
      <c r="G19" s="219" t="s">
        <v>394</v>
      </c>
      <c r="H19" s="452">
        <v>2</v>
      </c>
      <c r="I19" s="195">
        <f>IF(M25&gt;=K25,K25,M25)</f>
        <v>5</v>
      </c>
      <c r="J19" s="178">
        <f>SUM(I4:I19)</f>
        <v>75</v>
      </c>
      <c r="K19" s="53">
        <v>5</v>
      </c>
      <c r="L19">
        <v>2</v>
      </c>
      <c r="M19" s="25">
        <f>H16/L19*K19</f>
        <v>5</v>
      </c>
      <c r="O19">
        <v>0</v>
      </c>
      <c r="P19">
        <v>0</v>
      </c>
    </row>
    <row r="20" spans="1:16" s="74" customFormat="1" ht="17.45" x14ac:dyDescent="0.25">
      <c r="A20" s="224"/>
      <c r="B20" s="224"/>
      <c r="C20" s="225"/>
      <c r="D20" s="224"/>
      <c r="E20" s="224"/>
      <c r="F20" s="224"/>
      <c r="G20" s="226"/>
      <c r="H20" s="227"/>
      <c r="I20" s="228" t="s">
        <v>353</v>
      </c>
      <c r="J20" s="229">
        <f>SUM(J2:J19)</f>
        <v>100</v>
      </c>
      <c r="K20" s="53"/>
      <c r="L20"/>
      <c r="M20" s="30"/>
    </row>
    <row r="21" spans="1:16" ht="13.9" x14ac:dyDescent="0.25">
      <c r="G21" s="13"/>
      <c r="K21" s="53">
        <v>5</v>
      </c>
      <c r="L21">
        <v>2</v>
      </c>
      <c r="M21" s="25">
        <f>H17/L21*K21</f>
        <v>5</v>
      </c>
    </row>
    <row r="22" spans="1:16" ht="13.9" x14ac:dyDescent="0.25">
      <c r="G22" s="13"/>
    </row>
    <row r="23" spans="1:16" ht="13.9" x14ac:dyDescent="0.25">
      <c r="G23" s="13"/>
      <c r="K23" s="53">
        <v>5</v>
      </c>
      <c r="L23">
        <v>3</v>
      </c>
      <c r="M23" s="25">
        <f>H18/L23*K23</f>
        <v>5</v>
      </c>
    </row>
    <row r="24" spans="1:16" ht="13.9" x14ac:dyDescent="0.25">
      <c r="G24" s="13"/>
    </row>
    <row r="25" spans="1:16" ht="13.9" x14ac:dyDescent="0.25">
      <c r="G25" s="13"/>
      <c r="K25" s="53">
        <v>5</v>
      </c>
      <c r="L25">
        <v>2</v>
      </c>
      <c r="M25" s="25">
        <f>H19/L25*K25</f>
        <v>5</v>
      </c>
    </row>
    <row r="26" spans="1:16" ht="13.9" x14ac:dyDescent="0.25">
      <c r="G26" s="13"/>
    </row>
    <row r="27" spans="1:16" ht="13.9" x14ac:dyDescent="0.25">
      <c r="G27" s="13"/>
      <c r="M27" s="117"/>
    </row>
    <row r="28" spans="1:16" ht="13.9" x14ac:dyDescent="0.25">
      <c r="G28" s="13"/>
    </row>
    <row r="29" spans="1:16" ht="13.9" x14ac:dyDescent="0.25">
      <c r="G29" s="13"/>
    </row>
    <row r="30" spans="1:16" ht="13.9" x14ac:dyDescent="0.25">
      <c r="G30" s="13"/>
    </row>
    <row r="31" spans="1:16" ht="13.9" x14ac:dyDescent="0.25">
      <c r="G31" s="13"/>
    </row>
    <row r="32" spans="1:16" ht="13.9" x14ac:dyDescent="0.25">
      <c r="G32" s="13"/>
    </row>
    <row r="33" spans="7:7" ht="13.9" x14ac:dyDescent="0.25">
      <c r="G33" s="13"/>
    </row>
    <row r="34" spans="7:7" ht="13.9" x14ac:dyDescent="0.25">
      <c r="G34" s="13"/>
    </row>
    <row r="35" spans="7:7" ht="13.9" x14ac:dyDescent="0.25">
      <c r="G35" s="13"/>
    </row>
    <row r="36" spans="7:7" ht="13.9" x14ac:dyDescent="0.25">
      <c r="G36" s="13"/>
    </row>
    <row r="37" spans="7:7" ht="13.9" x14ac:dyDescent="0.25">
      <c r="G37" s="13"/>
    </row>
    <row r="38" spans="7:7" ht="13.9" x14ac:dyDescent="0.25">
      <c r="G38" s="13"/>
    </row>
    <row r="39" spans="7:7" x14ac:dyDescent="0.25">
      <c r="G39" s="13"/>
    </row>
    <row r="40" spans="7:7" x14ac:dyDescent="0.25">
      <c r="G40" s="13"/>
    </row>
    <row r="41" spans="7:7"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row r="117" spans="7:7" x14ac:dyDescent="0.25">
      <c r="G117" s="13"/>
    </row>
    <row r="118" spans="7:7" x14ac:dyDescent="0.25">
      <c r="G118" s="13"/>
    </row>
    <row r="119" spans="7:7" x14ac:dyDescent="0.25">
      <c r="G119" s="13"/>
    </row>
    <row r="120" spans="7:7" x14ac:dyDescent="0.25">
      <c r="G120" s="13"/>
    </row>
  </sheetData>
  <sheetProtection algorithmName="SHA-512" hashValue="k7Nf61jXCGHUtgu7GZkgXMaoSTrZIrtUWFza8WNPn6bxQWD4XQD3FOyZ6xVEwegBNFx3cwI6Y6nYZdoQmqaycw==" saltValue="xwiRIbX0hy4JCV12zIj5gw==" spinCount="100000" sheet="1" objects="1" scenarios="1" selectLockedCells="1"/>
  <mergeCells count="1">
    <mergeCell ref="J2:J3"/>
  </mergeCells>
  <dataValidations count="1">
    <dataValidation type="list" showInputMessage="1" showErrorMessage="1" sqref="H10" xr:uid="{528B1DC5-F643-4D5E-9E22-F0B8CE582C36}">
      <formula1>yesno</formula1>
    </dataValidation>
  </dataValidations>
  <pageMargins left="0.7" right="0.7" top="0.75" bottom="0.75" header="0.3" footer="0.3"/>
  <pageSetup paperSize="14"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4A6B9-2D96-4179-836D-701870CDC2E3}">
  <sheetPr>
    <tabColor rgb="FFA21942"/>
    <pageSetUpPr autoPageBreaks="0"/>
  </sheetPr>
  <dimension ref="A1:M115"/>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style="243"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s>
  <sheetData>
    <row r="1" spans="1:13" s="93" customFormat="1" ht="45.6" x14ac:dyDescent="0.7">
      <c r="A1" s="233" t="s">
        <v>91</v>
      </c>
      <c r="B1" s="233" t="s">
        <v>44</v>
      </c>
      <c r="C1" s="234" t="s">
        <v>111</v>
      </c>
      <c r="D1" s="233" t="s">
        <v>112</v>
      </c>
      <c r="E1" s="233" t="s">
        <v>73</v>
      </c>
      <c r="F1" s="233" t="s">
        <v>92</v>
      </c>
      <c r="G1" s="235"/>
      <c r="H1" s="235"/>
      <c r="I1" s="236" t="s">
        <v>46</v>
      </c>
      <c r="J1" s="236" t="s">
        <v>181</v>
      </c>
      <c r="K1" s="92" t="s">
        <v>110</v>
      </c>
      <c r="L1" s="115" t="s">
        <v>172</v>
      </c>
      <c r="M1" s="116" t="s">
        <v>177</v>
      </c>
    </row>
    <row r="2" spans="1:13" x14ac:dyDescent="0.25">
      <c r="A2" s="46" t="s">
        <v>91</v>
      </c>
      <c r="B2" s="496" t="s">
        <v>396</v>
      </c>
      <c r="C2" s="48">
        <v>8.1</v>
      </c>
      <c r="D2" s="496" t="s">
        <v>397</v>
      </c>
      <c r="E2" s="47" t="s">
        <v>398</v>
      </c>
      <c r="F2" s="47" t="s">
        <v>399</v>
      </c>
      <c r="G2" s="49" t="s">
        <v>128</v>
      </c>
      <c r="H2" s="450">
        <v>1</v>
      </c>
      <c r="I2" s="122"/>
      <c r="J2" s="482">
        <f>I3</f>
        <v>25</v>
      </c>
      <c r="K2" s="52"/>
      <c r="L2">
        <v>25</v>
      </c>
      <c r="M2" s="78">
        <f>H2*L2</f>
        <v>25</v>
      </c>
    </row>
    <row r="3" spans="1:13" x14ac:dyDescent="0.25">
      <c r="A3" s="43"/>
      <c r="B3" s="498"/>
      <c r="C3" s="45"/>
      <c r="D3" s="498"/>
      <c r="E3" s="44"/>
      <c r="F3" s="44"/>
      <c r="G3" s="50" t="s">
        <v>127</v>
      </c>
      <c r="H3" s="450">
        <v>1</v>
      </c>
      <c r="I3" s="128">
        <f>IF(M4&gt;=25,25,M4)</f>
        <v>25</v>
      </c>
      <c r="J3" s="483"/>
      <c r="K3" s="53">
        <v>25</v>
      </c>
      <c r="L3">
        <v>10</v>
      </c>
      <c r="M3" s="78">
        <f>H3*L3</f>
        <v>10</v>
      </c>
    </row>
    <row r="4" spans="1:13" ht="27.6" x14ac:dyDescent="0.25">
      <c r="A4" s="70" t="s">
        <v>91</v>
      </c>
      <c r="B4" s="196" t="s">
        <v>396</v>
      </c>
      <c r="C4" s="72">
        <v>8.1999999999999993</v>
      </c>
      <c r="D4" s="196" t="s">
        <v>402</v>
      </c>
      <c r="E4" s="71" t="s">
        <v>400</v>
      </c>
      <c r="F4" s="189" t="s">
        <v>401</v>
      </c>
      <c r="G4" s="231" t="s">
        <v>791</v>
      </c>
      <c r="H4" s="452">
        <v>1</v>
      </c>
      <c r="I4" s="195">
        <f>IF(H4&gt;=1,1,0)</f>
        <v>1</v>
      </c>
      <c r="J4" s="197"/>
      <c r="M4" s="78">
        <f>SUM(M2:M3)</f>
        <v>35</v>
      </c>
    </row>
    <row r="5" spans="1:13" ht="27.6" x14ac:dyDescent="0.25">
      <c r="A5" s="70" t="s">
        <v>91</v>
      </c>
      <c r="B5" s="196" t="s">
        <v>396</v>
      </c>
      <c r="C5" s="72">
        <v>8.1999999999999993</v>
      </c>
      <c r="D5" s="196" t="s">
        <v>402</v>
      </c>
      <c r="E5" s="71"/>
      <c r="F5" s="189"/>
      <c r="G5" s="231" t="s">
        <v>248</v>
      </c>
      <c r="H5" s="452">
        <v>2</v>
      </c>
      <c r="I5" s="195">
        <f>IF(H4=0,0,IF(M5&gt;=K5,K5,M5))</f>
        <v>9</v>
      </c>
      <c r="J5" s="197"/>
      <c r="K5" s="53">
        <v>9</v>
      </c>
      <c r="L5">
        <v>2</v>
      </c>
      <c r="M5" s="25">
        <f>H5/L5*K5</f>
        <v>9</v>
      </c>
    </row>
    <row r="6" spans="1:13" ht="27.6" x14ac:dyDescent="0.25">
      <c r="A6" s="70" t="s">
        <v>91</v>
      </c>
      <c r="B6" s="196" t="s">
        <v>396</v>
      </c>
      <c r="C6" s="72">
        <v>8.1999999999999993</v>
      </c>
      <c r="D6" s="196" t="s">
        <v>402</v>
      </c>
      <c r="E6" s="71" t="s">
        <v>404</v>
      </c>
      <c r="F6" s="196" t="s">
        <v>403</v>
      </c>
      <c r="G6" s="231" t="s">
        <v>791</v>
      </c>
      <c r="H6" s="452">
        <v>1</v>
      </c>
      <c r="I6" s="195">
        <f>IF(H6&gt;=1,1,0)</f>
        <v>1</v>
      </c>
      <c r="J6" s="197"/>
    </row>
    <row r="7" spans="1:13" ht="27.6" x14ac:dyDescent="0.25">
      <c r="A7" s="70" t="s">
        <v>91</v>
      </c>
      <c r="B7" s="196" t="s">
        <v>396</v>
      </c>
      <c r="C7" s="72">
        <v>8.1999999999999993</v>
      </c>
      <c r="D7" s="196" t="s">
        <v>402</v>
      </c>
      <c r="E7" s="71"/>
      <c r="F7" s="196"/>
      <c r="G7" s="231" t="s">
        <v>248</v>
      </c>
      <c r="H7" s="452">
        <v>2</v>
      </c>
      <c r="I7" s="149">
        <f>IF(H6=0,0,IF(M7&gt;=K7,K7,M7))</f>
        <v>9</v>
      </c>
      <c r="J7" s="197"/>
      <c r="K7" s="53">
        <v>9</v>
      </c>
      <c r="L7">
        <v>2</v>
      </c>
      <c r="M7" s="25">
        <f>H7/L7*K7</f>
        <v>9</v>
      </c>
    </row>
    <row r="8" spans="1:13" ht="27.6" x14ac:dyDescent="0.25">
      <c r="A8" s="70" t="s">
        <v>91</v>
      </c>
      <c r="B8" s="196" t="s">
        <v>396</v>
      </c>
      <c r="C8" s="72">
        <v>8.1999999999999993</v>
      </c>
      <c r="D8" s="196" t="s">
        <v>402</v>
      </c>
      <c r="E8" s="71" t="s">
        <v>406</v>
      </c>
      <c r="F8" s="71" t="s">
        <v>405</v>
      </c>
      <c r="G8" s="231" t="s">
        <v>791</v>
      </c>
      <c r="H8" s="450">
        <v>1</v>
      </c>
      <c r="I8" s="59">
        <f>IF(H8&gt;=1,1,0)</f>
        <v>1</v>
      </c>
      <c r="J8"/>
    </row>
    <row r="9" spans="1:13" ht="27.6" x14ac:dyDescent="0.25">
      <c r="A9" s="70" t="s">
        <v>91</v>
      </c>
      <c r="B9" s="196" t="s">
        <v>396</v>
      </c>
      <c r="C9" s="72">
        <v>8.1999999999999993</v>
      </c>
      <c r="D9" s="196" t="s">
        <v>402</v>
      </c>
      <c r="E9" s="71"/>
      <c r="F9" s="71"/>
      <c r="G9" s="231" t="s">
        <v>248</v>
      </c>
      <c r="H9" s="450">
        <v>2</v>
      </c>
      <c r="I9" s="59">
        <f>IF(H8=0,0,IF(M9&gt;=K9,K9,M9))</f>
        <v>9</v>
      </c>
      <c r="J9"/>
      <c r="K9" s="53">
        <v>9</v>
      </c>
      <c r="L9">
        <v>2</v>
      </c>
      <c r="M9" s="25">
        <f>H9/L9*K9</f>
        <v>9</v>
      </c>
    </row>
    <row r="10" spans="1:13" ht="27.6" x14ac:dyDescent="0.25">
      <c r="A10" s="70" t="s">
        <v>91</v>
      </c>
      <c r="B10" s="196" t="s">
        <v>396</v>
      </c>
      <c r="C10" s="72">
        <v>8.1999999999999993</v>
      </c>
      <c r="D10" s="196" t="s">
        <v>402</v>
      </c>
      <c r="E10" s="71" t="s">
        <v>407</v>
      </c>
      <c r="F10" s="71" t="s">
        <v>408</v>
      </c>
      <c r="G10" s="231" t="s">
        <v>791</v>
      </c>
      <c r="H10" s="450">
        <v>1</v>
      </c>
      <c r="I10" s="59">
        <f>IF(H10&gt;=1,1,0)</f>
        <v>1</v>
      </c>
      <c r="J10"/>
    </row>
    <row r="11" spans="1:13" ht="27.6" x14ac:dyDescent="0.25">
      <c r="A11" s="70" t="s">
        <v>91</v>
      </c>
      <c r="B11" s="196" t="s">
        <v>396</v>
      </c>
      <c r="C11" s="72">
        <v>8.1999999999999993</v>
      </c>
      <c r="D11" s="196" t="s">
        <v>402</v>
      </c>
      <c r="E11" s="71"/>
      <c r="F11" s="71"/>
      <c r="G11" s="231" t="s">
        <v>248</v>
      </c>
      <c r="H11" s="450">
        <v>3</v>
      </c>
      <c r="I11" s="59">
        <f>IF(H10=0,0,IF(M11&gt;=K11,K11,M11))</f>
        <v>9</v>
      </c>
      <c r="J11"/>
      <c r="K11" s="53">
        <v>9</v>
      </c>
      <c r="L11">
        <v>2</v>
      </c>
      <c r="M11" s="25">
        <f>H11/L11*K11</f>
        <v>13.5</v>
      </c>
    </row>
    <row r="12" spans="1:13" ht="27.6" x14ac:dyDescent="0.25">
      <c r="A12" s="70" t="s">
        <v>91</v>
      </c>
      <c r="B12" s="196" t="s">
        <v>396</v>
      </c>
      <c r="C12" s="72">
        <v>8.1999999999999993</v>
      </c>
      <c r="D12" s="196" t="s">
        <v>402</v>
      </c>
      <c r="E12" s="71" t="s">
        <v>410</v>
      </c>
      <c r="F12" s="71" t="s">
        <v>409</v>
      </c>
      <c r="G12" s="231" t="s">
        <v>791</v>
      </c>
      <c r="H12" s="450">
        <v>1</v>
      </c>
      <c r="I12" s="59">
        <f>IF(H12&gt;=1,1,0)</f>
        <v>1</v>
      </c>
    </row>
    <row r="13" spans="1:13" ht="27.6" x14ac:dyDescent="0.25">
      <c r="A13" s="70" t="s">
        <v>91</v>
      </c>
      <c r="B13" s="196" t="s">
        <v>396</v>
      </c>
      <c r="C13" s="72">
        <v>8.1999999999999993</v>
      </c>
      <c r="D13" s="196" t="s">
        <v>402</v>
      </c>
      <c r="E13" s="71"/>
      <c r="F13" s="71"/>
      <c r="G13" s="231" t="s">
        <v>248</v>
      </c>
      <c r="H13" s="450">
        <v>2</v>
      </c>
      <c r="I13" s="59">
        <f>IF(H12=0,0,IF(M13&gt;=K13,K13,M13))</f>
        <v>9</v>
      </c>
      <c r="K13" s="53">
        <v>9</v>
      </c>
      <c r="L13">
        <v>2</v>
      </c>
      <c r="M13" s="25">
        <f>H13/L13*K13</f>
        <v>9</v>
      </c>
    </row>
    <row r="14" spans="1:13" ht="27.6" x14ac:dyDescent="0.25">
      <c r="A14" s="70" t="s">
        <v>91</v>
      </c>
      <c r="B14" s="196" t="s">
        <v>396</v>
      </c>
      <c r="C14" s="72">
        <v>8.6</v>
      </c>
      <c r="D14" s="189" t="s">
        <v>411</v>
      </c>
      <c r="E14" s="71" t="s">
        <v>412</v>
      </c>
      <c r="F14" s="71" t="s">
        <v>413</v>
      </c>
      <c r="G14" s="231" t="s">
        <v>414</v>
      </c>
      <c r="H14" s="450">
        <v>11</v>
      </c>
      <c r="I14" s="59">
        <f>IF(M15&gt;=K15,K15,M15)</f>
        <v>25</v>
      </c>
      <c r="J14" s="178">
        <f>SUM(I4:I14)</f>
        <v>75</v>
      </c>
      <c r="L14" s="13"/>
      <c r="M14"/>
    </row>
    <row r="15" spans="1:13" ht="17.45" x14ac:dyDescent="0.25">
      <c r="A15" s="237"/>
      <c r="B15" s="237"/>
      <c r="C15" s="238"/>
      <c r="D15" s="244"/>
      <c r="E15" s="237"/>
      <c r="F15" s="237"/>
      <c r="G15" s="239"/>
      <c r="H15" s="240"/>
      <c r="I15" s="241" t="s">
        <v>395</v>
      </c>
      <c r="J15" s="242">
        <f>SUM(J2:J14)</f>
        <v>100</v>
      </c>
      <c r="K15" s="53">
        <v>25</v>
      </c>
      <c r="L15">
        <v>10</v>
      </c>
      <c r="M15" s="25">
        <f>H14/L15*K15</f>
        <v>27.500000000000004</v>
      </c>
    </row>
    <row r="16" spans="1:13" s="74" customFormat="1" ht="13.9" x14ac:dyDescent="0.25">
      <c r="A16"/>
      <c r="B16"/>
      <c r="C16" s="5"/>
      <c r="D16" s="243"/>
      <c r="E16"/>
      <c r="F16"/>
      <c r="G16" s="13"/>
      <c r="H16"/>
      <c r="I16" s="123"/>
      <c r="J16" s="123"/>
      <c r="K16" s="53"/>
      <c r="L16"/>
      <c r="M16" s="30"/>
    </row>
    <row r="17" spans="7:13" ht="13.9" x14ac:dyDescent="0.25">
      <c r="G17" s="13"/>
      <c r="M17" s="117"/>
    </row>
    <row r="18" spans="7:13" ht="13.9" x14ac:dyDescent="0.25">
      <c r="G18" s="13"/>
    </row>
    <row r="19" spans="7:13" ht="13.9" x14ac:dyDescent="0.25">
      <c r="G19" s="13"/>
    </row>
    <row r="20" spans="7:13" ht="13.9" x14ac:dyDescent="0.25">
      <c r="G20" s="13"/>
    </row>
    <row r="21" spans="7:13" ht="13.9" x14ac:dyDescent="0.25">
      <c r="G21" s="13"/>
    </row>
    <row r="22" spans="7:13" ht="13.9" x14ac:dyDescent="0.25">
      <c r="G22" s="13"/>
    </row>
    <row r="23" spans="7:13" ht="13.9" x14ac:dyDescent="0.25">
      <c r="G23" s="13"/>
    </row>
    <row r="24" spans="7:13" ht="13.9" x14ac:dyDescent="0.25">
      <c r="G24" s="13"/>
    </row>
    <row r="25" spans="7:13" ht="13.9" x14ac:dyDescent="0.25">
      <c r="G25" s="13"/>
    </row>
    <row r="26" spans="7:13" ht="13.9" x14ac:dyDescent="0.25">
      <c r="G26" s="13"/>
    </row>
    <row r="27" spans="7:13" ht="13.9" x14ac:dyDescent="0.25">
      <c r="G27" s="13"/>
    </row>
    <row r="28" spans="7:13" ht="13.9" x14ac:dyDescent="0.25">
      <c r="G28" s="13"/>
    </row>
    <row r="29" spans="7:13" ht="13.9" x14ac:dyDescent="0.25">
      <c r="G29" s="13"/>
    </row>
    <row r="30" spans="7:13" ht="13.9" x14ac:dyDescent="0.25">
      <c r="G30" s="13"/>
    </row>
    <row r="31" spans="7:13" ht="13.9" x14ac:dyDescent="0.25">
      <c r="G31" s="13"/>
    </row>
    <row r="32" spans="7:13" x14ac:dyDescent="0.25">
      <c r="G32" s="13"/>
    </row>
    <row r="33" spans="7:7" x14ac:dyDescent="0.25">
      <c r="G33" s="13"/>
    </row>
    <row r="34" spans="7:7" x14ac:dyDescent="0.25">
      <c r="G34" s="13"/>
    </row>
    <row r="35" spans="7:7" x14ac:dyDescent="0.25">
      <c r="G35" s="13"/>
    </row>
    <row r="36" spans="7:7" x14ac:dyDescent="0.25">
      <c r="G36" s="13"/>
    </row>
    <row r="37" spans="7:7" x14ac:dyDescent="0.25">
      <c r="G37" s="13"/>
    </row>
    <row r="38" spans="7:7" x14ac:dyDescent="0.25">
      <c r="G38" s="13"/>
    </row>
    <row r="39" spans="7:7" x14ac:dyDescent="0.25">
      <c r="G39" s="13"/>
    </row>
    <row r="40" spans="7:7" x14ac:dyDescent="0.25">
      <c r="G40" s="13"/>
    </row>
    <row r="41" spans="7:7"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sheetData>
  <sheetProtection algorithmName="SHA-512" hashValue="NnZfxweG3xZsiou9JnqbAxz74O5U0DH/YfFFPpPJ+2pQbU4LJtxNxoWXd82zMA862ittL1A6KUorEs0OXYKlpA==" saltValue="OISBHgkv7Fe9eKG5084fJg==" spinCount="100000" sheet="1" objects="1" scenarios="1" selectLockedCells="1"/>
  <mergeCells count="3">
    <mergeCell ref="J2:J3"/>
    <mergeCell ref="D2:D3"/>
    <mergeCell ref="B2:B3"/>
  </mergeCells>
  <pageMargins left="0.7" right="0.7" top="0.75" bottom="0.75" header="0.3" footer="0.3"/>
  <pageSetup paperSize="14"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A1AA1-FFB7-4602-95B4-ADF0C35FD5A1}">
  <sheetPr>
    <tabColor rgb="FFFD6925"/>
    <pageSetUpPr autoPageBreaks="0"/>
  </sheetPr>
  <dimension ref="A1:M107"/>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style="243"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1.42578125" style="30" bestFit="1" customWidth="1"/>
  </cols>
  <sheetData>
    <row r="1" spans="1:13" s="93" customFormat="1" ht="45.6" x14ac:dyDescent="0.7">
      <c r="A1" s="252" t="s">
        <v>129</v>
      </c>
      <c r="B1" s="252" t="s">
        <v>44</v>
      </c>
      <c r="C1" s="253" t="s">
        <v>111</v>
      </c>
      <c r="D1" s="252" t="s">
        <v>112</v>
      </c>
      <c r="E1" s="252" t="s">
        <v>73</v>
      </c>
      <c r="F1" s="252" t="s">
        <v>92</v>
      </c>
      <c r="G1" s="254"/>
      <c r="H1" s="254"/>
      <c r="I1" s="255" t="s">
        <v>46</v>
      </c>
      <c r="J1" s="255" t="s">
        <v>181</v>
      </c>
      <c r="K1" s="92" t="s">
        <v>110</v>
      </c>
      <c r="L1" s="115" t="s">
        <v>172</v>
      </c>
      <c r="M1" s="116" t="s">
        <v>177</v>
      </c>
    </row>
    <row r="2" spans="1:13" x14ac:dyDescent="0.25">
      <c r="A2" s="46" t="s">
        <v>129</v>
      </c>
      <c r="B2" s="499" t="s">
        <v>416</v>
      </c>
      <c r="C2" s="48">
        <v>9.1</v>
      </c>
      <c r="D2" s="496" t="s">
        <v>417</v>
      </c>
      <c r="E2" s="47" t="s">
        <v>418</v>
      </c>
      <c r="F2" s="47" t="s">
        <v>417</v>
      </c>
      <c r="G2" s="49" t="s">
        <v>128</v>
      </c>
      <c r="H2" s="450">
        <v>1</v>
      </c>
      <c r="I2" s="122"/>
      <c r="J2" s="482">
        <f>I3</f>
        <v>25</v>
      </c>
      <c r="K2" s="52"/>
      <c r="L2">
        <v>25</v>
      </c>
      <c r="M2" s="78">
        <f>H2*L2</f>
        <v>25</v>
      </c>
    </row>
    <row r="3" spans="1:13" x14ac:dyDescent="0.25">
      <c r="A3" s="43"/>
      <c r="B3" s="500"/>
      <c r="C3" s="45"/>
      <c r="D3" s="498"/>
      <c r="E3" s="44"/>
      <c r="F3" s="44"/>
      <c r="G3" s="50" t="s">
        <v>127</v>
      </c>
      <c r="H3" s="450">
        <v>1</v>
      </c>
      <c r="I3" s="128">
        <f>IF(M4&gt;=25,25,M4)</f>
        <v>25</v>
      </c>
      <c r="J3" s="483"/>
      <c r="K3" s="53">
        <v>25</v>
      </c>
      <c r="L3">
        <v>10</v>
      </c>
      <c r="M3" s="78">
        <f>H3*L3</f>
        <v>10</v>
      </c>
    </row>
    <row r="4" spans="1:13" ht="27.6" x14ac:dyDescent="0.25">
      <c r="A4" s="70" t="s">
        <v>129</v>
      </c>
      <c r="B4" s="196" t="s">
        <v>416</v>
      </c>
      <c r="C4" s="72">
        <v>9.1999999999999993</v>
      </c>
      <c r="D4" s="196" t="s">
        <v>423</v>
      </c>
      <c r="E4" s="71" t="s">
        <v>425</v>
      </c>
      <c r="F4" s="189" t="s">
        <v>424</v>
      </c>
      <c r="G4" s="231" t="s">
        <v>424</v>
      </c>
      <c r="H4" s="452">
        <v>2</v>
      </c>
      <c r="I4" s="195">
        <f>IF(M5&gt;=L5,K5,0)</f>
        <v>25</v>
      </c>
      <c r="J4" s="197"/>
      <c r="M4" s="78">
        <f>SUM(M2:M3)</f>
        <v>35</v>
      </c>
    </row>
    <row r="5" spans="1:13" ht="27.6" x14ac:dyDescent="0.25">
      <c r="A5" s="70" t="s">
        <v>129</v>
      </c>
      <c r="B5" s="196" t="s">
        <v>416</v>
      </c>
      <c r="C5" s="72">
        <v>9.3000000000000007</v>
      </c>
      <c r="D5" s="196" t="s">
        <v>426</v>
      </c>
      <c r="E5" s="71" t="s">
        <v>427</v>
      </c>
      <c r="F5" s="196" t="s">
        <v>428</v>
      </c>
      <c r="G5" s="231" t="s">
        <v>767</v>
      </c>
      <c r="H5" s="452">
        <v>1</v>
      </c>
      <c r="I5" s="195">
        <f>IF(M7&gt;=L7,K7,0)</f>
        <v>25</v>
      </c>
      <c r="J5" s="197"/>
      <c r="K5" s="53">
        <v>25</v>
      </c>
      <c r="L5">
        <v>1</v>
      </c>
      <c r="M5" s="25">
        <f>H4</f>
        <v>2</v>
      </c>
    </row>
    <row r="6" spans="1:13" ht="30" x14ac:dyDescent="0.25">
      <c r="A6" s="70" t="s">
        <v>129</v>
      </c>
      <c r="B6" s="196" t="s">
        <v>416</v>
      </c>
      <c r="C6" s="72">
        <v>9.5</v>
      </c>
      <c r="D6" s="196" t="s">
        <v>419</v>
      </c>
      <c r="E6" s="71" t="s">
        <v>420</v>
      </c>
      <c r="F6" s="189" t="s">
        <v>421</v>
      </c>
      <c r="G6" s="231" t="s">
        <v>422</v>
      </c>
      <c r="H6" s="450">
        <v>6</v>
      </c>
      <c r="I6" s="59">
        <f>IF(M9&gt;=K9,K9,M9)</f>
        <v>25</v>
      </c>
      <c r="J6" s="178">
        <f>SUM(I4:I6)</f>
        <v>75</v>
      </c>
      <c r="M6"/>
    </row>
    <row r="7" spans="1:13" ht="17.45" x14ac:dyDescent="0.25">
      <c r="A7" s="245"/>
      <c r="B7" s="245"/>
      <c r="C7" s="246"/>
      <c r="D7" s="247"/>
      <c r="E7" s="245"/>
      <c r="F7" s="245"/>
      <c r="G7" s="248"/>
      <c r="H7" s="249"/>
      <c r="I7" s="250" t="s">
        <v>415</v>
      </c>
      <c r="J7" s="251">
        <f>SUM(J2:J6)</f>
        <v>100</v>
      </c>
      <c r="K7" s="53">
        <v>25</v>
      </c>
      <c r="L7">
        <v>1</v>
      </c>
      <c r="M7" s="25">
        <f>H5</f>
        <v>1</v>
      </c>
    </row>
    <row r="8" spans="1:13" ht="13.9" x14ac:dyDescent="0.25">
      <c r="G8" s="13"/>
      <c r="L8" s="13"/>
      <c r="M8"/>
    </row>
    <row r="9" spans="1:13" ht="13.9" x14ac:dyDescent="0.25">
      <c r="G9" s="13"/>
      <c r="K9" s="53">
        <v>25</v>
      </c>
      <c r="L9">
        <v>5</v>
      </c>
      <c r="M9" s="25">
        <f>H6/L9*K9</f>
        <v>30</v>
      </c>
    </row>
    <row r="10" spans="1:13" ht="13.9" x14ac:dyDescent="0.25">
      <c r="G10" s="13"/>
    </row>
    <row r="11" spans="1:13" ht="13.9" x14ac:dyDescent="0.25">
      <c r="G11" s="13"/>
      <c r="M11" s="117"/>
    </row>
    <row r="12" spans="1:13" ht="13.9" x14ac:dyDescent="0.25">
      <c r="G12" s="13"/>
    </row>
    <row r="13" spans="1:13" ht="13.9" x14ac:dyDescent="0.25">
      <c r="G13" s="13"/>
    </row>
    <row r="14" spans="1:13" ht="13.9" x14ac:dyDescent="0.25">
      <c r="G14" s="13"/>
    </row>
    <row r="15" spans="1:13" ht="13.9" x14ac:dyDescent="0.25">
      <c r="G15" s="13"/>
    </row>
    <row r="16" spans="1:13" ht="13.9" x14ac:dyDescent="0.25">
      <c r="G16" s="13"/>
    </row>
    <row r="17" spans="7:7" ht="13.9" x14ac:dyDescent="0.25">
      <c r="G17" s="13"/>
    </row>
    <row r="18" spans="7:7" ht="13.9" x14ac:dyDescent="0.25">
      <c r="G18" s="13"/>
    </row>
    <row r="19" spans="7:7" ht="13.9" x14ac:dyDescent="0.25">
      <c r="G19" s="13"/>
    </row>
    <row r="20" spans="7:7" ht="13.9" x14ac:dyDescent="0.25">
      <c r="G20" s="13"/>
    </row>
    <row r="21" spans="7:7" ht="13.9" x14ac:dyDescent="0.25">
      <c r="G21" s="13"/>
    </row>
    <row r="22" spans="7:7" ht="13.9" x14ac:dyDescent="0.25">
      <c r="G22" s="13"/>
    </row>
    <row r="23" spans="7:7" ht="13.9" x14ac:dyDescent="0.25">
      <c r="G23" s="13"/>
    </row>
    <row r="24" spans="7:7" ht="13.9" x14ac:dyDescent="0.25">
      <c r="G24" s="13"/>
    </row>
    <row r="25" spans="7:7" ht="13.9" x14ac:dyDescent="0.25">
      <c r="G25" s="13"/>
    </row>
    <row r="26" spans="7:7" ht="13.9" x14ac:dyDescent="0.25">
      <c r="G26" s="13"/>
    </row>
    <row r="27" spans="7:7" ht="13.9" x14ac:dyDescent="0.25">
      <c r="G27" s="13"/>
    </row>
    <row r="28" spans="7:7" ht="13.9" x14ac:dyDescent="0.25">
      <c r="G28" s="13"/>
    </row>
    <row r="29" spans="7:7" ht="13.9" x14ac:dyDescent="0.25">
      <c r="G29" s="13"/>
    </row>
    <row r="30" spans="7:7" ht="13.9" x14ac:dyDescent="0.25">
      <c r="G30" s="13"/>
    </row>
    <row r="31" spans="7:7" ht="13.9" x14ac:dyDescent="0.25">
      <c r="G31" s="13"/>
    </row>
    <row r="32" spans="7:7" ht="13.9" x14ac:dyDescent="0.25">
      <c r="G32" s="13"/>
    </row>
    <row r="33" spans="7:7" ht="13.9" x14ac:dyDescent="0.25">
      <c r="G33" s="13"/>
    </row>
    <row r="34" spans="7:7" ht="13.9" x14ac:dyDescent="0.25">
      <c r="G34" s="13"/>
    </row>
    <row r="35" spans="7:7" ht="13.9" x14ac:dyDescent="0.25">
      <c r="G35" s="13"/>
    </row>
    <row r="36" spans="7:7" ht="13.9" x14ac:dyDescent="0.25">
      <c r="G36" s="13"/>
    </row>
    <row r="37" spans="7:7" ht="13.9" x14ac:dyDescent="0.25">
      <c r="G37" s="13"/>
    </row>
    <row r="38" spans="7:7" ht="13.9" x14ac:dyDescent="0.25">
      <c r="G38" s="13"/>
    </row>
    <row r="39" spans="7:7" ht="13.9" x14ac:dyDescent="0.25">
      <c r="G39" s="13"/>
    </row>
    <row r="40" spans="7:7" x14ac:dyDescent="0.25">
      <c r="G40" s="13"/>
    </row>
    <row r="41" spans="7:7"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sheetData>
  <sheetProtection algorithmName="SHA-512" hashValue="2gDhF/Jzc0P1AyfjChdGBQdyeg7Ec6a0GAjSLBd4+cI4pPO3EdwsSWXA/F0WHJBBH24Z1PkR8gsILYLV7yAH3w==" saltValue="tpKTHHUMh0rDvEiiYl8dsA==" spinCount="100000" sheet="1" objects="1" scenarios="1" selectLockedCells="1"/>
  <mergeCells count="3">
    <mergeCell ref="B2:B3"/>
    <mergeCell ref="D2:D3"/>
    <mergeCell ref="J2:J3"/>
  </mergeCells>
  <pageMargins left="0.7" right="0.7" top="0.75" bottom="0.75" header="0.3" footer="0.3"/>
  <pageSetup paperSize="14"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0B53-66E9-4F90-8C56-5FCA8A7ECFF2}">
  <sheetPr>
    <tabColor rgb="FFDD1367"/>
    <pageSetUpPr autoPageBreaks="0"/>
  </sheetPr>
  <dimension ref="A1:M116"/>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style="243"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s>
  <sheetData>
    <row r="1" spans="1:13" s="93" customFormat="1" ht="45.6" x14ac:dyDescent="0.7">
      <c r="A1" s="263" t="s">
        <v>130</v>
      </c>
      <c r="B1" s="263" t="s">
        <v>44</v>
      </c>
      <c r="C1" s="264" t="s">
        <v>111</v>
      </c>
      <c r="D1" s="263" t="s">
        <v>112</v>
      </c>
      <c r="E1" s="263" t="s">
        <v>73</v>
      </c>
      <c r="F1" s="263" t="s">
        <v>92</v>
      </c>
      <c r="G1" s="265"/>
      <c r="H1" s="265"/>
      <c r="I1" s="266" t="s">
        <v>46</v>
      </c>
      <c r="J1" s="266" t="s">
        <v>181</v>
      </c>
      <c r="K1" s="92" t="s">
        <v>110</v>
      </c>
      <c r="L1" s="115" t="s">
        <v>172</v>
      </c>
      <c r="M1" s="116" t="s">
        <v>177</v>
      </c>
    </row>
    <row r="2" spans="1:13" x14ac:dyDescent="0.25">
      <c r="A2" s="46" t="s">
        <v>130</v>
      </c>
      <c r="B2" s="496" t="s">
        <v>429</v>
      </c>
      <c r="C2" s="48">
        <v>10.1</v>
      </c>
      <c r="D2" s="496" t="s">
        <v>430</v>
      </c>
      <c r="E2" s="47" t="s">
        <v>433</v>
      </c>
      <c r="F2" s="47" t="s">
        <v>430</v>
      </c>
      <c r="G2" s="49" t="s">
        <v>128</v>
      </c>
      <c r="H2" s="450">
        <v>1</v>
      </c>
      <c r="I2" s="122"/>
      <c r="J2" s="482">
        <f>I3</f>
        <v>25</v>
      </c>
      <c r="K2" s="52"/>
      <c r="L2">
        <v>25</v>
      </c>
      <c r="M2" s="78">
        <f>H2*L2</f>
        <v>25</v>
      </c>
    </row>
    <row r="3" spans="1:13" x14ac:dyDescent="0.25">
      <c r="A3" s="43"/>
      <c r="B3" s="498"/>
      <c r="C3" s="45"/>
      <c r="D3" s="498"/>
      <c r="E3" s="44"/>
      <c r="F3" s="44"/>
      <c r="G3" s="50" t="s">
        <v>127</v>
      </c>
      <c r="H3" s="450">
        <v>1</v>
      </c>
      <c r="I3" s="128">
        <f>IF(M4&gt;=25,25,M4)</f>
        <v>25</v>
      </c>
      <c r="J3" s="483"/>
      <c r="K3" s="53">
        <v>25</v>
      </c>
      <c r="L3">
        <v>10</v>
      </c>
      <c r="M3" s="78">
        <f>H3*L3</f>
        <v>10</v>
      </c>
    </row>
    <row r="4" spans="1:13" ht="27.6" x14ac:dyDescent="0.25">
      <c r="A4" s="70" t="s">
        <v>130</v>
      </c>
      <c r="B4" s="196" t="s">
        <v>429</v>
      </c>
      <c r="C4" s="72">
        <v>10.8</v>
      </c>
      <c r="D4" s="196" t="s">
        <v>432</v>
      </c>
      <c r="E4" s="71" t="s">
        <v>434</v>
      </c>
      <c r="F4" s="189" t="s">
        <v>435</v>
      </c>
      <c r="G4" s="231" t="s">
        <v>794</v>
      </c>
      <c r="H4" s="452">
        <v>3</v>
      </c>
      <c r="I4" s="195">
        <f>IF(H4&gt;=1,1,0)</f>
        <v>1</v>
      </c>
      <c r="J4" s="197"/>
      <c r="M4" s="78">
        <f>SUM(M2:M3)</f>
        <v>35</v>
      </c>
    </row>
    <row r="5" spans="1:13" ht="27.6" x14ac:dyDescent="0.25">
      <c r="A5" s="70" t="s">
        <v>130</v>
      </c>
      <c r="B5" s="196" t="s">
        <v>429</v>
      </c>
      <c r="C5" s="72">
        <v>10.8</v>
      </c>
      <c r="D5" s="196" t="s">
        <v>432</v>
      </c>
      <c r="E5" s="71"/>
      <c r="F5" s="189"/>
      <c r="G5" s="231" t="s">
        <v>775</v>
      </c>
      <c r="H5" s="452">
        <v>2</v>
      </c>
      <c r="I5" s="195">
        <f>IF(H4=0,0,IF(M5&gt;=K5,K5,M5))</f>
        <v>8</v>
      </c>
      <c r="J5" s="197"/>
      <c r="K5" s="53">
        <v>8</v>
      </c>
      <c r="L5">
        <v>2</v>
      </c>
      <c r="M5" s="25">
        <f>H5/L5*K5</f>
        <v>8</v>
      </c>
    </row>
    <row r="6" spans="1:13" ht="27.6" x14ac:dyDescent="0.25">
      <c r="A6" s="70" t="s">
        <v>130</v>
      </c>
      <c r="B6" s="196" t="s">
        <v>429</v>
      </c>
      <c r="C6" s="72">
        <v>10.8</v>
      </c>
      <c r="D6" s="196" t="s">
        <v>432</v>
      </c>
      <c r="E6" s="71" t="s">
        <v>436</v>
      </c>
      <c r="F6" s="196" t="s">
        <v>437</v>
      </c>
      <c r="G6" s="231" t="s">
        <v>438</v>
      </c>
      <c r="H6" s="452">
        <v>2</v>
      </c>
      <c r="I6" s="195">
        <f>IF(M6&gt;=K6,K6,M6)</f>
        <v>9</v>
      </c>
      <c r="J6" s="197"/>
      <c r="K6" s="53">
        <v>9</v>
      </c>
      <c r="L6">
        <v>2</v>
      </c>
      <c r="M6" s="25">
        <f>H6/L6*K6</f>
        <v>9</v>
      </c>
    </row>
    <row r="7" spans="1:13" ht="27.6" x14ac:dyDescent="0.25">
      <c r="A7" s="70" t="s">
        <v>130</v>
      </c>
      <c r="B7" s="196" t="s">
        <v>429</v>
      </c>
      <c r="C7" s="72">
        <v>10.8</v>
      </c>
      <c r="D7" s="196" t="s">
        <v>432</v>
      </c>
      <c r="E7" s="71" t="s">
        <v>439</v>
      </c>
      <c r="F7" s="189" t="s">
        <v>440</v>
      </c>
      <c r="G7" s="231" t="s">
        <v>794</v>
      </c>
      <c r="H7" s="450">
        <v>2</v>
      </c>
      <c r="I7" s="59">
        <f>IF(M7&gt;=K7,K7,M7)</f>
        <v>2</v>
      </c>
      <c r="K7" s="53">
        <v>2</v>
      </c>
      <c r="L7">
        <v>2</v>
      </c>
      <c r="M7" s="30">
        <f>H7/L7*K7</f>
        <v>2</v>
      </c>
    </row>
    <row r="8" spans="1:13" ht="27.6" x14ac:dyDescent="0.25">
      <c r="A8" s="70" t="s">
        <v>130</v>
      </c>
      <c r="B8" s="196" t="s">
        <v>429</v>
      </c>
      <c r="C8" s="72">
        <v>10.8</v>
      </c>
      <c r="D8" s="196" t="s">
        <v>432</v>
      </c>
      <c r="E8" s="71"/>
      <c r="F8" s="189"/>
      <c r="G8" s="231" t="s">
        <v>776</v>
      </c>
      <c r="H8" s="450">
        <v>2</v>
      </c>
      <c r="I8" s="59">
        <f>IF(H7=0,0,IF(M8&gt;=K8,K8,M8))</f>
        <v>7</v>
      </c>
      <c r="K8" s="53">
        <v>7</v>
      </c>
      <c r="L8">
        <v>2</v>
      </c>
      <c r="M8" s="25">
        <f>H8/L8*K8</f>
        <v>7</v>
      </c>
    </row>
    <row r="9" spans="1:13" ht="27.6" x14ac:dyDescent="0.25">
      <c r="A9" s="70" t="s">
        <v>130</v>
      </c>
      <c r="B9" s="196" t="s">
        <v>429</v>
      </c>
      <c r="C9" s="72">
        <v>10.8</v>
      </c>
      <c r="D9" s="196" t="s">
        <v>432</v>
      </c>
      <c r="E9" s="71" t="s">
        <v>441</v>
      </c>
      <c r="F9" s="196" t="s">
        <v>442</v>
      </c>
      <c r="G9" s="231" t="s">
        <v>446</v>
      </c>
      <c r="H9" s="463" t="s">
        <v>10</v>
      </c>
      <c r="I9" s="59">
        <f>IF(H9=L9,M9,0)</f>
        <v>3</v>
      </c>
      <c r="K9" s="53">
        <v>3</v>
      </c>
      <c r="L9" s="13" t="s">
        <v>10</v>
      </c>
      <c r="M9" s="25">
        <f>K9</f>
        <v>3</v>
      </c>
    </row>
    <row r="10" spans="1:13" ht="27.6" x14ac:dyDescent="0.25">
      <c r="A10" s="70" t="s">
        <v>130</v>
      </c>
      <c r="B10" s="196" t="s">
        <v>429</v>
      </c>
      <c r="C10" s="72">
        <v>10.8</v>
      </c>
      <c r="D10" s="196" t="s">
        <v>432</v>
      </c>
      <c r="E10" s="71" t="s">
        <v>443</v>
      </c>
      <c r="F10" s="196" t="s">
        <v>445</v>
      </c>
      <c r="G10" s="231" t="s">
        <v>444</v>
      </c>
      <c r="H10" s="452">
        <v>2</v>
      </c>
      <c r="I10" s="195">
        <f>IF(M11&gt;=K11,K11,M11)</f>
        <v>9</v>
      </c>
      <c r="J10" s="197"/>
      <c r="L10" s="13" t="s">
        <v>15</v>
      </c>
      <c r="M10">
        <v>0</v>
      </c>
    </row>
    <row r="11" spans="1:13" ht="27.6" x14ac:dyDescent="0.25">
      <c r="A11" s="70" t="s">
        <v>130</v>
      </c>
      <c r="B11" s="196" t="s">
        <v>429</v>
      </c>
      <c r="C11" s="72">
        <v>10.8</v>
      </c>
      <c r="D11" s="196" t="s">
        <v>432</v>
      </c>
      <c r="E11" s="71" t="s">
        <v>447</v>
      </c>
      <c r="F11" s="196" t="s">
        <v>448</v>
      </c>
      <c r="G11" s="231" t="s">
        <v>449</v>
      </c>
      <c r="H11" s="452">
        <v>5</v>
      </c>
      <c r="I11" s="195">
        <f>IF(M12&gt;=K12,K12,M12)</f>
        <v>9</v>
      </c>
      <c r="J11" s="197"/>
      <c r="K11" s="53">
        <v>9</v>
      </c>
      <c r="L11">
        <v>2</v>
      </c>
      <c r="M11" s="25">
        <f>H10/L11*K11</f>
        <v>9</v>
      </c>
    </row>
    <row r="12" spans="1:13" ht="27.6" x14ac:dyDescent="0.25">
      <c r="A12" s="70" t="s">
        <v>130</v>
      </c>
      <c r="B12" s="196" t="s">
        <v>429</v>
      </c>
      <c r="C12" s="72">
        <v>10.8</v>
      </c>
      <c r="D12" s="196" t="s">
        <v>432</v>
      </c>
      <c r="E12" s="71" t="s">
        <v>450</v>
      </c>
      <c r="F12" s="196" t="s">
        <v>453</v>
      </c>
      <c r="G12" s="231" t="s">
        <v>454</v>
      </c>
      <c r="H12" s="452">
        <v>6</v>
      </c>
      <c r="I12" s="195">
        <f>IF(M13&gt;=K13,K13,M13)</f>
        <v>9</v>
      </c>
      <c r="J12" s="197"/>
      <c r="K12" s="53">
        <v>9</v>
      </c>
      <c r="L12">
        <v>5</v>
      </c>
      <c r="M12" s="25">
        <f>H11/L12*K12</f>
        <v>9</v>
      </c>
    </row>
    <row r="13" spans="1:13" ht="27.6" x14ac:dyDescent="0.25">
      <c r="A13" s="70" t="s">
        <v>130</v>
      </c>
      <c r="B13" s="196" t="s">
        <v>429</v>
      </c>
      <c r="C13" s="72">
        <v>10.8</v>
      </c>
      <c r="D13" s="196" t="s">
        <v>432</v>
      </c>
      <c r="E13" s="71" t="s">
        <v>451</v>
      </c>
      <c r="F13" s="196" t="s">
        <v>456</v>
      </c>
      <c r="G13" s="231" t="s">
        <v>455</v>
      </c>
      <c r="H13" s="452">
        <v>2</v>
      </c>
      <c r="I13" s="195">
        <f>IF(M15&gt;=K15,K15,M15)</f>
        <v>9</v>
      </c>
      <c r="J13" s="197"/>
      <c r="K13" s="53">
        <v>9</v>
      </c>
      <c r="L13">
        <v>5</v>
      </c>
      <c r="M13" s="25">
        <f>H12/L13*K13</f>
        <v>10.799999999999999</v>
      </c>
    </row>
    <row r="14" spans="1:13" ht="27.6" x14ac:dyDescent="0.25">
      <c r="A14" s="70" t="s">
        <v>130</v>
      </c>
      <c r="B14" s="196" t="s">
        <v>429</v>
      </c>
      <c r="C14" s="72">
        <v>10.8</v>
      </c>
      <c r="D14" s="196" t="s">
        <v>432</v>
      </c>
      <c r="E14" s="71" t="s">
        <v>452</v>
      </c>
      <c r="F14" s="196" t="s">
        <v>457</v>
      </c>
      <c r="G14" s="231" t="s">
        <v>794</v>
      </c>
      <c r="H14" s="452">
        <v>1</v>
      </c>
      <c r="I14" s="195">
        <f>IF(H14&gt;=1,1,0)</f>
        <v>1</v>
      </c>
    </row>
    <row r="15" spans="1:13" ht="27.6" x14ac:dyDescent="0.25">
      <c r="A15" s="70" t="s">
        <v>130</v>
      </c>
      <c r="B15" s="196" t="s">
        <v>429</v>
      </c>
      <c r="C15" s="72">
        <v>10.8</v>
      </c>
      <c r="D15" s="196" t="s">
        <v>432</v>
      </c>
      <c r="E15" s="71"/>
      <c r="F15" s="196"/>
      <c r="G15" s="231" t="s">
        <v>777</v>
      </c>
      <c r="H15" s="452">
        <v>2</v>
      </c>
      <c r="I15" s="195">
        <f>IF(H14=0,0,IF(M17&gt;=K17,K17,M17))</f>
        <v>8</v>
      </c>
      <c r="J15" s="178">
        <f>SUM(I4:I15)</f>
        <v>75</v>
      </c>
      <c r="K15" s="53">
        <v>9</v>
      </c>
      <c r="L15">
        <v>2</v>
      </c>
      <c r="M15" s="25">
        <f>H13/L15*K15</f>
        <v>9</v>
      </c>
    </row>
    <row r="16" spans="1:13" ht="17.45" x14ac:dyDescent="0.25">
      <c r="A16" s="256"/>
      <c r="B16" s="256"/>
      <c r="C16" s="257"/>
      <c r="D16" s="258"/>
      <c r="E16" s="256"/>
      <c r="F16" s="256"/>
      <c r="G16" s="259"/>
      <c r="H16" s="260"/>
      <c r="I16" s="261" t="s">
        <v>431</v>
      </c>
      <c r="J16" s="262">
        <f>SUM(J2:J15)</f>
        <v>100</v>
      </c>
    </row>
    <row r="17" spans="7:13" ht="13.9" x14ac:dyDescent="0.25">
      <c r="G17" s="13"/>
      <c r="K17" s="53">
        <v>8</v>
      </c>
      <c r="L17">
        <v>2</v>
      </c>
      <c r="M17" s="25">
        <f>H15/L17*K17</f>
        <v>8</v>
      </c>
    </row>
    <row r="18" spans="7:13" ht="13.9" x14ac:dyDescent="0.25">
      <c r="G18" s="13"/>
    </row>
    <row r="19" spans="7:13" ht="13.9" x14ac:dyDescent="0.25">
      <c r="G19" s="13"/>
      <c r="M19" s="117"/>
    </row>
    <row r="20" spans="7:13" ht="13.9" x14ac:dyDescent="0.25">
      <c r="G20" s="13"/>
    </row>
    <row r="21" spans="7:13" ht="13.9" x14ac:dyDescent="0.25">
      <c r="G21" s="13"/>
    </row>
    <row r="22" spans="7:13" ht="13.9" x14ac:dyDescent="0.25">
      <c r="G22" s="13"/>
    </row>
    <row r="23" spans="7:13" ht="13.9" x14ac:dyDescent="0.25">
      <c r="G23" s="13"/>
    </row>
    <row r="24" spans="7:13" ht="13.9" x14ac:dyDescent="0.25">
      <c r="G24" s="13"/>
    </row>
    <row r="25" spans="7:13" ht="13.9" x14ac:dyDescent="0.25">
      <c r="G25" s="13"/>
    </row>
    <row r="26" spans="7:13" ht="13.9" x14ac:dyDescent="0.25">
      <c r="G26" s="13"/>
    </row>
    <row r="27" spans="7:13" ht="13.9" x14ac:dyDescent="0.25">
      <c r="G27" s="13"/>
    </row>
    <row r="28" spans="7:13" ht="13.9" x14ac:dyDescent="0.25">
      <c r="G28" s="13"/>
    </row>
    <row r="29" spans="7:13" ht="13.9" x14ac:dyDescent="0.25">
      <c r="G29" s="13"/>
    </row>
    <row r="30" spans="7:13" ht="13.9" x14ac:dyDescent="0.25">
      <c r="G30" s="13"/>
    </row>
    <row r="31" spans="7:13" x14ac:dyDescent="0.25">
      <c r="G31" s="13"/>
    </row>
    <row r="32" spans="7:13" x14ac:dyDescent="0.25">
      <c r="G32" s="13"/>
    </row>
    <row r="33" spans="7:7" x14ac:dyDescent="0.25">
      <c r="G33" s="13"/>
    </row>
    <row r="34" spans="7:7" x14ac:dyDescent="0.25">
      <c r="G34" s="13"/>
    </row>
    <row r="35" spans="7:7" x14ac:dyDescent="0.25">
      <c r="G35" s="13"/>
    </row>
    <row r="36" spans="7:7" x14ac:dyDescent="0.25">
      <c r="G36" s="13"/>
    </row>
    <row r="37" spans="7:7" x14ac:dyDescent="0.25">
      <c r="G37" s="13"/>
    </row>
    <row r="38" spans="7:7" x14ac:dyDescent="0.25">
      <c r="G38" s="13"/>
    </row>
    <row r="39" spans="7:7" x14ac:dyDescent="0.25">
      <c r="G39" s="13"/>
    </row>
    <row r="40" spans="7:7" x14ac:dyDescent="0.25">
      <c r="G40" s="13"/>
    </row>
    <row r="41" spans="7:7"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sheetData>
  <sheetProtection algorithmName="SHA-512" hashValue="1+Z2j3aVOeWnkx25VLMbbpEKejHcCbfc4+T49TMki6OwZAa/MTDxkVuA2StXkWvyZ42FDqZzTySPcBfVAs6KRw==" saltValue="n4+ZCHy4b8/fmtLyIffrag==" spinCount="100000" sheet="1" objects="1" scenarios="1" selectLockedCells="1"/>
  <mergeCells count="3">
    <mergeCell ref="B2:B3"/>
    <mergeCell ref="D2:D3"/>
    <mergeCell ref="J2:J3"/>
  </mergeCells>
  <dataValidations count="1">
    <dataValidation type="list" showInputMessage="1" showErrorMessage="1" sqref="H9" xr:uid="{A4FB6CA4-5D49-4EFE-B5CD-4B57D4300EAF}">
      <formula1>yesno</formula1>
    </dataValidation>
  </dataValidations>
  <pageMargins left="0.7" right="0.7" top="0.75" bottom="0.75" header="0.3" footer="0.3"/>
  <pageSetup paperSize="14"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0D4B3-7414-42E0-A273-3D804DBC9F5C}">
  <sheetPr>
    <tabColor rgb="FFFD9D24"/>
    <pageSetUpPr autoPageBreaks="0"/>
  </sheetPr>
  <dimension ref="A1:M128"/>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style="243"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s>
  <sheetData>
    <row r="1" spans="1:13" s="93" customFormat="1" ht="45.6" x14ac:dyDescent="0.7">
      <c r="A1" s="270" t="s">
        <v>131</v>
      </c>
      <c r="B1" s="270" t="s">
        <v>44</v>
      </c>
      <c r="C1" s="271" t="s">
        <v>111</v>
      </c>
      <c r="D1" s="270" t="s">
        <v>112</v>
      </c>
      <c r="E1" s="270" t="s">
        <v>73</v>
      </c>
      <c r="F1" s="270" t="s">
        <v>92</v>
      </c>
      <c r="G1" s="272"/>
      <c r="H1" s="272"/>
      <c r="I1" s="273" t="s">
        <v>46</v>
      </c>
      <c r="J1" s="273" t="s">
        <v>181</v>
      </c>
      <c r="K1" s="92" t="s">
        <v>110</v>
      </c>
      <c r="L1" s="115" t="s">
        <v>172</v>
      </c>
      <c r="M1" s="116" t="s">
        <v>177</v>
      </c>
    </row>
    <row r="2" spans="1:13" x14ac:dyDescent="0.25">
      <c r="A2" s="46" t="s">
        <v>131</v>
      </c>
      <c r="B2" s="496" t="s">
        <v>459</v>
      </c>
      <c r="C2" s="48"/>
      <c r="D2" s="496" t="s">
        <v>460</v>
      </c>
      <c r="E2" s="47" t="s">
        <v>461</v>
      </c>
      <c r="F2" s="47" t="s">
        <v>460</v>
      </c>
      <c r="G2" s="49" t="s">
        <v>128</v>
      </c>
      <c r="H2" s="450">
        <v>1</v>
      </c>
      <c r="I2" s="122"/>
      <c r="J2" s="482">
        <f>I3</f>
        <v>25</v>
      </c>
      <c r="K2" s="52"/>
      <c r="L2">
        <v>25</v>
      </c>
      <c r="M2" s="78">
        <f>H2*L2</f>
        <v>25</v>
      </c>
    </row>
    <row r="3" spans="1:13" x14ac:dyDescent="0.25">
      <c r="A3" s="43"/>
      <c r="B3" s="498"/>
      <c r="C3" s="45">
        <v>11.1</v>
      </c>
      <c r="D3" s="498"/>
      <c r="E3" s="44"/>
      <c r="F3" s="44"/>
      <c r="G3" s="50" t="s">
        <v>127</v>
      </c>
      <c r="H3" s="450">
        <v>1</v>
      </c>
      <c r="I3" s="128">
        <f>IF(M4&gt;=25,25,M4)</f>
        <v>25</v>
      </c>
      <c r="J3" s="483"/>
      <c r="K3" s="53">
        <v>25</v>
      </c>
      <c r="L3">
        <v>10</v>
      </c>
      <c r="M3" s="78">
        <f>H3*L3</f>
        <v>10</v>
      </c>
    </row>
    <row r="4" spans="1:13" ht="13.9" x14ac:dyDescent="0.25">
      <c r="A4" s="70" t="s">
        <v>131</v>
      </c>
      <c r="B4" s="196" t="s">
        <v>459</v>
      </c>
      <c r="C4" s="72">
        <v>11.3</v>
      </c>
      <c r="D4" s="196" t="s">
        <v>463</v>
      </c>
      <c r="E4" s="71" t="s">
        <v>462</v>
      </c>
      <c r="F4" s="189" t="s">
        <v>464</v>
      </c>
      <c r="G4" s="231" t="s">
        <v>778</v>
      </c>
      <c r="H4" s="452">
        <v>25</v>
      </c>
      <c r="I4" s="195">
        <f>IF(M5&gt;=K5,K5,M5)</f>
        <v>5</v>
      </c>
      <c r="J4" s="197"/>
      <c r="M4" s="78">
        <f>SUM(M2:M3)</f>
        <v>35</v>
      </c>
    </row>
    <row r="5" spans="1:13" ht="27.6" x14ac:dyDescent="0.25">
      <c r="A5" s="70" t="s">
        <v>131</v>
      </c>
      <c r="B5" s="196" t="s">
        <v>459</v>
      </c>
      <c r="C5" s="72">
        <v>11.3</v>
      </c>
      <c r="D5" s="196" t="s">
        <v>463</v>
      </c>
      <c r="E5" s="71" t="s">
        <v>465</v>
      </c>
      <c r="F5" s="196" t="s">
        <v>466</v>
      </c>
      <c r="G5" s="231" t="s">
        <v>779</v>
      </c>
      <c r="H5" s="452">
        <v>26</v>
      </c>
      <c r="I5" s="195">
        <f>IF(M7&gt;=K7,K7,M7)</f>
        <v>4</v>
      </c>
      <c r="J5" s="197"/>
      <c r="K5" s="53">
        <v>5</v>
      </c>
      <c r="L5">
        <v>25</v>
      </c>
      <c r="M5" s="25">
        <f>H4/L5*K5</f>
        <v>5</v>
      </c>
    </row>
    <row r="6" spans="1:13" ht="13.9" x14ac:dyDescent="0.25">
      <c r="A6" s="70" t="s">
        <v>131</v>
      </c>
      <c r="B6" s="196" t="s">
        <v>459</v>
      </c>
      <c r="C6" s="72">
        <v>11.3</v>
      </c>
      <c r="D6" s="196" t="s">
        <v>463</v>
      </c>
      <c r="E6" s="71" t="s">
        <v>467</v>
      </c>
      <c r="F6" s="189" t="s">
        <v>468</v>
      </c>
      <c r="G6" s="231" t="s">
        <v>469</v>
      </c>
      <c r="H6" s="450">
        <v>2</v>
      </c>
      <c r="I6" s="59">
        <f>IF(M9&gt;=K9,K9,M9)</f>
        <v>4</v>
      </c>
      <c r="M6"/>
    </row>
    <row r="7" spans="1:13" ht="30" x14ac:dyDescent="0.25">
      <c r="A7" s="70" t="s">
        <v>131</v>
      </c>
      <c r="B7" s="196" t="s">
        <v>459</v>
      </c>
      <c r="C7" s="72">
        <v>11.3</v>
      </c>
      <c r="D7" s="196" t="s">
        <v>463</v>
      </c>
      <c r="E7" s="71" t="s">
        <v>470</v>
      </c>
      <c r="F7" s="196" t="s">
        <v>471</v>
      </c>
      <c r="G7" s="231" t="s">
        <v>836</v>
      </c>
      <c r="H7" s="477"/>
      <c r="I7" s="503">
        <f>IF(M8&gt;=K8,K8,M8)</f>
        <v>4</v>
      </c>
      <c r="K7" s="53">
        <v>4</v>
      </c>
      <c r="L7">
        <v>25</v>
      </c>
      <c r="M7" s="25">
        <f>H5/L7*K7</f>
        <v>4.16</v>
      </c>
    </row>
    <row r="8" spans="1:13" x14ac:dyDescent="0.25">
      <c r="A8" s="70"/>
      <c r="B8" s="196"/>
      <c r="C8" s="72"/>
      <c r="D8" s="196"/>
      <c r="E8" s="71"/>
      <c r="F8" s="196"/>
      <c r="G8" s="231" t="s">
        <v>837</v>
      </c>
      <c r="H8" s="450">
        <v>1</v>
      </c>
      <c r="I8" s="504"/>
      <c r="K8" s="53">
        <v>4</v>
      </c>
      <c r="L8">
        <v>4</v>
      </c>
      <c r="M8" s="25">
        <f>SUM(H8:H11)</f>
        <v>4</v>
      </c>
    </row>
    <row r="9" spans="1:13" x14ac:dyDescent="0.25">
      <c r="A9" s="70"/>
      <c r="B9" s="196"/>
      <c r="C9" s="72"/>
      <c r="D9" s="196"/>
      <c r="E9" s="71"/>
      <c r="F9" s="196"/>
      <c r="G9" s="231" t="s">
        <v>838</v>
      </c>
      <c r="H9" s="450">
        <v>1</v>
      </c>
      <c r="I9" s="504"/>
      <c r="K9" s="53">
        <v>4</v>
      </c>
      <c r="L9">
        <v>2</v>
      </c>
      <c r="M9" s="25">
        <f>H6/L9*K9</f>
        <v>4</v>
      </c>
    </row>
    <row r="10" spans="1:13" x14ac:dyDescent="0.25">
      <c r="A10" s="70"/>
      <c r="B10" s="196"/>
      <c r="C10" s="72"/>
      <c r="D10" s="196"/>
      <c r="E10" s="71"/>
      <c r="F10" s="196"/>
      <c r="G10" s="231" t="s">
        <v>839</v>
      </c>
      <c r="H10" s="450">
        <v>1</v>
      </c>
      <c r="I10" s="504"/>
      <c r="L10" s="13"/>
      <c r="M10"/>
    </row>
    <row r="11" spans="1:13" x14ac:dyDescent="0.25">
      <c r="A11" s="70"/>
      <c r="B11" s="196"/>
      <c r="C11" s="72"/>
      <c r="D11" s="196"/>
      <c r="E11" s="71"/>
      <c r="F11" s="196"/>
      <c r="G11" s="231" t="s">
        <v>840</v>
      </c>
      <c r="H11" s="450">
        <v>1</v>
      </c>
      <c r="I11" s="505"/>
      <c r="K11" s="53">
        <v>5</v>
      </c>
      <c r="L11" s="13">
        <v>2</v>
      </c>
      <c r="M11">
        <f>H17/L11*K11</f>
        <v>7.5</v>
      </c>
    </row>
    <row r="12" spans="1:13" ht="30" x14ac:dyDescent="0.25">
      <c r="A12" s="70" t="s">
        <v>131</v>
      </c>
      <c r="B12" s="196" t="s">
        <v>459</v>
      </c>
      <c r="C12" s="72">
        <v>11.3</v>
      </c>
      <c r="D12" s="196" t="s">
        <v>463</v>
      </c>
      <c r="E12" s="71" t="s">
        <v>470</v>
      </c>
      <c r="F12" s="196" t="s">
        <v>471</v>
      </c>
      <c r="G12" s="231" t="s">
        <v>780</v>
      </c>
      <c r="H12" s="450">
        <v>1</v>
      </c>
      <c r="I12" s="59">
        <f>IF(M12&gt;=K12,K12,M12)</f>
        <v>4</v>
      </c>
      <c r="K12" s="53">
        <v>4</v>
      </c>
      <c r="L12">
        <v>1</v>
      </c>
      <c r="M12" s="25">
        <f>H12/L12*K12</f>
        <v>4</v>
      </c>
    </row>
    <row r="13" spans="1:13" x14ac:dyDescent="0.25">
      <c r="A13" s="285" t="s">
        <v>131</v>
      </c>
      <c r="B13" s="496" t="s">
        <v>459</v>
      </c>
      <c r="C13" s="287">
        <v>11.3</v>
      </c>
      <c r="D13" s="286" t="s">
        <v>463</v>
      </c>
      <c r="E13" s="288" t="s">
        <v>472</v>
      </c>
      <c r="F13" s="286" t="s">
        <v>473</v>
      </c>
      <c r="G13" s="281" t="s">
        <v>120</v>
      </c>
      <c r="H13" s="450">
        <v>1</v>
      </c>
      <c r="I13" s="479">
        <f>IF(L18&gt;=L17,K17,L18)</f>
        <v>4</v>
      </c>
      <c r="J13" s="197"/>
      <c r="L13" s="13"/>
      <c r="M13"/>
    </row>
    <row r="14" spans="1:13" x14ac:dyDescent="0.25">
      <c r="A14" s="289"/>
      <c r="B14" s="497"/>
      <c r="C14" s="291"/>
      <c r="D14" s="292"/>
      <c r="E14" s="290"/>
      <c r="F14" s="290"/>
      <c r="G14" s="282" t="s">
        <v>121</v>
      </c>
      <c r="H14" s="450">
        <v>1</v>
      </c>
      <c r="I14" s="480"/>
      <c r="K14" s="53">
        <v>1</v>
      </c>
      <c r="L14" s="76">
        <f>H13*1</f>
        <v>1</v>
      </c>
      <c r="M14" s="25"/>
    </row>
    <row r="15" spans="1:13" x14ac:dyDescent="0.25">
      <c r="A15" s="293"/>
      <c r="B15" s="294"/>
      <c r="C15" s="295"/>
      <c r="D15" s="294"/>
      <c r="E15" s="296"/>
      <c r="F15" s="294"/>
      <c r="G15" s="282" t="s">
        <v>122</v>
      </c>
      <c r="H15" s="450">
        <v>1</v>
      </c>
      <c r="I15" s="480"/>
      <c r="J15" s="197"/>
      <c r="K15" s="53">
        <v>2</v>
      </c>
      <c r="L15" s="76">
        <f>H14*2</f>
        <v>2</v>
      </c>
    </row>
    <row r="16" spans="1:13" x14ac:dyDescent="0.25">
      <c r="A16" s="297"/>
      <c r="B16" s="298"/>
      <c r="C16" s="299"/>
      <c r="D16" s="300"/>
      <c r="E16" s="298"/>
      <c r="F16" s="298"/>
      <c r="G16" s="284" t="s">
        <v>474</v>
      </c>
      <c r="H16" s="450">
        <v>1</v>
      </c>
      <c r="I16" s="481"/>
      <c r="K16" s="53">
        <v>3</v>
      </c>
      <c r="L16" s="76">
        <f>H15*3</f>
        <v>3</v>
      </c>
      <c r="M16" s="25"/>
    </row>
    <row r="17" spans="1:13" ht="30" x14ac:dyDescent="0.25">
      <c r="A17" s="70" t="s">
        <v>131</v>
      </c>
      <c r="B17" s="196" t="s">
        <v>459</v>
      </c>
      <c r="C17" s="299">
        <v>11.3</v>
      </c>
      <c r="D17" s="286" t="s">
        <v>463</v>
      </c>
      <c r="E17" s="298" t="s">
        <v>795</v>
      </c>
      <c r="F17" s="298" t="s">
        <v>796</v>
      </c>
      <c r="G17" s="284" t="s">
        <v>797</v>
      </c>
      <c r="H17" s="450">
        <v>3</v>
      </c>
      <c r="I17" s="442">
        <f>IF(M11&gt;=K11,K11,M11)</f>
        <v>5</v>
      </c>
      <c r="K17" s="53">
        <v>4</v>
      </c>
      <c r="L17" s="76">
        <v>4</v>
      </c>
    </row>
    <row r="18" spans="1:13" ht="30" x14ac:dyDescent="0.25">
      <c r="A18" s="70" t="s">
        <v>131</v>
      </c>
      <c r="B18" s="196" t="s">
        <v>459</v>
      </c>
      <c r="C18" s="72">
        <v>11.4</v>
      </c>
      <c r="D18" s="196" t="s">
        <v>475</v>
      </c>
      <c r="E18" s="71" t="s">
        <v>477</v>
      </c>
      <c r="F18" s="196" t="s">
        <v>476</v>
      </c>
      <c r="G18" s="231" t="s">
        <v>798</v>
      </c>
      <c r="H18" s="460">
        <v>1</v>
      </c>
      <c r="I18" s="195">
        <f>IF(M19&gt;=K19,K19,M19)</f>
        <v>5</v>
      </c>
      <c r="J18" s="197"/>
      <c r="L18" s="26">
        <f>SUM(L14:L17)</f>
        <v>10</v>
      </c>
    </row>
    <row r="19" spans="1:13" ht="30" x14ac:dyDescent="0.25">
      <c r="A19" s="70" t="s">
        <v>131</v>
      </c>
      <c r="B19" s="196" t="s">
        <v>459</v>
      </c>
      <c r="C19" s="72">
        <v>11.5</v>
      </c>
      <c r="D19" s="196" t="s">
        <v>478</v>
      </c>
      <c r="E19" s="71" t="s">
        <v>479</v>
      </c>
      <c r="F19" s="196" t="s">
        <v>480</v>
      </c>
      <c r="G19" s="231" t="s">
        <v>481</v>
      </c>
      <c r="H19" s="452">
        <v>6</v>
      </c>
      <c r="I19" s="195">
        <f>IF(M22&gt;=K22,K22,M22)</f>
        <v>5</v>
      </c>
      <c r="K19" s="53">
        <v>5</v>
      </c>
      <c r="L19" s="11">
        <v>1</v>
      </c>
      <c r="M19" s="25">
        <f>H18/L19*K19</f>
        <v>5</v>
      </c>
    </row>
    <row r="20" spans="1:13" ht="30" x14ac:dyDescent="0.25">
      <c r="A20" s="70" t="s">
        <v>131</v>
      </c>
      <c r="B20" s="196" t="s">
        <v>459</v>
      </c>
      <c r="C20" s="72">
        <v>11.5</v>
      </c>
      <c r="D20" s="196" t="s">
        <v>478</v>
      </c>
      <c r="E20" s="71" t="s">
        <v>482</v>
      </c>
      <c r="F20" s="196" t="s">
        <v>483</v>
      </c>
      <c r="G20" s="231" t="s">
        <v>484</v>
      </c>
      <c r="H20" s="450">
        <v>7</v>
      </c>
      <c r="I20" s="59">
        <f>IF(M24&gt;=K24,K24,M24)</f>
        <v>5</v>
      </c>
    </row>
    <row r="21" spans="1:13" ht="30" x14ac:dyDescent="0.25">
      <c r="A21" s="70" t="s">
        <v>131</v>
      </c>
      <c r="B21" s="196" t="s">
        <v>459</v>
      </c>
      <c r="C21" s="72">
        <v>11.5</v>
      </c>
      <c r="D21" s="196" t="s">
        <v>478</v>
      </c>
      <c r="E21" s="71" t="s">
        <v>485</v>
      </c>
      <c r="F21" s="196" t="s">
        <v>486</v>
      </c>
      <c r="G21" s="231" t="s">
        <v>489</v>
      </c>
      <c r="H21" s="460">
        <v>0.26</v>
      </c>
      <c r="I21" s="195">
        <f>IF(M26&gt;=K26,K26,M26)</f>
        <v>5</v>
      </c>
      <c r="J21" s="197"/>
    </row>
    <row r="22" spans="1:13" ht="30" x14ac:dyDescent="0.25">
      <c r="A22" s="70" t="s">
        <v>131</v>
      </c>
      <c r="B22" s="196" t="s">
        <v>459</v>
      </c>
      <c r="C22" s="72">
        <v>11.5</v>
      </c>
      <c r="D22" s="196" t="s">
        <v>478</v>
      </c>
      <c r="E22" s="71" t="s">
        <v>487</v>
      </c>
      <c r="F22" s="196" t="s">
        <v>488</v>
      </c>
      <c r="G22" s="231" t="s">
        <v>490</v>
      </c>
      <c r="H22" s="450">
        <v>2</v>
      </c>
      <c r="I22" s="59">
        <f>IF(M28&gt;=K28,K28,M28)</f>
        <v>5</v>
      </c>
      <c r="K22" s="53">
        <v>5</v>
      </c>
      <c r="L22">
        <v>5</v>
      </c>
      <c r="M22" s="25">
        <f>H19/L22*K22</f>
        <v>6</v>
      </c>
    </row>
    <row r="23" spans="1:13" ht="30" x14ac:dyDescent="0.25">
      <c r="A23" s="70" t="s">
        <v>131</v>
      </c>
      <c r="B23" s="196" t="s">
        <v>459</v>
      </c>
      <c r="C23" s="72">
        <v>11.5</v>
      </c>
      <c r="D23" s="196" t="s">
        <v>478</v>
      </c>
      <c r="E23" s="71" t="s">
        <v>492</v>
      </c>
      <c r="F23" s="196" t="s">
        <v>491</v>
      </c>
      <c r="G23" s="231" t="s">
        <v>493</v>
      </c>
      <c r="H23" s="450">
        <v>3</v>
      </c>
      <c r="I23" s="59">
        <f>IF(M30&gt;=K30,K30,M30)</f>
        <v>5</v>
      </c>
    </row>
    <row r="24" spans="1:13" ht="30" x14ac:dyDescent="0.25">
      <c r="A24" s="70" t="s">
        <v>131</v>
      </c>
      <c r="B24" s="196" t="s">
        <v>459</v>
      </c>
      <c r="C24" s="72">
        <v>11.5</v>
      </c>
      <c r="D24" s="196" t="s">
        <v>478</v>
      </c>
      <c r="E24" s="71" t="s">
        <v>495</v>
      </c>
      <c r="F24" s="196" t="s">
        <v>494</v>
      </c>
      <c r="G24" s="231" t="s">
        <v>799</v>
      </c>
      <c r="H24" s="450">
        <v>4</v>
      </c>
      <c r="I24" s="59">
        <f>IF(M32&gt;=K32,K32,M32)</f>
        <v>5</v>
      </c>
      <c r="K24" s="53">
        <v>5</v>
      </c>
      <c r="L24">
        <v>7</v>
      </c>
      <c r="M24" s="25">
        <f>H20/L24*K24</f>
        <v>5</v>
      </c>
    </row>
    <row r="25" spans="1:13" ht="30" x14ac:dyDescent="0.25">
      <c r="A25" s="70" t="s">
        <v>131</v>
      </c>
      <c r="B25" s="196" t="s">
        <v>459</v>
      </c>
      <c r="C25" s="72">
        <v>11.5</v>
      </c>
      <c r="D25" s="196" t="s">
        <v>478</v>
      </c>
      <c r="E25" s="71" t="s">
        <v>496</v>
      </c>
      <c r="F25" s="196" t="s">
        <v>497</v>
      </c>
      <c r="G25" s="231" t="s">
        <v>498</v>
      </c>
      <c r="H25" s="450">
        <v>2</v>
      </c>
      <c r="I25" s="59">
        <f>IF(M34&gt;=K34,K34,M34)</f>
        <v>5</v>
      </c>
    </row>
    <row r="26" spans="1:13" ht="30" x14ac:dyDescent="0.25">
      <c r="A26" s="70" t="s">
        <v>131</v>
      </c>
      <c r="B26" s="196" t="s">
        <v>459</v>
      </c>
      <c r="C26" s="72">
        <v>11.5</v>
      </c>
      <c r="D26" s="196" t="s">
        <v>478</v>
      </c>
      <c r="E26" s="71" t="s">
        <v>499</v>
      </c>
      <c r="F26" s="196" t="s">
        <v>500</v>
      </c>
      <c r="G26" s="231" t="s">
        <v>844</v>
      </c>
      <c r="H26" s="450">
        <v>1</v>
      </c>
      <c r="I26" s="59">
        <f>IF(H26&gt;=1,1,0)</f>
        <v>1</v>
      </c>
      <c r="K26" s="53">
        <v>5</v>
      </c>
      <c r="L26" s="11">
        <v>0.25</v>
      </c>
      <c r="M26" s="25">
        <f>H21/L26*K26</f>
        <v>5.2</v>
      </c>
    </row>
    <row r="27" spans="1:13" ht="30" x14ac:dyDescent="0.25">
      <c r="A27" s="70" t="s">
        <v>131</v>
      </c>
      <c r="B27" s="196" t="s">
        <v>459</v>
      </c>
      <c r="C27" s="72">
        <v>11.5</v>
      </c>
      <c r="D27" s="196" t="s">
        <v>478</v>
      </c>
      <c r="E27" s="71" t="s">
        <v>499</v>
      </c>
      <c r="F27" s="196" t="s">
        <v>500</v>
      </c>
      <c r="G27" s="231" t="s">
        <v>845</v>
      </c>
      <c r="H27" s="450">
        <v>2</v>
      </c>
      <c r="I27" s="472">
        <f>IF(H26=0,0,IF(M36&gt;=K36,K36,M36))</f>
        <v>4</v>
      </c>
      <c r="J27" s="178">
        <f>SUM(I4:I27)</f>
        <v>75</v>
      </c>
    </row>
    <row r="28" spans="1:13" ht="18.75" x14ac:dyDescent="0.25">
      <c r="A28" s="274"/>
      <c r="B28" s="274"/>
      <c r="C28" s="275"/>
      <c r="D28" s="276"/>
      <c r="E28" s="274"/>
      <c r="F28" s="274"/>
      <c r="G28" s="277"/>
      <c r="H28" s="278"/>
      <c r="I28" s="279" t="s">
        <v>458</v>
      </c>
      <c r="J28" s="280">
        <f>SUM(J2:J27)</f>
        <v>100</v>
      </c>
      <c r="K28" s="53">
        <v>5</v>
      </c>
      <c r="L28">
        <v>2</v>
      </c>
      <c r="M28" s="25">
        <f>H22/L28*K28</f>
        <v>5</v>
      </c>
    </row>
    <row r="29" spans="1:13" x14ac:dyDescent="0.25">
      <c r="G29" s="13"/>
    </row>
    <row r="30" spans="1:13" x14ac:dyDescent="0.25">
      <c r="G30" s="13"/>
      <c r="K30" s="53">
        <v>5</v>
      </c>
      <c r="L30">
        <v>2</v>
      </c>
      <c r="M30" s="25">
        <f>H23/L30*K30</f>
        <v>7.5</v>
      </c>
    </row>
    <row r="31" spans="1:13" x14ac:dyDescent="0.25">
      <c r="G31" s="13"/>
    </row>
    <row r="32" spans="1:13" x14ac:dyDescent="0.25">
      <c r="G32" s="13"/>
      <c r="K32" s="53">
        <v>5</v>
      </c>
      <c r="L32">
        <v>2</v>
      </c>
      <c r="M32" s="25">
        <f>H24/L32*K32</f>
        <v>10</v>
      </c>
    </row>
    <row r="33" spans="7:13" x14ac:dyDescent="0.25">
      <c r="G33" s="13"/>
    </row>
    <row r="34" spans="7:13" x14ac:dyDescent="0.25">
      <c r="G34" s="13"/>
      <c r="K34" s="53">
        <v>5</v>
      </c>
      <c r="L34">
        <v>2</v>
      </c>
      <c r="M34" s="25">
        <f>H25/L34*K34</f>
        <v>5</v>
      </c>
    </row>
    <row r="35" spans="7:13" x14ac:dyDescent="0.25">
      <c r="G35" s="13"/>
    </row>
    <row r="36" spans="7:13" x14ac:dyDescent="0.25">
      <c r="G36" s="13"/>
      <c r="K36" s="53">
        <v>4</v>
      </c>
      <c r="L36">
        <v>2</v>
      </c>
      <c r="M36" s="25">
        <f>H27/L36*K36</f>
        <v>4</v>
      </c>
    </row>
    <row r="37" spans="7:13" x14ac:dyDescent="0.25">
      <c r="G37" s="13"/>
    </row>
    <row r="38" spans="7:13" x14ac:dyDescent="0.25">
      <c r="G38" s="13"/>
      <c r="M38" s="117"/>
    </row>
    <row r="39" spans="7:13" x14ac:dyDescent="0.25">
      <c r="G39" s="13"/>
    </row>
    <row r="40" spans="7:13" x14ac:dyDescent="0.25">
      <c r="G40" s="13"/>
    </row>
    <row r="41" spans="7:13" x14ac:dyDescent="0.25">
      <c r="G41" s="13"/>
    </row>
    <row r="42" spans="7:13" x14ac:dyDescent="0.25">
      <c r="G42" s="13"/>
    </row>
    <row r="43" spans="7:13" x14ac:dyDescent="0.25">
      <c r="G43" s="13"/>
    </row>
    <row r="44" spans="7:13" x14ac:dyDescent="0.25">
      <c r="G44" s="13"/>
    </row>
    <row r="45" spans="7:13" x14ac:dyDescent="0.25">
      <c r="G45" s="13"/>
    </row>
    <row r="46" spans="7:13" x14ac:dyDescent="0.25">
      <c r="G46" s="13"/>
    </row>
    <row r="47" spans="7:13" x14ac:dyDescent="0.25">
      <c r="G47" s="13"/>
    </row>
    <row r="48" spans="7:13"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row r="117" spans="7:7" x14ac:dyDescent="0.25">
      <c r="G117" s="13"/>
    </row>
    <row r="118" spans="7:7" x14ac:dyDescent="0.25">
      <c r="G118" s="13"/>
    </row>
    <row r="119" spans="7:7" x14ac:dyDescent="0.25">
      <c r="G119" s="13"/>
    </row>
    <row r="120" spans="7:7" x14ac:dyDescent="0.25">
      <c r="G120" s="13"/>
    </row>
    <row r="121" spans="7:7" x14ac:dyDescent="0.25">
      <c r="G121" s="13"/>
    </row>
    <row r="122" spans="7:7" x14ac:dyDescent="0.25">
      <c r="G122" s="13"/>
    </row>
    <row r="123" spans="7:7" x14ac:dyDescent="0.25">
      <c r="G123" s="13"/>
    </row>
    <row r="124" spans="7:7" x14ac:dyDescent="0.25">
      <c r="G124" s="13"/>
    </row>
    <row r="125" spans="7:7" x14ac:dyDescent="0.25">
      <c r="G125" s="13"/>
    </row>
    <row r="126" spans="7:7" x14ac:dyDescent="0.25">
      <c r="G126" s="13"/>
    </row>
    <row r="127" spans="7:7" x14ac:dyDescent="0.25">
      <c r="G127" s="13"/>
    </row>
    <row r="128" spans="7:7" x14ac:dyDescent="0.25">
      <c r="G128" s="13"/>
    </row>
  </sheetData>
  <sheetProtection algorithmName="SHA-512" hashValue="Ss8MZm5fqMusV4lHrnAmSVxniQ9FNPct3Vz04+Vf8BS1eU75Ji6K1ER5DyEZCwf0DxGDyz3SlTOu7xcPc02G5Q==" saltValue="nGiRuSlOlmk9O+zTGAdNZg==" spinCount="100000" sheet="1" objects="1" scenarios="1" selectLockedCells="1"/>
  <mergeCells count="6">
    <mergeCell ref="I7:I11"/>
    <mergeCell ref="B2:B3"/>
    <mergeCell ref="D2:D3"/>
    <mergeCell ref="J2:J3"/>
    <mergeCell ref="I13:I16"/>
    <mergeCell ref="B13:B14"/>
  </mergeCells>
  <pageMargins left="0.7" right="0.7" top="0.75" bottom="0.75" header="0.3" footer="0.3"/>
  <pageSetup paperSize="14"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347F2-E01E-4801-8AB4-7407F8A8B53D}">
  <sheetPr>
    <tabColor rgb="FFBF8B2E"/>
    <pageSetUpPr autoPageBreaks="0"/>
  </sheetPr>
  <dimension ref="A1:M121"/>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style="243"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s>
  <sheetData>
    <row r="1" spans="1:13" s="93" customFormat="1" ht="45.6" x14ac:dyDescent="0.7">
      <c r="A1" s="301" t="s">
        <v>132</v>
      </c>
      <c r="B1" s="301" t="s">
        <v>44</v>
      </c>
      <c r="C1" s="302" t="s">
        <v>111</v>
      </c>
      <c r="D1" s="301" t="s">
        <v>112</v>
      </c>
      <c r="E1" s="301" t="s">
        <v>73</v>
      </c>
      <c r="F1" s="301" t="s">
        <v>92</v>
      </c>
      <c r="G1" s="303"/>
      <c r="H1" s="303"/>
      <c r="I1" s="304" t="s">
        <v>46</v>
      </c>
      <c r="J1" s="304" t="s">
        <v>181</v>
      </c>
      <c r="K1" s="92" t="s">
        <v>110</v>
      </c>
      <c r="L1" s="115" t="s">
        <v>172</v>
      </c>
      <c r="M1" s="116" t="s">
        <v>177</v>
      </c>
    </row>
    <row r="2" spans="1:13" x14ac:dyDescent="0.25">
      <c r="A2" s="46" t="s">
        <v>132</v>
      </c>
      <c r="B2" s="496" t="s">
        <v>501</v>
      </c>
      <c r="C2" s="48">
        <v>12.1</v>
      </c>
      <c r="D2" s="496" t="s">
        <v>503</v>
      </c>
      <c r="E2" s="47" t="s">
        <v>504</v>
      </c>
      <c r="F2" s="47" t="s">
        <v>503</v>
      </c>
      <c r="G2" s="49" t="s">
        <v>128</v>
      </c>
      <c r="H2" s="450">
        <v>1</v>
      </c>
      <c r="I2" s="122"/>
      <c r="J2" s="482">
        <f>I3</f>
        <v>25</v>
      </c>
      <c r="K2" s="52"/>
      <c r="L2">
        <v>25</v>
      </c>
      <c r="M2" s="78">
        <f>H2*L2</f>
        <v>25</v>
      </c>
    </row>
    <row r="3" spans="1:13" x14ac:dyDescent="0.25">
      <c r="A3" s="43"/>
      <c r="B3" s="498"/>
      <c r="C3" s="45"/>
      <c r="D3" s="498"/>
      <c r="E3" s="44"/>
      <c r="F3" s="44"/>
      <c r="G3" s="50" t="s">
        <v>127</v>
      </c>
      <c r="H3" s="450">
        <v>1</v>
      </c>
      <c r="I3" s="128">
        <f>IF(M4&gt;=25,25,M4)</f>
        <v>25</v>
      </c>
      <c r="J3" s="483"/>
      <c r="K3" s="53">
        <v>25</v>
      </c>
      <c r="L3">
        <v>10</v>
      </c>
      <c r="M3" s="78">
        <f>H3*L3</f>
        <v>10</v>
      </c>
    </row>
    <row r="4" spans="1:13" ht="27.6" x14ac:dyDescent="0.25">
      <c r="A4" s="70" t="s">
        <v>132</v>
      </c>
      <c r="B4" s="196" t="s">
        <v>501</v>
      </c>
      <c r="C4" s="72">
        <v>12.2</v>
      </c>
      <c r="D4" s="196" t="s">
        <v>505</v>
      </c>
      <c r="E4" s="71" t="s">
        <v>506</v>
      </c>
      <c r="F4" s="189" t="s">
        <v>507</v>
      </c>
      <c r="G4" s="231" t="s">
        <v>800</v>
      </c>
      <c r="H4" s="452">
        <v>1</v>
      </c>
      <c r="I4" s="195">
        <f>IF(H4&gt;=1,1,0)</f>
        <v>1</v>
      </c>
      <c r="J4" s="197"/>
      <c r="M4" s="78">
        <f>SUM(M2:M3)</f>
        <v>35</v>
      </c>
    </row>
    <row r="5" spans="1:13" ht="27.6" x14ac:dyDescent="0.25">
      <c r="A5" s="70" t="s">
        <v>132</v>
      </c>
      <c r="B5" s="196" t="s">
        <v>501</v>
      </c>
      <c r="C5" s="72">
        <v>12.2</v>
      </c>
      <c r="D5" s="196" t="s">
        <v>505</v>
      </c>
      <c r="E5" s="71" t="s">
        <v>506</v>
      </c>
      <c r="F5" s="189"/>
      <c r="G5" s="231" t="s">
        <v>781</v>
      </c>
      <c r="H5" s="452">
        <v>3</v>
      </c>
      <c r="I5" s="195">
        <f>IF(H4=0,0,IF(M5&gt;=K5,K5,M5))</f>
        <v>4</v>
      </c>
      <c r="J5" s="197"/>
      <c r="K5" s="53">
        <v>4</v>
      </c>
      <c r="L5">
        <v>2</v>
      </c>
      <c r="M5" s="25">
        <f>H5/L5*K5</f>
        <v>6</v>
      </c>
    </row>
    <row r="6" spans="1:13" ht="27.6" x14ac:dyDescent="0.25">
      <c r="A6" s="70" t="s">
        <v>132</v>
      </c>
      <c r="B6" s="196" t="s">
        <v>501</v>
      </c>
      <c r="C6" s="72">
        <v>12.2</v>
      </c>
      <c r="D6" s="196" t="s">
        <v>505</v>
      </c>
      <c r="E6" s="71" t="s">
        <v>508</v>
      </c>
      <c r="F6" s="196" t="s">
        <v>509</v>
      </c>
      <c r="G6" s="231" t="s">
        <v>801</v>
      </c>
      <c r="H6" s="452">
        <v>1</v>
      </c>
      <c r="I6" s="195">
        <f>IF(H6&gt;=1,1,0)</f>
        <v>1</v>
      </c>
      <c r="J6" s="197"/>
    </row>
    <row r="7" spans="1:13" ht="27.6" x14ac:dyDescent="0.25">
      <c r="A7" s="70" t="s">
        <v>132</v>
      </c>
      <c r="B7" s="196" t="s">
        <v>501</v>
      </c>
      <c r="C7" s="72">
        <v>12.2</v>
      </c>
      <c r="D7" s="196" t="s">
        <v>505</v>
      </c>
      <c r="E7" s="71" t="s">
        <v>508</v>
      </c>
      <c r="F7" s="196"/>
      <c r="G7" s="231" t="s">
        <v>802</v>
      </c>
      <c r="H7" s="452">
        <v>5</v>
      </c>
      <c r="I7" s="149">
        <f>IF(H6=0,0,IF(M7&gt;=K7,K7,M7))</f>
        <v>4</v>
      </c>
      <c r="J7" s="197"/>
      <c r="K7" s="53">
        <v>4</v>
      </c>
      <c r="L7">
        <v>2</v>
      </c>
      <c r="M7" s="25">
        <f>H7/L7*K7</f>
        <v>10</v>
      </c>
    </row>
    <row r="8" spans="1:13" ht="27.6" x14ac:dyDescent="0.25">
      <c r="A8" s="70" t="s">
        <v>132</v>
      </c>
      <c r="B8" s="196" t="s">
        <v>501</v>
      </c>
      <c r="C8" s="72">
        <v>12.2</v>
      </c>
      <c r="D8" s="196" t="s">
        <v>505</v>
      </c>
      <c r="E8" s="71" t="s">
        <v>510</v>
      </c>
      <c r="F8" s="189" t="s">
        <v>511</v>
      </c>
      <c r="G8" s="231" t="s">
        <v>803</v>
      </c>
      <c r="H8" s="450">
        <v>1</v>
      </c>
      <c r="I8" s="59">
        <f>IF(H8&gt;=1,1,0)</f>
        <v>1</v>
      </c>
      <c r="M8"/>
    </row>
    <row r="9" spans="1:13" ht="27.6" x14ac:dyDescent="0.25">
      <c r="A9" s="70"/>
      <c r="B9" s="196"/>
      <c r="C9" s="72"/>
      <c r="D9" s="196"/>
      <c r="E9" s="71" t="s">
        <v>510</v>
      </c>
      <c r="F9" s="189"/>
      <c r="G9" s="231" t="s">
        <v>804</v>
      </c>
      <c r="H9" s="450">
        <v>2</v>
      </c>
      <c r="I9" s="59">
        <f>IF(H8=0,0,IF(M9&gt;=K9,K9,M9))</f>
        <v>4</v>
      </c>
      <c r="K9" s="53">
        <v>4</v>
      </c>
      <c r="L9">
        <v>2</v>
      </c>
      <c r="M9" s="25">
        <f>H9/L9*K9</f>
        <v>4</v>
      </c>
    </row>
    <row r="10" spans="1:13" ht="27.6" x14ac:dyDescent="0.25">
      <c r="A10" s="70" t="s">
        <v>132</v>
      </c>
      <c r="B10" s="196" t="s">
        <v>501</v>
      </c>
      <c r="C10" s="72">
        <v>12.2</v>
      </c>
      <c r="D10" s="196" t="s">
        <v>505</v>
      </c>
      <c r="E10" s="71" t="s">
        <v>513</v>
      </c>
      <c r="F10" s="196" t="s">
        <v>512</v>
      </c>
      <c r="G10" s="231" t="s">
        <v>805</v>
      </c>
      <c r="H10" s="450">
        <v>1</v>
      </c>
      <c r="I10" s="59">
        <f>IF(H10&gt;=1,2,0)</f>
        <v>2</v>
      </c>
    </row>
    <row r="11" spans="1:13" ht="13.9" x14ac:dyDescent="0.25">
      <c r="A11" s="70"/>
      <c r="B11" s="196"/>
      <c r="C11" s="72"/>
      <c r="D11" s="196"/>
      <c r="E11" s="71" t="s">
        <v>513</v>
      </c>
      <c r="F11" s="196"/>
      <c r="G11" s="231" t="s">
        <v>806</v>
      </c>
      <c r="H11" s="450">
        <v>5</v>
      </c>
      <c r="I11" s="59">
        <f>IF(H10=0,0,IF(M11&gt;=K11,K11,M11))</f>
        <v>8</v>
      </c>
      <c r="K11" s="53">
        <v>8</v>
      </c>
      <c r="L11">
        <v>2</v>
      </c>
      <c r="M11" s="25">
        <f>H11/L11*K11</f>
        <v>20</v>
      </c>
    </row>
    <row r="12" spans="1:13" ht="27.6" x14ac:dyDescent="0.25">
      <c r="A12" s="70" t="s">
        <v>132</v>
      </c>
      <c r="B12" s="196" t="s">
        <v>501</v>
      </c>
      <c r="C12" s="72">
        <v>12.2</v>
      </c>
      <c r="D12" s="196" t="s">
        <v>505</v>
      </c>
      <c r="E12" s="71" t="s">
        <v>514</v>
      </c>
      <c r="F12" s="196" t="s">
        <v>515</v>
      </c>
      <c r="G12" s="231" t="s">
        <v>803</v>
      </c>
      <c r="H12" s="450">
        <v>1</v>
      </c>
      <c r="I12" s="59">
        <f>IF(H12&gt;=1,1,0)</f>
        <v>1</v>
      </c>
      <c r="M12" s="25"/>
    </row>
    <row r="13" spans="1:13" ht="27.6" x14ac:dyDescent="0.25">
      <c r="A13" s="70"/>
      <c r="B13" s="196"/>
      <c r="C13" s="72"/>
      <c r="D13" s="196"/>
      <c r="E13" s="71" t="s">
        <v>514</v>
      </c>
      <c r="F13" s="196"/>
      <c r="G13" s="231" t="s">
        <v>804</v>
      </c>
      <c r="H13" s="450">
        <v>3</v>
      </c>
      <c r="I13" s="59">
        <f>IF(H12=0,0,IF(M13&gt;=K13,K13,M13))</f>
        <v>4</v>
      </c>
      <c r="K13" s="53">
        <v>4</v>
      </c>
      <c r="L13">
        <v>2</v>
      </c>
      <c r="M13" s="30">
        <f>H13/L13*K13</f>
        <v>6</v>
      </c>
    </row>
    <row r="14" spans="1:13" ht="27.6" x14ac:dyDescent="0.25">
      <c r="A14" s="70" t="s">
        <v>132</v>
      </c>
      <c r="B14" s="196" t="s">
        <v>501</v>
      </c>
      <c r="C14" s="72">
        <v>12.2</v>
      </c>
      <c r="D14" s="196" t="s">
        <v>505</v>
      </c>
      <c r="E14" s="71" t="s">
        <v>517</v>
      </c>
      <c r="F14" s="196" t="s">
        <v>516</v>
      </c>
      <c r="G14" s="231" t="s">
        <v>807</v>
      </c>
      <c r="H14" s="452">
        <v>2</v>
      </c>
      <c r="I14" s="195">
        <f>IF(H14&gt;=1,1,0)</f>
        <v>1</v>
      </c>
      <c r="M14" s="25"/>
    </row>
    <row r="15" spans="1:13" ht="27.6" x14ac:dyDescent="0.25">
      <c r="A15" s="70"/>
      <c r="B15" s="196"/>
      <c r="C15" s="72"/>
      <c r="D15" s="196"/>
      <c r="E15" s="71" t="s">
        <v>517</v>
      </c>
      <c r="F15" s="196"/>
      <c r="G15" s="231" t="s">
        <v>808</v>
      </c>
      <c r="H15" s="452">
        <v>2</v>
      </c>
      <c r="I15" s="149">
        <f>IF(H14=0,0,IF(M15&gt;=K15,K15,M15))</f>
        <v>4</v>
      </c>
      <c r="K15" s="53">
        <v>4</v>
      </c>
      <c r="L15">
        <v>2</v>
      </c>
      <c r="M15" s="30">
        <f>H15/L15*K15</f>
        <v>4</v>
      </c>
    </row>
    <row r="16" spans="1:13" ht="27.6" x14ac:dyDescent="0.25">
      <c r="A16" s="70" t="s">
        <v>132</v>
      </c>
      <c r="B16" s="196" t="s">
        <v>501</v>
      </c>
      <c r="C16" s="72">
        <v>12.2</v>
      </c>
      <c r="D16" s="196" t="s">
        <v>505</v>
      </c>
      <c r="E16" s="71" t="s">
        <v>518</v>
      </c>
      <c r="F16" s="196" t="s">
        <v>519</v>
      </c>
      <c r="G16" s="231" t="s">
        <v>809</v>
      </c>
      <c r="H16" s="450">
        <v>1</v>
      </c>
      <c r="I16" s="59">
        <f>IF(H16&gt;=1,1,0)</f>
        <v>1</v>
      </c>
      <c r="M16" s="25"/>
    </row>
    <row r="17" spans="1:13" ht="30" x14ac:dyDescent="0.25">
      <c r="A17" s="70"/>
      <c r="B17" s="196"/>
      <c r="C17" s="72"/>
      <c r="D17" s="196"/>
      <c r="E17" s="71" t="s">
        <v>518</v>
      </c>
      <c r="F17" s="196"/>
      <c r="G17" s="231" t="s">
        <v>846</v>
      </c>
      <c r="H17" s="450">
        <v>3</v>
      </c>
      <c r="I17" s="59">
        <f>IF(H16=0,0,IF(M17&gt;=K17,K17,M17))</f>
        <v>4</v>
      </c>
      <c r="K17" s="53">
        <v>4</v>
      </c>
      <c r="L17">
        <v>2</v>
      </c>
      <c r="M17" s="30">
        <f>H17/L17*K17</f>
        <v>6</v>
      </c>
    </row>
    <row r="18" spans="1:13" ht="27.6" x14ac:dyDescent="0.25">
      <c r="A18" s="70" t="s">
        <v>132</v>
      </c>
      <c r="B18" s="196" t="s">
        <v>501</v>
      </c>
      <c r="C18" s="72">
        <v>12.3</v>
      </c>
      <c r="D18" s="196" t="s">
        <v>522</v>
      </c>
      <c r="E18" s="71" t="s">
        <v>521</v>
      </c>
      <c r="F18" s="196" t="s">
        <v>520</v>
      </c>
      <c r="G18" s="231" t="s">
        <v>764</v>
      </c>
      <c r="H18" s="460">
        <v>0.1</v>
      </c>
      <c r="I18" s="195">
        <f>IF(M18&gt;=K18,K18,M18)</f>
        <v>15</v>
      </c>
      <c r="J18" s="197"/>
      <c r="K18" s="53">
        <v>15</v>
      </c>
      <c r="L18" s="11">
        <v>0.1</v>
      </c>
      <c r="M18" s="25">
        <f>H18/L18*K18</f>
        <v>15</v>
      </c>
    </row>
    <row r="19" spans="1:13" ht="27.6" x14ac:dyDescent="0.25">
      <c r="A19" s="70" t="s">
        <v>132</v>
      </c>
      <c r="B19" s="196" t="s">
        <v>501</v>
      </c>
      <c r="C19" s="72">
        <v>12.4</v>
      </c>
      <c r="D19" s="196" t="s">
        <v>523</v>
      </c>
      <c r="E19" s="71" t="s">
        <v>524</v>
      </c>
      <c r="F19" s="196" t="s">
        <v>525</v>
      </c>
      <c r="G19" s="231" t="s">
        <v>530</v>
      </c>
      <c r="H19" s="466" t="s">
        <v>527</v>
      </c>
      <c r="I19" s="59">
        <f>VLOOKUP(H19,L19:M21,2,FALSE)</f>
        <v>10</v>
      </c>
      <c r="L19" s="314" t="s">
        <v>527</v>
      </c>
      <c r="M19" s="316">
        <v>10</v>
      </c>
    </row>
    <row r="20" spans="1:13" ht="27.6" x14ac:dyDescent="0.25">
      <c r="A20" s="70" t="s">
        <v>132</v>
      </c>
      <c r="B20" s="196" t="s">
        <v>501</v>
      </c>
      <c r="C20" s="72">
        <v>12.6</v>
      </c>
      <c r="D20" s="196" t="s">
        <v>531</v>
      </c>
      <c r="E20" s="71" t="s">
        <v>532</v>
      </c>
      <c r="F20" s="196" t="s">
        <v>531</v>
      </c>
      <c r="G20" s="231" t="s">
        <v>533</v>
      </c>
      <c r="H20" s="450">
        <v>2</v>
      </c>
      <c r="I20" s="59">
        <f>IF(M22&gt;=K22,K22,M22)</f>
        <v>10</v>
      </c>
      <c r="J20" s="178">
        <f>SUM(I4:I20)</f>
        <v>75</v>
      </c>
      <c r="K20" s="53">
        <v>10</v>
      </c>
      <c r="L20" s="319" t="s">
        <v>528</v>
      </c>
      <c r="M20" s="317">
        <v>5</v>
      </c>
    </row>
    <row r="21" spans="1:13" ht="17.45" x14ac:dyDescent="0.25">
      <c r="A21" s="305"/>
      <c r="B21" s="305"/>
      <c r="C21" s="306"/>
      <c r="D21" s="307"/>
      <c r="E21" s="305"/>
      <c r="F21" s="305"/>
      <c r="G21" s="308"/>
      <c r="H21" s="309"/>
      <c r="I21" s="310" t="s">
        <v>502</v>
      </c>
      <c r="J21" s="311">
        <f>SUM(J2:J20)</f>
        <v>100</v>
      </c>
      <c r="L21" s="315" t="s">
        <v>529</v>
      </c>
      <c r="M21" s="318">
        <v>0</v>
      </c>
    </row>
    <row r="22" spans="1:13" ht="13.9" x14ac:dyDescent="0.25">
      <c r="G22" s="13"/>
      <c r="K22" s="53">
        <v>10</v>
      </c>
      <c r="L22">
        <v>2</v>
      </c>
      <c r="M22" s="25">
        <f>H20/L22*K22</f>
        <v>10</v>
      </c>
    </row>
    <row r="23" spans="1:13" ht="13.9" x14ac:dyDescent="0.25">
      <c r="G23" s="13"/>
    </row>
    <row r="24" spans="1:13" ht="13.9" x14ac:dyDescent="0.25">
      <c r="G24" s="13"/>
      <c r="M24" s="117"/>
    </row>
    <row r="25" spans="1:13" ht="13.9" x14ac:dyDescent="0.25">
      <c r="G25" s="13"/>
    </row>
    <row r="26" spans="1:13" ht="13.9" x14ac:dyDescent="0.25">
      <c r="G26" s="13"/>
    </row>
    <row r="27" spans="1:13" x14ac:dyDescent="0.25">
      <c r="G27" s="13"/>
    </row>
    <row r="28" spans="1:13" x14ac:dyDescent="0.25">
      <c r="G28" s="13"/>
    </row>
    <row r="29" spans="1:13" x14ac:dyDescent="0.25">
      <c r="G29" s="13"/>
    </row>
    <row r="30" spans="1:13" x14ac:dyDescent="0.25">
      <c r="G30" s="13"/>
    </row>
    <row r="31" spans="1:13" x14ac:dyDescent="0.25">
      <c r="G31" s="13"/>
    </row>
    <row r="32" spans="1:13" x14ac:dyDescent="0.25">
      <c r="G32" s="13"/>
    </row>
    <row r="33" spans="7:7" x14ac:dyDescent="0.25">
      <c r="G33" s="13"/>
    </row>
    <row r="34" spans="7:7" x14ac:dyDescent="0.25">
      <c r="G34" s="13"/>
    </row>
    <row r="35" spans="7:7" x14ac:dyDescent="0.25">
      <c r="G35" s="13"/>
    </row>
    <row r="36" spans="7:7" x14ac:dyDescent="0.25">
      <c r="G36" s="13"/>
    </row>
    <row r="37" spans="7:7" x14ac:dyDescent="0.25">
      <c r="G37" s="13"/>
    </row>
    <row r="38" spans="7:7" x14ac:dyDescent="0.25">
      <c r="G38" s="13"/>
    </row>
    <row r="39" spans="7:7" x14ac:dyDescent="0.25">
      <c r="G39" s="13"/>
    </row>
    <row r="40" spans="7:7" x14ac:dyDescent="0.25">
      <c r="G40" s="13"/>
    </row>
    <row r="41" spans="7:7"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row r="117" spans="7:7" x14ac:dyDescent="0.25">
      <c r="G117" s="13"/>
    </row>
    <row r="118" spans="7:7" x14ac:dyDescent="0.25">
      <c r="G118" s="13"/>
    </row>
    <row r="119" spans="7:7" x14ac:dyDescent="0.25">
      <c r="G119" s="13"/>
    </row>
    <row r="120" spans="7:7" x14ac:dyDescent="0.25">
      <c r="G120" s="13"/>
    </row>
    <row r="121" spans="7:7" x14ac:dyDescent="0.25">
      <c r="G121" s="13"/>
    </row>
  </sheetData>
  <sheetProtection algorithmName="SHA-512" hashValue="rUis6mEffDPSiJIXgv0aPOtB2XPbv8zmlNV9bXnpNxbHFNuhqielYlIoarrYY52WqDtLPyS9SyQ7VOzRgQSxzQ==" saltValue="w0thN/F0QqmCDoq+8Vv2Eg==" spinCount="100000" sheet="1" objects="1" scenarios="1" selectLockedCells="1"/>
  <mergeCells count="3">
    <mergeCell ref="B2:B3"/>
    <mergeCell ref="D2:D3"/>
    <mergeCell ref="J2:J3"/>
  </mergeCells>
  <dataValidations count="1">
    <dataValidation type="list" showInputMessage="1" showErrorMessage="1" sqref="H19" xr:uid="{31F964A8-6160-4B7C-90C6-18BFECFB1361}">
      <formula1>report</formula1>
    </dataValidation>
  </dataValidations>
  <pageMargins left="0.7" right="0.7" top="0.75" bottom="0.75" header="0.3" footer="0.3"/>
  <pageSetup paperSize="1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EEE9D-E1F2-4F61-B020-D85C2C2C987F}">
  <sheetPr>
    <tabColor theme="9" tint="0.39997558519241921"/>
  </sheetPr>
  <dimension ref="A1:H14"/>
  <sheetViews>
    <sheetView workbookViewId="0">
      <selection activeCell="D6" sqref="D6"/>
    </sheetView>
  </sheetViews>
  <sheetFormatPr defaultRowHeight="15" x14ac:dyDescent="0.25"/>
  <cols>
    <col min="1" max="1" width="9.140625" customWidth="1"/>
    <col min="2" max="2" width="12.42578125" customWidth="1"/>
    <col min="3" max="3" width="7.85546875" bestFit="1" customWidth="1"/>
    <col min="4" max="4" width="32.85546875" bestFit="1" customWidth="1"/>
    <col min="5" max="5" width="8.5703125" bestFit="1" customWidth="1"/>
    <col min="6" max="6" width="47.28515625" bestFit="1" customWidth="1"/>
    <col min="7" max="7" width="14.85546875" bestFit="1" customWidth="1"/>
    <col min="8" max="8" width="13.5703125" style="13" bestFit="1" customWidth="1"/>
  </cols>
  <sheetData>
    <row r="1" spans="1:8" ht="27.6" x14ac:dyDescent="0.25">
      <c r="A1" s="27" t="s">
        <v>0</v>
      </c>
      <c r="B1" s="27" t="s">
        <v>44</v>
      </c>
      <c r="C1" s="27" t="s">
        <v>45</v>
      </c>
      <c r="D1" s="27" t="s">
        <v>23</v>
      </c>
      <c r="E1" s="27" t="s">
        <v>73</v>
      </c>
      <c r="F1" s="27" t="s">
        <v>92</v>
      </c>
      <c r="G1" s="27" t="s">
        <v>96</v>
      </c>
      <c r="H1" s="28" t="s">
        <v>93</v>
      </c>
    </row>
    <row r="2" spans="1:8" ht="13.9" x14ac:dyDescent="0.25">
      <c r="A2" t="s">
        <v>0</v>
      </c>
      <c r="B2" t="s">
        <v>1</v>
      </c>
      <c r="C2">
        <v>1.1000000000000001</v>
      </c>
      <c r="D2" t="s">
        <v>2</v>
      </c>
      <c r="E2" t="s">
        <v>74</v>
      </c>
      <c r="F2" t="s">
        <v>2</v>
      </c>
      <c r="G2">
        <v>25</v>
      </c>
      <c r="H2" s="14"/>
    </row>
    <row r="3" spans="1:8" ht="13.9" x14ac:dyDescent="0.25">
      <c r="A3" t="s">
        <v>0</v>
      </c>
      <c r="B3" t="s">
        <v>1</v>
      </c>
      <c r="C3">
        <v>1.2</v>
      </c>
      <c r="D3" t="s">
        <v>26</v>
      </c>
      <c r="E3" t="s">
        <v>75</v>
      </c>
      <c r="F3" t="s">
        <v>105</v>
      </c>
      <c r="G3">
        <v>20</v>
      </c>
      <c r="H3" s="14"/>
    </row>
    <row r="4" spans="1:8" ht="13.9" x14ac:dyDescent="0.25">
      <c r="A4" t="s">
        <v>0</v>
      </c>
      <c r="B4" t="s">
        <v>1</v>
      </c>
      <c r="C4">
        <v>1.2</v>
      </c>
      <c r="D4" t="s">
        <v>26</v>
      </c>
      <c r="E4" t="s">
        <v>76</v>
      </c>
      <c r="F4" t="s">
        <v>77</v>
      </c>
      <c r="G4">
        <v>5</v>
      </c>
      <c r="H4" s="14"/>
    </row>
    <row r="5" spans="1:8" ht="13.9" x14ac:dyDescent="0.25">
      <c r="A5" t="s">
        <v>0</v>
      </c>
      <c r="B5" t="s">
        <v>1</v>
      </c>
      <c r="C5">
        <v>1.3</v>
      </c>
      <c r="D5" t="s">
        <v>47</v>
      </c>
      <c r="E5" t="s">
        <v>65</v>
      </c>
      <c r="F5" t="s">
        <v>67</v>
      </c>
      <c r="G5">
        <v>5</v>
      </c>
      <c r="H5" s="14"/>
    </row>
    <row r="6" spans="1:8" ht="13.9" x14ac:dyDescent="0.25">
      <c r="A6" t="s">
        <v>0</v>
      </c>
      <c r="B6" t="s">
        <v>1</v>
      </c>
      <c r="C6">
        <v>1.3</v>
      </c>
      <c r="D6" t="s">
        <v>47</v>
      </c>
      <c r="E6" t="s">
        <v>66</v>
      </c>
      <c r="F6" t="s">
        <v>68</v>
      </c>
      <c r="G6">
        <v>5</v>
      </c>
      <c r="H6" s="14"/>
    </row>
    <row r="7" spans="1:8" ht="13.9" x14ac:dyDescent="0.25">
      <c r="A7" t="s">
        <v>0</v>
      </c>
      <c r="B7" t="s">
        <v>1</v>
      </c>
      <c r="C7">
        <v>1.3</v>
      </c>
      <c r="D7" t="s">
        <v>47</v>
      </c>
      <c r="E7" t="s">
        <v>78</v>
      </c>
      <c r="F7" t="s">
        <v>84</v>
      </c>
      <c r="G7">
        <v>5</v>
      </c>
      <c r="H7" s="14"/>
    </row>
    <row r="8" spans="1:8" ht="13.9" x14ac:dyDescent="0.25">
      <c r="A8" t="s">
        <v>0</v>
      </c>
      <c r="B8" t="s">
        <v>1</v>
      </c>
      <c r="C8">
        <v>1.3</v>
      </c>
      <c r="D8" t="s">
        <v>47</v>
      </c>
      <c r="E8" t="s">
        <v>79</v>
      </c>
      <c r="F8" t="s">
        <v>83</v>
      </c>
      <c r="G8">
        <v>5</v>
      </c>
      <c r="H8" s="14"/>
    </row>
    <row r="9" spans="1:8" ht="13.9" x14ac:dyDescent="0.25">
      <c r="A9" t="s">
        <v>0</v>
      </c>
      <c r="B9" t="s">
        <v>1</v>
      </c>
      <c r="C9">
        <v>1.3</v>
      </c>
      <c r="D9" t="s">
        <v>47</v>
      </c>
      <c r="E9" t="s">
        <v>80</v>
      </c>
      <c r="F9" t="s">
        <v>82</v>
      </c>
      <c r="G9">
        <v>2</v>
      </c>
      <c r="H9" s="14"/>
    </row>
    <row r="10" spans="1:8" ht="13.9" x14ac:dyDescent="0.25">
      <c r="A10" t="s">
        <v>0</v>
      </c>
      <c r="B10" t="s">
        <v>1</v>
      </c>
      <c r="C10">
        <v>1.3</v>
      </c>
      <c r="D10" t="s">
        <v>47</v>
      </c>
      <c r="E10" t="s">
        <v>81</v>
      </c>
      <c r="F10" t="s">
        <v>82</v>
      </c>
      <c r="G10">
        <v>3</v>
      </c>
      <c r="H10" s="14"/>
    </row>
    <row r="11" spans="1:8" ht="13.9" x14ac:dyDescent="0.25">
      <c r="A11" t="s">
        <v>0</v>
      </c>
      <c r="B11" t="s">
        <v>1</v>
      </c>
      <c r="C11">
        <v>1.4</v>
      </c>
      <c r="D11" t="s">
        <v>103</v>
      </c>
      <c r="E11" t="s">
        <v>94</v>
      </c>
      <c r="F11" t="s">
        <v>95</v>
      </c>
      <c r="G11">
        <v>5</v>
      </c>
      <c r="H11" s="14"/>
    </row>
    <row r="12" spans="1:8" ht="13.9" x14ac:dyDescent="0.25">
      <c r="A12" t="s">
        <v>0</v>
      </c>
      <c r="B12" t="s">
        <v>1</v>
      </c>
      <c r="C12">
        <v>1.4</v>
      </c>
      <c r="D12" t="s">
        <v>103</v>
      </c>
      <c r="E12" t="s">
        <v>98</v>
      </c>
      <c r="F12" t="s">
        <v>97</v>
      </c>
      <c r="G12">
        <v>5</v>
      </c>
      <c r="H12" s="14"/>
    </row>
    <row r="13" spans="1:8" ht="13.9" x14ac:dyDescent="0.25">
      <c r="A13" t="s">
        <v>0</v>
      </c>
      <c r="B13" t="s">
        <v>1</v>
      </c>
      <c r="C13">
        <v>1.4</v>
      </c>
      <c r="D13" t="s">
        <v>103</v>
      </c>
      <c r="E13" t="s">
        <v>99</v>
      </c>
      <c r="F13" t="s">
        <v>100</v>
      </c>
      <c r="G13">
        <v>10</v>
      </c>
      <c r="H13" s="14"/>
    </row>
    <row r="14" spans="1:8" ht="13.9" x14ac:dyDescent="0.25">
      <c r="A14" t="s">
        <v>0</v>
      </c>
      <c r="B14" t="s">
        <v>1</v>
      </c>
      <c r="C14">
        <v>1.5</v>
      </c>
      <c r="D14" t="s">
        <v>104</v>
      </c>
      <c r="E14" t="s">
        <v>102</v>
      </c>
      <c r="F14" t="s">
        <v>101</v>
      </c>
      <c r="G14">
        <v>10</v>
      </c>
      <c r="H14" s="14"/>
    </row>
  </sheetData>
  <phoneticPr fontId="1" type="noConversion"/>
  <pageMargins left="0.7" right="0.7" top="0.75" bottom="0.75" header="0.3" footer="0.3"/>
  <pageSetup paperSize="14" orientation="landscape"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FC38F-2CF0-4C02-98BB-415E97882FA2}">
  <sheetPr>
    <tabColor rgb="FF3F7E44"/>
    <pageSetUpPr autoPageBreaks="0"/>
  </sheetPr>
  <dimension ref="A1:O118"/>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style="243"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 min="14" max="14" width="19.85546875" bestFit="1" customWidth="1"/>
    <col min="15" max="15" width="3.7109375" customWidth="1"/>
  </cols>
  <sheetData>
    <row r="1" spans="1:15" s="93" customFormat="1" ht="45.6" x14ac:dyDescent="0.7">
      <c r="A1" s="320" t="s">
        <v>133</v>
      </c>
      <c r="B1" s="320" t="s">
        <v>44</v>
      </c>
      <c r="C1" s="321" t="s">
        <v>111</v>
      </c>
      <c r="D1" s="320" t="s">
        <v>112</v>
      </c>
      <c r="E1" s="320" t="s">
        <v>73</v>
      </c>
      <c r="F1" s="320" t="s">
        <v>92</v>
      </c>
      <c r="G1" s="322"/>
      <c r="H1" s="322"/>
      <c r="I1" s="323" t="s">
        <v>46</v>
      </c>
      <c r="J1" s="323" t="s">
        <v>181</v>
      </c>
      <c r="K1" s="92" t="s">
        <v>110</v>
      </c>
      <c r="L1" s="115" t="s">
        <v>172</v>
      </c>
      <c r="M1" s="116" t="s">
        <v>177</v>
      </c>
    </row>
    <row r="2" spans="1:15" x14ac:dyDescent="0.25">
      <c r="A2" s="46" t="s">
        <v>133</v>
      </c>
      <c r="B2" s="496" t="s">
        <v>535</v>
      </c>
      <c r="C2" s="48">
        <v>13.1</v>
      </c>
      <c r="D2" s="496" t="s">
        <v>536</v>
      </c>
      <c r="E2" s="47" t="s">
        <v>537</v>
      </c>
      <c r="F2" s="47" t="s">
        <v>536</v>
      </c>
      <c r="G2" s="49" t="s">
        <v>128</v>
      </c>
      <c r="H2" s="450">
        <v>1</v>
      </c>
      <c r="I2" s="122"/>
      <c r="J2" s="482">
        <f>I3</f>
        <v>25</v>
      </c>
      <c r="K2" s="52"/>
      <c r="L2">
        <v>25</v>
      </c>
      <c r="M2" s="78">
        <f>H2*L2</f>
        <v>25</v>
      </c>
    </row>
    <row r="3" spans="1:15" x14ac:dyDescent="0.25">
      <c r="A3" s="43"/>
      <c r="B3" s="498"/>
      <c r="C3" s="45"/>
      <c r="D3" s="498"/>
      <c r="E3" s="44"/>
      <c r="F3" s="44"/>
      <c r="G3" s="50" t="s">
        <v>127</v>
      </c>
      <c r="H3" s="450">
        <v>1</v>
      </c>
      <c r="I3" s="128">
        <f>IF(M4&gt;=25,25,M4)</f>
        <v>25</v>
      </c>
      <c r="J3" s="483"/>
      <c r="K3" s="53">
        <v>25</v>
      </c>
      <c r="L3">
        <v>10</v>
      </c>
      <c r="M3" s="78">
        <f>H3*L3</f>
        <v>10</v>
      </c>
    </row>
    <row r="4" spans="1:15" ht="13.9" x14ac:dyDescent="0.25">
      <c r="A4" s="70" t="s">
        <v>133</v>
      </c>
      <c r="B4" s="196" t="s">
        <v>535</v>
      </c>
      <c r="C4" s="72">
        <v>13.2</v>
      </c>
      <c r="D4" s="196" t="s">
        <v>538</v>
      </c>
      <c r="E4" s="71" t="s">
        <v>539</v>
      </c>
      <c r="F4" s="189" t="s">
        <v>540</v>
      </c>
      <c r="G4" s="231" t="s">
        <v>541</v>
      </c>
      <c r="H4" s="460">
        <v>0.05</v>
      </c>
      <c r="I4" s="195">
        <f>IF(M5&gt;=K5,K5,M5)</f>
        <v>15</v>
      </c>
      <c r="J4" s="197"/>
      <c r="M4" s="78">
        <f>SUM(M2:M3)</f>
        <v>35</v>
      </c>
    </row>
    <row r="5" spans="1:15" ht="13.9" x14ac:dyDescent="0.25">
      <c r="A5" s="70" t="s">
        <v>133</v>
      </c>
      <c r="B5" s="196" t="s">
        <v>535</v>
      </c>
      <c r="C5" s="72">
        <v>13.3</v>
      </c>
      <c r="D5" s="196" t="s">
        <v>542</v>
      </c>
      <c r="E5" s="71" t="s">
        <v>543</v>
      </c>
      <c r="F5" s="196" t="s">
        <v>544</v>
      </c>
      <c r="G5" s="231" t="s">
        <v>545</v>
      </c>
      <c r="H5" s="452">
        <v>6</v>
      </c>
      <c r="I5" s="195">
        <f>IF(M7&gt;=K7,K7,M7)</f>
        <v>10</v>
      </c>
      <c r="J5" s="197"/>
      <c r="K5" s="53">
        <v>15</v>
      </c>
      <c r="L5" s="11">
        <v>0.05</v>
      </c>
      <c r="M5" s="25">
        <f>H4/L5*K5</f>
        <v>15</v>
      </c>
    </row>
    <row r="6" spans="1:15" ht="27.6" x14ac:dyDescent="0.25">
      <c r="A6" s="70" t="s">
        <v>133</v>
      </c>
      <c r="B6" s="196" t="s">
        <v>535</v>
      </c>
      <c r="C6" s="72">
        <v>13.3</v>
      </c>
      <c r="D6" s="196" t="s">
        <v>542</v>
      </c>
      <c r="E6" s="71" t="s">
        <v>546</v>
      </c>
      <c r="F6" s="189" t="s">
        <v>547</v>
      </c>
      <c r="G6" s="231" t="s">
        <v>548</v>
      </c>
      <c r="H6" s="476" t="s">
        <v>782</v>
      </c>
      <c r="I6" s="59">
        <f>VLOOKUP(H6,N8:O11,2,)</f>
        <v>10</v>
      </c>
      <c r="M6"/>
    </row>
    <row r="7" spans="1:15" ht="13.9" x14ac:dyDescent="0.25">
      <c r="A7" s="70" t="s">
        <v>133</v>
      </c>
      <c r="B7" s="196" t="s">
        <v>535</v>
      </c>
      <c r="C7" s="72">
        <v>13.3</v>
      </c>
      <c r="D7" s="196" t="s">
        <v>542</v>
      </c>
      <c r="E7" s="71" t="s">
        <v>552</v>
      </c>
      <c r="F7" s="196" t="s">
        <v>553</v>
      </c>
      <c r="G7" s="231" t="s">
        <v>554</v>
      </c>
      <c r="H7" s="450">
        <v>2</v>
      </c>
      <c r="I7" s="59">
        <f>IF(M11&gt;=K11,K11,M11)</f>
        <v>5</v>
      </c>
      <c r="K7" s="53">
        <v>10</v>
      </c>
      <c r="L7">
        <v>6</v>
      </c>
      <c r="M7" s="25">
        <f>H5/L7*K7</f>
        <v>10</v>
      </c>
    </row>
    <row r="8" spans="1:15" ht="27.6" x14ac:dyDescent="0.25">
      <c r="A8" s="70" t="s">
        <v>133</v>
      </c>
      <c r="B8" s="196" t="s">
        <v>535</v>
      </c>
      <c r="C8" s="72">
        <v>13.3</v>
      </c>
      <c r="D8" s="196" t="s">
        <v>542</v>
      </c>
      <c r="E8" s="71" t="s">
        <v>555</v>
      </c>
      <c r="F8" s="196" t="s">
        <v>556</v>
      </c>
      <c r="G8" s="231" t="s">
        <v>783</v>
      </c>
      <c r="H8" s="450">
        <v>2</v>
      </c>
      <c r="I8" s="59">
        <f>IF(M13&gt;=K13,K13,M13)</f>
        <v>5</v>
      </c>
      <c r="L8" s="13"/>
      <c r="M8"/>
      <c r="N8" s="312" t="s">
        <v>782</v>
      </c>
      <c r="O8" s="331">
        <v>10</v>
      </c>
    </row>
    <row r="9" spans="1:15" x14ac:dyDescent="0.25">
      <c r="A9" s="285" t="s">
        <v>133</v>
      </c>
      <c r="B9" s="286" t="s">
        <v>535</v>
      </c>
      <c r="C9" s="287">
        <v>13.3</v>
      </c>
      <c r="D9" s="286" t="s">
        <v>542</v>
      </c>
      <c r="E9" s="288" t="s">
        <v>557</v>
      </c>
      <c r="F9" s="286" t="s">
        <v>558</v>
      </c>
      <c r="G9" s="334" t="s">
        <v>559</v>
      </c>
      <c r="H9" s="467">
        <v>1</v>
      </c>
      <c r="I9" s="501">
        <f>IF(L21&gt;=10,10,L21)</f>
        <v>10</v>
      </c>
      <c r="M9" s="25"/>
      <c r="N9" s="54" t="s">
        <v>550</v>
      </c>
      <c r="O9" s="332">
        <v>7</v>
      </c>
    </row>
    <row r="10" spans="1:15" x14ac:dyDescent="0.25">
      <c r="A10" s="289"/>
      <c r="B10" s="290"/>
      <c r="C10" s="291"/>
      <c r="D10" s="292"/>
      <c r="E10" s="290"/>
      <c r="F10" s="290"/>
      <c r="G10" s="335" t="s">
        <v>120</v>
      </c>
      <c r="H10" s="454">
        <v>1</v>
      </c>
      <c r="I10" s="506"/>
      <c r="J10" s="197"/>
      <c r="N10" s="54" t="s">
        <v>810</v>
      </c>
      <c r="O10" s="332">
        <v>5</v>
      </c>
    </row>
    <row r="11" spans="1:15" x14ac:dyDescent="0.25">
      <c r="A11" s="289"/>
      <c r="B11" s="290"/>
      <c r="C11" s="291"/>
      <c r="D11" s="292"/>
      <c r="E11" s="290"/>
      <c r="F11" s="290"/>
      <c r="G11" s="335" t="s">
        <v>121</v>
      </c>
      <c r="H11" s="454">
        <v>1</v>
      </c>
      <c r="I11" s="506"/>
      <c r="K11" s="53">
        <v>5</v>
      </c>
      <c r="L11">
        <v>2</v>
      </c>
      <c r="M11" s="25">
        <f>H7/L11*K11</f>
        <v>5</v>
      </c>
      <c r="N11" s="313" t="s">
        <v>15</v>
      </c>
      <c r="O11" s="333">
        <v>0</v>
      </c>
    </row>
    <row r="12" spans="1:15" x14ac:dyDescent="0.25">
      <c r="A12" s="289"/>
      <c r="B12" s="290"/>
      <c r="C12" s="291"/>
      <c r="D12" s="292"/>
      <c r="E12" s="290"/>
      <c r="F12" s="290"/>
      <c r="G12" s="335" t="s">
        <v>122</v>
      </c>
      <c r="H12" s="454">
        <v>1</v>
      </c>
      <c r="I12" s="506"/>
      <c r="J12" s="197"/>
      <c r="L12" s="13"/>
      <c r="M12"/>
    </row>
    <row r="13" spans="1:15" x14ac:dyDescent="0.25">
      <c r="A13" s="297"/>
      <c r="B13" s="298"/>
      <c r="C13" s="299"/>
      <c r="D13" s="300"/>
      <c r="E13" s="298"/>
      <c r="F13" s="298"/>
      <c r="G13" s="336" t="s">
        <v>474</v>
      </c>
      <c r="H13" s="454">
        <v>1</v>
      </c>
      <c r="I13" s="502"/>
      <c r="K13" s="53">
        <v>5</v>
      </c>
      <c r="L13">
        <v>2</v>
      </c>
      <c r="M13" s="25">
        <f>H8/L13*K13</f>
        <v>5</v>
      </c>
    </row>
    <row r="14" spans="1:15" ht="13.9" x14ac:dyDescent="0.25">
      <c r="A14" s="70" t="s">
        <v>133</v>
      </c>
      <c r="B14" s="196" t="s">
        <v>535</v>
      </c>
      <c r="C14" s="72">
        <v>13.4</v>
      </c>
      <c r="D14" s="196" t="s">
        <v>560</v>
      </c>
      <c r="E14" s="71" t="s">
        <v>561</v>
      </c>
      <c r="F14" s="196" t="s">
        <v>562</v>
      </c>
      <c r="G14" s="231" t="s">
        <v>563</v>
      </c>
      <c r="H14" s="450">
        <v>2</v>
      </c>
      <c r="I14" s="59">
        <f>IF(M22&gt;=K22,K22,M22)</f>
        <v>5</v>
      </c>
    </row>
    <row r="15" spans="1:15" ht="13.9" x14ac:dyDescent="0.25">
      <c r="A15" s="70" t="s">
        <v>133</v>
      </c>
      <c r="B15" s="196" t="s">
        <v>535</v>
      </c>
      <c r="C15" s="72">
        <v>13.4</v>
      </c>
      <c r="D15" s="196" t="s">
        <v>560</v>
      </c>
      <c r="E15" s="71" t="s">
        <v>565</v>
      </c>
      <c r="F15" s="196" t="s">
        <v>564</v>
      </c>
      <c r="G15" s="231" t="s">
        <v>566</v>
      </c>
      <c r="H15" s="450">
        <v>2</v>
      </c>
      <c r="I15" s="59">
        <f>IF(M24&gt;=K24,K24,M24)</f>
        <v>5</v>
      </c>
      <c r="K15" s="53">
        <v>2</v>
      </c>
      <c r="L15" s="76">
        <f>H9*K15</f>
        <v>2</v>
      </c>
      <c r="M15" s="25"/>
    </row>
    <row r="16" spans="1:15" ht="27.6" x14ac:dyDescent="0.25">
      <c r="A16" s="70" t="s">
        <v>133</v>
      </c>
      <c r="B16" s="196" t="s">
        <v>535</v>
      </c>
      <c r="C16" s="72">
        <v>13.5</v>
      </c>
      <c r="D16" s="196" t="s">
        <v>567</v>
      </c>
      <c r="E16" s="71" t="s">
        <v>568</v>
      </c>
      <c r="F16" s="196" t="s">
        <v>567</v>
      </c>
      <c r="G16" s="231" t="s">
        <v>811</v>
      </c>
      <c r="H16" s="475" t="s">
        <v>10</v>
      </c>
      <c r="I16" s="195">
        <f>IF(H16="Yes",O16,O17)</f>
        <v>2</v>
      </c>
      <c r="K16" s="53">
        <v>4</v>
      </c>
      <c r="L16" s="76">
        <f>H10*K16</f>
        <v>4</v>
      </c>
      <c r="M16" s="25"/>
      <c r="N16" t="s">
        <v>10</v>
      </c>
      <c r="O16">
        <v>2</v>
      </c>
    </row>
    <row r="17" spans="1:15" ht="13.9" x14ac:dyDescent="0.25">
      <c r="A17" s="267"/>
      <c r="B17" s="268"/>
      <c r="C17" s="269"/>
      <c r="D17" s="268"/>
      <c r="E17" s="267"/>
      <c r="F17" s="268"/>
      <c r="G17" s="474" t="s">
        <v>812</v>
      </c>
      <c r="H17" s="452">
        <v>2</v>
      </c>
      <c r="I17" s="195">
        <f>IF(M26&gt;=K26,K26,M26)</f>
        <v>8</v>
      </c>
      <c r="J17" s="178">
        <f>SUM(I4:I17)</f>
        <v>75</v>
      </c>
      <c r="L17" s="76"/>
      <c r="M17" s="25"/>
      <c r="N17" t="s">
        <v>15</v>
      </c>
      <c r="O17">
        <v>0</v>
      </c>
    </row>
    <row r="18" spans="1:15" ht="17.45" x14ac:dyDescent="0.25">
      <c r="A18" s="324"/>
      <c r="B18" s="324"/>
      <c r="C18" s="325"/>
      <c r="D18" s="326"/>
      <c r="E18" s="324"/>
      <c r="F18" s="324"/>
      <c r="G18" s="327"/>
      <c r="H18" s="328"/>
      <c r="I18" s="329" t="s">
        <v>534</v>
      </c>
      <c r="J18" s="330">
        <f>SUM(J2:J17)</f>
        <v>100</v>
      </c>
      <c r="K18" s="53">
        <v>6</v>
      </c>
      <c r="L18" s="76">
        <f>H11*K18</f>
        <v>6</v>
      </c>
    </row>
    <row r="19" spans="1:15" ht="13.9" x14ac:dyDescent="0.25">
      <c r="G19" s="13"/>
      <c r="K19" s="53">
        <v>8</v>
      </c>
      <c r="L19" s="76">
        <f>H12*K19</f>
        <v>8</v>
      </c>
      <c r="M19" s="25"/>
    </row>
    <row r="20" spans="1:15" ht="13.9" x14ac:dyDescent="0.25">
      <c r="G20" s="13"/>
      <c r="K20" s="53">
        <v>10</v>
      </c>
      <c r="L20" s="76">
        <f>H13*K20</f>
        <v>10</v>
      </c>
    </row>
    <row r="21" spans="1:15" ht="13.9" x14ac:dyDescent="0.25">
      <c r="G21" s="13"/>
      <c r="L21" s="26">
        <f>SUM(L15:L20)</f>
        <v>30</v>
      </c>
    </row>
    <row r="22" spans="1:15" ht="13.9" x14ac:dyDescent="0.25">
      <c r="G22" s="13"/>
      <c r="K22" s="53">
        <v>5</v>
      </c>
      <c r="L22">
        <v>2</v>
      </c>
      <c r="M22" s="25">
        <f>H14/L22*K22</f>
        <v>5</v>
      </c>
    </row>
    <row r="23" spans="1:15" ht="13.9" x14ac:dyDescent="0.25">
      <c r="G23" s="13"/>
    </row>
    <row r="24" spans="1:15" ht="13.9" x14ac:dyDescent="0.25">
      <c r="G24" s="13"/>
      <c r="K24" s="53">
        <v>5</v>
      </c>
      <c r="L24">
        <v>2</v>
      </c>
      <c r="M24" s="25">
        <f>H15/L24*K24</f>
        <v>5</v>
      </c>
    </row>
    <row r="25" spans="1:15" ht="13.9" x14ac:dyDescent="0.25">
      <c r="G25" s="13"/>
      <c r="M25"/>
    </row>
    <row r="26" spans="1:15" ht="13.9" x14ac:dyDescent="0.25">
      <c r="G26" s="13"/>
      <c r="K26" s="53">
        <v>8</v>
      </c>
      <c r="L26">
        <v>2</v>
      </c>
      <c r="M26" s="25">
        <f>H17/L26*K26</f>
        <v>8</v>
      </c>
    </row>
    <row r="27" spans="1:15" ht="13.9" x14ac:dyDescent="0.25">
      <c r="G27" s="13"/>
    </row>
    <row r="28" spans="1:15" ht="13.9" x14ac:dyDescent="0.25">
      <c r="G28" s="13"/>
      <c r="M28" s="117"/>
    </row>
    <row r="29" spans="1:15" ht="13.9" x14ac:dyDescent="0.25">
      <c r="G29" s="13"/>
    </row>
    <row r="30" spans="1:15" ht="13.9" x14ac:dyDescent="0.25">
      <c r="G30" s="13"/>
    </row>
    <row r="31" spans="1:15" ht="13.9" x14ac:dyDescent="0.25">
      <c r="G31" s="13"/>
    </row>
    <row r="32" spans="1:15" ht="13.9" x14ac:dyDescent="0.25">
      <c r="G32" s="13"/>
    </row>
    <row r="33" spans="7:7" ht="13.9" x14ac:dyDescent="0.25">
      <c r="G33" s="13"/>
    </row>
    <row r="34" spans="7:7" ht="13.9" x14ac:dyDescent="0.25">
      <c r="G34" s="13"/>
    </row>
    <row r="35" spans="7:7" ht="13.9" x14ac:dyDescent="0.25">
      <c r="G35" s="13"/>
    </row>
    <row r="36" spans="7:7" ht="13.9" x14ac:dyDescent="0.25">
      <c r="G36" s="13"/>
    </row>
    <row r="37" spans="7:7" ht="13.9" x14ac:dyDescent="0.25">
      <c r="G37" s="13"/>
    </row>
    <row r="38" spans="7:7" ht="13.9" x14ac:dyDescent="0.25">
      <c r="G38" s="13"/>
    </row>
    <row r="39" spans="7:7" x14ac:dyDescent="0.25">
      <c r="G39" s="13"/>
    </row>
    <row r="40" spans="7:7" x14ac:dyDescent="0.25">
      <c r="G40" s="13"/>
    </row>
    <row r="41" spans="7:7"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row r="117" spans="7:7" x14ac:dyDescent="0.25">
      <c r="G117" s="13"/>
    </row>
    <row r="118" spans="7:7" x14ac:dyDescent="0.25">
      <c r="G118" s="13"/>
    </row>
  </sheetData>
  <sheetProtection algorithmName="SHA-512" hashValue="EQiOo24+4c2P0aBQmDir8TKkIsi+2fR5bf9Yk4nAiLZQuE5jmfetv47Sv3IBtZ85qlw289yhZAYpkLvRlQ8FyA==" saltValue="K1mSjv/UtjTx4SjTz1VS9w==" spinCount="100000" sheet="1" objects="1" scenarios="1" selectLockedCells="1"/>
  <mergeCells count="4">
    <mergeCell ref="B2:B3"/>
    <mergeCell ref="D2:D3"/>
    <mergeCell ref="J2:J3"/>
    <mergeCell ref="I9:I13"/>
  </mergeCells>
  <dataValidations count="2">
    <dataValidation type="list" showInputMessage="1" showErrorMessage="1" sqref="H6" xr:uid="{3C20988D-C9B9-4D01-BE1F-884C18B29E25}">
      <formula1>$N$8:$N$11</formula1>
    </dataValidation>
    <dataValidation type="list" allowBlank="1" showInputMessage="1" showErrorMessage="1" sqref="H16" xr:uid="{5857FA8A-C28E-4621-8B1E-F69BC0D4411A}">
      <formula1>$N$16:$N$17</formula1>
    </dataValidation>
  </dataValidations>
  <pageMargins left="0.7" right="0.7" top="0.75" bottom="0.75" header="0.3" footer="0.3"/>
  <pageSetup paperSize="14"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7AE3-BA3F-4542-83FD-A99037FF30C2}">
  <sheetPr>
    <tabColor rgb="FF0A97D9"/>
    <pageSetUpPr autoPageBreaks="0"/>
  </sheetPr>
  <dimension ref="A1:N125"/>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style="243"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 min="14" max="14" width="19.85546875" bestFit="1" customWidth="1"/>
    <col min="15" max="15" width="3.7109375" customWidth="1"/>
  </cols>
  <sheetData>
    <row r="1" spans="1:14" s="93" customFormat="1" ht="45.6" x14ac:dyDescent="0.7">
      <c r="A1" s="344" t="s">
        <v>134</v>
      </c>
      <c r="B1" s="344" t="s">
        <v>44</v>
      </c>
      <c r="C1" s="345" t="s">
        <v>111</v>
      </c>
      <c r="D1" s="344" t="s">
        <v>112</v>
      </c>
      <c r="E1" s="344" t="s">
        <v>73</v>
      </c>
      <c r="F1" s="344" t="s">
        <v>92</v>
      </c>
      <c r="G1" s="346"/>
      <c r="H1" s="346"/>
      <c r="I1" s="347" t="s">
        <v>46</v>
      </c>
      <c r="J1" s="347" t="s">
        <v>181</v>
      </c>
      <c r="K1" s="92" t="s">
        <v>110</v>
      </c>
      <c r="L1" s="115" t="s">
        <v>172</v>
      </c>
      <c r="M1" s="116" t="s">
        <v>177</v>
      </c>
    </row>
    <row r="2" spans="1:14" x14ac:dyDescent="0.25">
      <c r="A2" s="46" t="s">
        <v>134</v>
      </c>
      <c r="B2" s="496" t="s">
        <v>569</v>
      </c>
      <c r="C2" s="48">
        <v>14.1</v>
      </c>
      <c r="D2" s="496" t="s">
        <v>570</v>
      </c>
      <c r="E2" s="47" t="s">
        <v>537</v>
      </c>
      <c r="F2" s="47" t="s">
        <v>570</v>
      </c>
      <c r="G2" s="49" t="s">
        <v>128</v>
      </c>
      <c r="H2" s="450">
        <v>1</v>
      </c>
      <c r="I2" s="122"/>
      <c r="J2" s="482">
        <f>I3</f>
        <v>25</v>
      </c>
      <c r="K2" s="52"/>
      <c r="L2">
        <v>25</v>
      </c>
      <c r="M2" s="78">
        <f>H2*L2</f>
        <v>25</v>
      </c>
    </row>
    <row r="3" spans="1:14" x14ac:dyDescent="0.25">
      <c r="A3" s="43"/>
      <c r="B3" s="498"/>
      <c r="C3" s="45"/>
      <c r="D3" s="498"/>
      <c r="E3" s="44"/>
      <c r="F3" s="44"/>
      <c r="G3" s="50" t="s">
        <v>127</v>
      </c>
      <c r="H3" s="450">
        <v>1</v>
      </c>
      <c r="I3" s="128">
        <f>IF(N3&gt;=25,25,N3)</f>
        <v>25</v>
      </c>
      <c r="J3" s="483"/>
      <c r="K3" s="53">
        <v>25</v>
      </c>
      <c r="L3">
        <v>10</v>
      </c>
      <c r="M3" s="78">
        <f>H3*L3</f>
        <v>10</v>
      </c>
      <c r="N3" s="78">
        <f>SUM(M2:M3)</f>
        <v>35</v>
      </c>
    </row>
    <row r="4" spans="1:14" ht="27.6" x14ac:dyDescent="0.25">
      <c r="A4" s="70" t="s">
        <v>134</v>
      </c>
      <c r="B4" s="196" t="s">
        <v>569</v>
      </c>
      <c r="C4" s="72">
        <v>14.2</v>
      </c>
      <c r="D4" s="196" t="s">
        <v>580</v>
      </c>
      <c r="E4" s="71" t="s">
        <v>572</v>
      </c>
      <c r="F4" s="189" t="s">
        <v>581</v>
      </c>
      <c r="G4" s="231" t="s">
        <v>582</v>
      </c>
      <c r="H4" s="452">
        <v>2</v>
      </c>
      <c r="I4" s="195">
        <f>IF(M4&gt;=K4,K4,M4)</f>
        <v>5</v>
      </c>
      <c r="J4" s="197"/>
      <c r="K4" s="53">
        <v>5</v>
      </c>
      <c r="L4">
        <v>2</v>
      </c>
      <c r="M4" s="25">
        <f>H4/L4*K4</f>
        <v>5</v>
      </c>
    </row>
    <row r="5" spans="1:14" ht="27.6" x14ac:dyDescent="0.25">
      <c r="A5" s="70" t="s">
        <v>134</v>
      </c>
      <c r="B5" s="196" t="s">
        <v>569</v>
      </c>
      <c r="C5" s="72">
        <v>14.2</v>
      </c>
      <c r="D5" s="196" t="s">
        <v>580</v>
      </c>
      <c r="E5" s="71" t="s">
        <v>583</v>
      </c>
      <c r="F5" s="196" t="s">
        <v>585</v>
      </c>
      <c r="G5" s="231" t="s">
        <v>584</v>
      </c>
      <c r="H5" s="452">
        <v>2</v>
      </c>
      <c r="I5" s="195">
        <f>IF(M5&gt;=K5,K5,M5)</f>
        <v>5</v>
      </c>
      <c r="J5" s="197"/>
      <c r="K5" s="53">
        <v>5</v>
      </c>
      <c r="L5">
        <v>2</v>
      </c>
      <c r="M5" s="25">
        <f>H5/L5*K5</f>
        <v>5</v>
      </c>
    </row>
    <row r="6" spans="1:14" ht="13.9" x14ac:dyDescent="0.25">
      <c r="A6" s="70" t="s">
        <v>134</v>
      </c>
      <c r="B6" s="196" t="s">
        <v>569</v>
      </c>
      <c r="C6" s="72">
        <v>14.2</v>
      </c>
      <c r="D6" s="196" t="s">
        <v>580</v>
      </c>
      <c r="E6" s="71" t="s">
        <v>587</v>
      </c>
      <c r="F6" s="189" t="s">
        <v>586</v>
      </c>
      <c r="G6" s="231" t="s">
        <v>588</v>
      </c>
      <c r="H6" s="452">
        <v>2</v>
      </c>
      <c r="I6" s="195">
        <f>IF(M6&gt;=K6,K6,M6)</f>
        <v>5</v>
      </c>
      <c r="J6" s="197"/>
      <c r="K6" s="53">
        <v>5</v>
      </c>
      <c r="L6">
        <v>2</v>
      </c>
      <c r="M6" s="25">
        <f>H6/L6*K6</f>
        <v>5</v>
      </c>
    </row>
    <row r="7" spans="1:14" ht="27.6" x14ac:dyDescent="0.25">
      <c r="A7" s="70" t="s">
        <v>134</v>
      </c>
      <c r="B7" s="196" t="s">
        <v>569</v>
      </c>
      <c r="C7" s="72">
        <v>14.3</v>
      </c>
      <c r="D7" s="196" t="s">
        <v>590</v>
      </c>
      <c r="E7" s="71" t="s">
        <v>573</v>
      </c>
      <c r="F7" s="196" t="s">
        <v>589</v>
      </c>
      <c r="G7" s="231" t="s">
        <v>591</v>
      </c>
      <c r="H7" s="450">
        <v>2</v>
      </c>
      <c r="I7" s="59">
        <f>IF(M7&gt;=K7,K7,M7)</f>
        <v>5</v>
      </c>
      <c r="K7" s="53">
        <v>5</v>
      </c>
      <c r="L7">
        <v>2</v>
      </c>
      <c r="M7" s="25">
        <f>H7/L7*K7</f>
        <v>5</v>
      </c>
    </row>
    <row r="8" spans="1:14" ht="13.9" x14ac:dyDescent="0.25">
      <c r="A8" s="70" t="s">
        <v>134</v>
      </c>
      <c r="B8" s="196" t="s">
        <v>569</v>
      </c>
      <c r="C8" s="72">
        <v>14.3</v>
      </c>
      <c r="D8" s="196" t="s">
        <v>590</v>
      </c>
      <c r="E8" s="71" t="s">
        <v>574</v>
      </c>
      <c r="F8" s="196" t="s">
        <v>592</v>
      </c>
      <c r="G8" s="231" t="s">
        <v>813</v>
      </c>
      <c r="H8" s="450">
        <v>1</v>
      </c>
      <c r="I8" s="59">
        <f>IF(H8&gt;=1,1,0)</f>
        <v>1</v>
      </c>
    </row>
    <row r="9" spans="1:14" ht="13.9" x14ac:dyDescent="0.25">
      <c r="A9" s="70"/>
      <c r="B9" s="196"/>
      <c r="C9" s="72"/>
      <c r="D9" s="196"/>
      <c r="E9" s="71"/>
      <c r="F9" s="196"/>
      <c r="G9" s="231" t="s">
        <v>248</v>
      </c>
      <c r="H9" s="450">
        <v>3</v>
      </c>
      <c r="I9" s="59">
        <f>IF(H8=0,0,IF(M9&gt;=K9,K9,M9))</f>
        <v>4</v>
      </c>
      <c r="K9" s="53">
        <v>4</v>
      </c>
      <c r="L9">
        <v>2</v>
      </c>
      <c r="M9" s="25">
        <f>H9/L9*K9</f>
        <v>6</v>
      </c>
    </row>
    <row r="10" spans="1:14" ht="27.6" x14ac:dyDescent="0.25">
      <c r="A10" s="70" t="s">
        <v>134</v>
      </c>
      <c r="B10" s="196" t="s">
        <v>569</v>
      </c>
      <c r="C10" s="72">
        <v>14.3</v>
      </c>
      <c r="D10" s="196" t="s">
        <v>590</v>
      </c>
      <c r="E10" s="71" t="s">
        <v>575</v>
      </c>
      <c r="F10" s="196" t="s">
        <v>593</v>
      </c>
      <c r="G10" s="231" t="s">
        <v>594</v>
      </c>
      <c r="H10" s="450">
        <v>2</v>
      </c>
      <c r="I10" s="59">
        <f>IF(M10&gt;=K10,K10,M10)</f>
        <v>5</v>
      </c>
      <c r="K10" s="53">
        <v>5</v>
      </c>
      <c r="L10">
        <v>2</v>
      </c>
      <c r="M10" s="25">
        <f>H10/L10*K10</f>
        <v>5</v>
      </c>
    </row>
    <row r="11" spans="1:14" ht="27.6" x14ac:dyDescent="0.25">
      <c r="A11" s="70" t="s">
        <v>134</v>
      </c>
      <c r="B11" s="196" t="s">
        <v>569</v>
      </c>
      <c r="C11" s="72">
        <v>14.3</v>
      </c>
      <c r="D11" s="196" t="s">
        <v>590</v>
      </c>
      <c r="E11" s="71" t="s">
        <v>576</v>
      </c>
      <c r="F11" s="196" t="s">
        <v>595</v>
      </c>
      <c r="G11" s="231" t="s">
        <v>596</v>
      </c>
      <c r="H11" s="450">
        <v>2</v>
      </c>
      <c r="I11" s="59">
        <f>IF(M11&gt;=K11,K11,M11)</f>
        <v>5</v>
      </c>
      <c r="K11" s="53">
        <v>5</v>
      </c>
      <c r="L11">
        <v>2</v>
      </c>
      <c r="M11" s="25">
        <f>H11/L11*K11</f>
        <v>5</v>
      </c>
    </row>
    <row r="12" spans="1:14" ht="27.6" x14ac:dyDescent="0.25">
      <c r="A12" s="70" t="s">
        <v>134</v>
      </c>
      <c r="B12" s="196" t="s">
        <v>569</v>
      </c>
      <c r="C12" s="72">
        <v>14.4</v>
      </c>
      <c r="D12" s="196" t="s">
        <v>597</v>
      </c>
      <c r="E12" s="71" t="s">
        <v>577</v>
      </c>
      <c r="F12" s="196" t="s">
        <v>598</v>
      </c>
      <c r="G12" s="231" t="s">
        <v>814</v>
      </c>
      <c r="H12" s="475" t="s">
        <v>10</v>
      </c>
      <c r="I12" s="59">
        <f>IF(H12="Yes",1,0)</f>
        <v>1</v>
      </c>
    </row>
    <row r="13" spans="1:14" ht="13.9" x14ac:dyDescent="0.25">
      <c r="A13" s="70"/>
      <c r="B13" s="196"/>
      <c r="C13" s="72"/>
      <c r="D13" s="196"/>
      <c r="E13" s="71" t="s">
        <v>577</v>
      </c>
      <c r="F13" s="196"/>
      <c r="G13" s="231" t="s">
        <v>815</v>
      </c>
      <c r="H13" s="450">
        <v>3</v>
      </c>
      <c r="I13" s="59">
        <f>IF(H12="No",0,IF(M13&gt;=K13,K13,M13))</f>
        <v>4</v>
      </c>
      <c r="K13" s="53">
        <v>4</v>
      </c>
      <c r="L13">
        <v>2</v>
      </c>
      <c r="M13" s="25">
        <f>H13/L13*K13</f>
        <v>6</v>
      </c>
    </row>
    <row r="14" spans="1:14" ht="27.6" x14ac:dyDescent="0.25">
      <c r="A14" s="70" t="s">
        <v>134</v>
      </c>
      <c r="B14" s="196" t="s">
        <v>569</v>
      </c>
      <c r="C14" s="72">
        <v>14.4</v>
      </c>
      <c r="D14" s="196" t="s">
        <v>597</v>
      </c>
      <c r="E14" s="71" t="s">
        <v>578</v>
      </c>
      <c r="F14" s="196" t="s">
        <v>599</v>
      </c>
      <c r="G14" s="231" t="s">
        <v>816</v>
      </c>
      <c r="H14" s="475" t="s">
        <v>10</v>
      </c>
      <c r="I14" s="59">
        <f>IF(H14="Yes",1,0)</f>
        <v>1</v>
      </c>
    </row>
    <row r="15" spans="1:14" ht="13.9" x14ac:dyDescent="0.25">
      <c r="A15" s="70"/>
      <c r="B15" s="196"/>
      <c r="C15" s="72"/>
      <c r="D15" s="196"/>
      <c r="E15" s="71" t="s">
        <v>578</v>
      </c>
      <c r="F15" s="196"/>
      <c r="G15" s="231" t="s">
        <v>817</v>
      </c>
      <c r="H15" s="450">
        <v>5</v>
      </c>
      <c r="I15" s="59">
        <f>IF(H14="No",0,IF(M15&gt;=K15,K15,M15))</f>
        <v>4</v>
      </c>
      <c r="K15" s="53">
        <v>4</v>
      </c>
      <c r="L15">
        <v>2</v>
      </c>
      <c r="M15" s="25">
        <f>H15/L15*K15</f>
        <v>10</v>
      </c>
    </row>
    <row r="16" spans="1:14" ht="41.45" x14ac:dyDescent="0.25">
      <c r="A16" s="70" t="s">
        <v>134</v>
      </c>
      <c r="B16" s="196" t="s">
        <v>569</v>
      </c>
      <c r="C16" s="72">
        <v>14.4</v>
      </c>
      <c r="D16" s="196" t="s">
        <v>597</v>
      </c>
      <c r="E16" s="71" t="s">
        <v>600</v>
      </c>
      <c r="F16" s="196" t="s">
        <v>601</v>
      </c>
      <c r="G16" s="231" t="s">
        <v>818</v>
      </c>
      <c r="H16" s="475" t="s">
        <v>10</v>
      </c>
      <c r="I16" s="59">
        <f>IF(H16="Yes",1,0)</f>
        <v>1</v>
      </c>
    </row>
    <row r="17" spans="1:13" ht="13.9" x14ac:dyDescent="0.25">
      <c r="A17" s="70"/>
      <c r="B17" s="196"/>
      <c r="C17" s="72"/>
      <c r="D17" s="196"/>
      <c r="E17" s="71" t="s">
        <v>600</v>
      </c>
      <c r="F17" s="196"/>
      <c r="G17" s="231" t="s">
        <v>819</v>
      </c>
      <c r="H17" s="450">
        <v>3</v>
      </c>
      <c r="I17" s="59">
        <f>IF(H16="No",0,IF(M17&gt;=K17,K17,M17))</f>
        <v>4</v>
      </c>
      <c r="K17" s="53">
        <v>4</v>
      </c>
      <c r="L17">
        <v>2</v>
      </c>
      <c r="M17" s="25">
        <f>H17/L17*K17</f>
        <v>6</v>
      </c>
    </row>
    <row r="18" spans="1:13" ht="27.6" x14ac:dyDescent="0.25">
      <c r="A18" s="70" t="s">
        <v>134</v>
      </c>
      <c r="B18" s="196" t="s">
        <v>569</v>
      </c>
      <c r="C18" s="72">
        <v>14.5</v>
      </c>
      <c r="D18" s="196" t="s">
        <v>602</v>
      </c>
      <c r="E18" s="71" t="s">
        <v>579</v>
      </c>
      <c r="F18" s="196" t="s">
        <v>603</v>
      </c>
      <c r="G18" s="231" t="s">
        <v>820</v>
      </c>
      <c r="H18" s="475" t="s">
        <v>10</v>
      </c>
      <c r="I18" s="59">
        <f>IF(H18="Yes",1,0)</f>
        <v>1</v>
      </c>
      <c r="M18" s="25"/>
    </row>
    <row r="19" spans="1:13" ht="27.6" x14ac:dyDescent="0.25">
      <c r="A19" s="70"/>
      <c r="B19" s="196"/>
      <c r="C19" s="72"/>
      <c r="D19" s="196"/>
      <c r="E19" s="71" t="s">
        <v>579</v>
      </c>
      <c r="F19" s="196"/>
      <c r="G19" s="231" t="s">
        <v>821</v>
      </c>
      <c r="H19" s="450">
        <v>3</v>
      </c>
      <c r="I19" s="59">
        <f>IF(H18="No",0,IF(M19&gt;=K19,K19,M19))</f>
        <v>4</v>
      </c>
      <c r="K19" s="53">
        <v>4</v>
      </c>
      <c r="L19">
        <v>2</v>
      </c>
      <c r="M19" s="25">
        <f>H19/L19*K19</f>
        <v>6</v>
      </c>
    </row>
    <row r="20" spans="1:13" ht="27.6" x14ac:dyDescent="0.25">
      <c r="A20" s="70" t="s">
        <v>134</v>
      </c>
      <c r="B20" s="196" t="s">
        <v>569</v>
      </c>
      <c r="C20" s="72">
        <v>14.5</v>
      </c>
      <c r="D20" s="196" t="s">
        <v>602</v>
      </c>
      <c r="E20" s="71" t="s">
        <v>604</v>
      </c>
      <c r="F20" s="196" t="s">
        <v>607</v>
      </c>
      <c r="G20" s="231" t="s">
        <v>608</v>
      </c>
      <c r="H20" s="450">
        <v>3</v>
      </c>
      <c r="I20" s="59">
        <f>IF(M20&gt;=K20,K20,M20)</f>
        <v>5</v>
      </c>
      <c r="K20" s="53">
        <v>5</v>
      </c>
      <c r="L20">
        <v>2</v>
      </c>
      <c r="M20" s="25">
        <f>H20/L20*K20</f>
        <v>7.5</v>
      </c>
    </row>
    <row r="21" spans="1:13" ht="27.6" x14ac:dyDescent="0.25">
      <c r="A21" s="70" t="s">
        <v>134</v>
      </c>
      <c r="B21" s="196" t="s">
        <v>569</v>
      </c>
      <c r="C21" s="72">
        <v>14.5</v>
      </c>
      <c r="D21" s="196" t="s">
        <v>602</v>
      </c>
      <c r="E21" s="71" t="s">
        <v>605</v>
      </c>
      <c r="F21" s="196" t="s">
        <v>609</v>
      </c>
      <c r="G21" s="231" t="s">
        <v>610</v>
      </c>
      <c r="H21" s="450">
        <v>5</v>
      </c>
      <c r="I21" s="59">
        <f>IF(M21&gt;=K21,K21,M21)</f>
        <v>5</v>
      </c>
      <c r="K21" s="53">
        <v>5</v>
      </c>
      <c r="L21">
        <v>1</v>
      </c>
      <c r="M21" s="25">
        <f>H21/L21</f>
        <v>5</v>
      </c>
    </row>
    <row r="22" spans="1:13" ht="27.6" x14ac:dyDescent="0.25">
      <c r="A22" s="70" t="s">
        <v>134</v>
      </c>
      <c r="B22" s="196" t="s">
        <v>569</v>
      </c>
      <c r="C22" s="72">
        <v>14.5</v>
      </c>
      <c r="D22" s="196" t="s">
        <v>602</v>
      </c>
      <c r="E22" s="71" t="s">
        <v>606</v>
      </c>
      <c r="F22" s="196" t="s">
        <v>611</v>
      </c>
      <c r="G22" s="231" t="s">
        <v>612</v>
      </c>
      <c r="H22" s="452">
        <v>3</v>
      </c>
      <c r="I22" s="195">
        <f>IF(M22&gt;=K22,K22,M22)</f>
        <v>5</v>
      </c>
      <c r="J22"/>
      <c r="K22" s="53">
        <v>5</v>
      </c>
      <c r="L22">
        <v>2</v>
      </c>
      <c r="M22" s="25">
        <f>H22/L22*K22</f>
        <v>7.5</v>
      </c>
    </row>
    <row r="23" spans="1:13" ht="27.6" x14ac:dyDescent="0.25">
      <c r="A23" s="70" t="s">
        <v>134</v>
      </c>
      <c r="B23" s="196" t="s">
        <v>569</v>
      </c>
      <c r="C23" s="72">
        <v>14.5</v>
      </c>
      <c r="D23" s="196" t="s">
        <v>602</v>
      </c>
      <c r="E23" s="71" t="s">
        <v>613</v>
      </c>
      <c r="F23" s="196" t="s">
        <v>614</v>
      </c>
      <c r="G23" s="231" t="s">
        <v>822</v>
      </c>
      <c r="H23" s="475" t="s">
        <v>10</v>
      </c>
      <c r="I23" s="59">
        <f>IF(H23="Yes",1,0)</f>
        <v>1</v>
      </c>
    </row>
    <row r="24" spans="1:13" ht="13.9" x14ac:dyDescent="0.25">
      <c r="A24" s="267"/>
      <c r="B24" s="268"/>
      <c r="C24" s="269"/>
      <c r="D24" s="268"/>
      <c r="E24" s="267"/>
      <c r="F24" s="268"/>
      <c r="G24" s="474" t="s">
        <v>823</v>
      </c>
      <c r="H24" s="450">
        <v>3</v>
      </c>
      <c r="I24" s="59">
        <f>IF(H23="No",0,IF(M24&gt;=K24,K24,M24))</f>
        <v>4</v>
      </c>
      <c r="J24" s="178">
        <f>SUM(I4:I24)</f>
        <v>75</v>
      </c>
      <c r="K24" s="53">
        <v>4</v>
      </c>
      <c r="L24">
        <v>2</v>
      </c>
      <c r="M24" s="25">
        <f>H24/L24*K24</f>
        <v>6</v>
      </c>
    </row>
    <row r="25" spans="1:13" ht="17.45" x14ac:dyDescent="0.25">
      <c r="A25" s="337"/>
      <c r="B25" s="337"/>
      <c r="C25" s="338"/>
      <c r="D25" s="339"/>
      <c r="E25" s="337"/>
      <c r="F25" s="337"/>
      <c r="G25" s="340"/>
      <c r="H25" s="341"/>
      <c r="I25" s="342" t="s">
        <v>571</v>
      </c>
      <c r="J25" s="343">
        <f>SUM(J2:J24)</f>
        <v>100</v>
      </c>
    </row>
    <row r="26" spans="1:13" ht="13.9" x14ac:dyDescent="0.25">
      <c r="G26" s="13"/>
      <c r="M26" s="117"/>
    </row>
    <row r="27" spans="1:13" ht="13.9" x14ac:dyDescent="0.25">
      <c r="G27" s="13"/>
    </row>
    <row r="28" spans="1:13" x14ac:dyDescent="0.25">
      <c r="G28" s="13"/>
    </row>
    <row r="29" spans="1:13" x14ac:dyDescent="0.25">
      <c r="G29" s="13"/>
    </row>
    <row r="30" spans="1:13" x14ac:dyDescent="0.25">
      <c r="G30" s="13"/>
    </row>
    <row r="31" spans="1:13" x14ac:dyDescent="0.25">
      <c r="G31" s="13"/>
    </row>
    <row r="32" spans="1:13" x14ac:dyDescent="0.25">
      <c r="G32" s="13"/>
    </row>
    <row r="33" spans="7:7" x14ac:dyDescent="0.25">
      <c r="G33" s="13"/>
    </row>
    <row r="34" spans="7:7" x14ac:dyDescent="0.25">
      <c r="G34" s="13"/>
    </row>
    <row r="35" spans="7:7" x14ac:dyDescent="0.25">
      <c r="G35" s="13"/>
    </row>
    <row r="36" spans="7:7" x14ac:dyDescent="0.25">
      <c r="G36" s="13"/>
    </row>
    <row r="37" spans="7:7" x14ac:dyDescent="0.25">
      <c r="G37" s="13"/>
    </row>
    <row r="38" spans="7:7" x14ac:dyDescent="0.25">
      <c r="G38" s="13"/>
    </row>
    <row r="39" spans="7:7" x14ac:dyDescent="0.25">
      <c r="G39" s="13"/>
    </row>
    <row r="40" spans="7:7" x14ac:dyDescent="0.25">
      <c r="G40" s="13"/>
    </row>
    <row r="41" spans="7:7"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row r="117" spans="7:7" x14ac:dyDescent="0.25">
      <c r="G117" s="13"/>
    </row>
    <row r="118" spans="7:7" x14ac:dyDescent="0.25">
      <c r="G118" s="13"/>
    </row>
    <row r="119" spans="7:7" x14ac:dyDescent="0.25">
      <c r="G119" s="13"/>
    </row>
    <row r="120" spans="7:7" x14ac:dyDescent="0.25">
      <c r="G120" s="13"/>
    </row>
    <row r="121" spans="7:7" x14ac:dyDescent="0.25">
      <c r="G121" s="13"/>
    </row>
    <row r="122" spans="7:7" x14ac:dyDescent="0.25">
      <c r="G122" s="13"/>
    </row>
    <row r="123" spans="7:7" x14ac:dyDescent="0.25">
      <c r="G123" s="13"/>
    </row>
    <row r="124" spans="7:7" x14ac:dyDescent="0.25">
      <c r="G124" s="13"/>
    </row>
    <row r="125" spans="7:7" x14ac:dyDescent="0.25">
      <c r="G125" s="13"/>
    </row>
  </sheetData>
  <sheetProtection algorithmName="SHA-512" hashValue="6pkASt3OVKHOwLxJMo9VW5Xo8G0QLaDssgmcnZ27mL0qIXrIeACCJ5CwXsunIX3k5I9h1LvmvR+dqC0BDglzpA==" saltValue="Ug9bS1jAklUrUc7UbcMEBg==" spinCount="100000" sheet="1" objects="1" scenarios="1" selectLockedCells="1"/>
  <mergeCells count="3">
    <mergeCell ref="B2:B3"/>
    <mergeCell ref="D2:D3"/>
    <mergeCell ref="J2:J3"/>
  </mergeCells>
  <dataValidations count="1">
    <dataValidation type="list" allowBlank="1" showInputMessage="1" showErrorMessage="1" sqref="H12 H14 H16 H18 H23" xr:uid="{CFD2193E-850D-4872-87D6-EF2D202E1AB7}">
      <formula1>yesno</formula1>
    </dataValidation>
  </dataValidations>
  <pageMargins left="0.7" right="0.7" top="0.75" bottom="0.75" header="0.3" footer="0.3"/>
  <pageSetup paperSize="14"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EF61-C176-48E9-941D-CF7A59499AC5}">
  <sheetPr>
    <tabColor rgb="FF56C02B"/>
    <pageSetUpPr autoPageBreaks="0"/>
  </sheetPr>
  <dimension ref="A1:N111"/>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style="243"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 min="14" max="14" width="19.85546875" bestFit="1" customWidth="1"/>
    <col min="15" max="15" width="3.7109375" customWidth="1"/>
  </cols>
  <sheetData>
    <row r="1" spans="1:14" s="93" customFormat="1" ht="45.6" x14ac:dyDescent="0.7">
      <c r="A1" s="348" t="s">
        <v>135</v>
      </c>
      <c r="B1" s="348" t="s">
        <v>44</v>
      </c>
      <c r="C1" s="349" t="s">
        <v>111</v>
      </c>
      <c r="D1" s="348" t="s">
        <v>112</v>
      </c>
      <c r="E1" s="348" t="s">
        <v>73</v>
      </c>
      <c r="F1" s="348" t="s">
        <v>92</v>
      </c>
      <c r="G1" s="350"/>
      <c r="H1" s="350"/>
      <c r="I1" s="351" t="s">
        <v>46</v>
      </c>
      <c r="J1" s="351" t="s">
        <v>181</v>
      </c>
      <c r="K1" s="92" t="s">
        <v>110</v>
      </c>
      <c r="L1" s="115" t="s">
        <v>172</v>
      </c>
      <c r="M1" s="116" t="s">
        <v>177</v>
      </c>
    </row>
    <row r="2" spans="1:14" x14ac:dyDescent="0.25">
      <c r="A2" s="46" t="s">
        <v>135</v>
      </c>
      <c r="B2" s="496" t="s">
        <v>616</v>
      </c>
      <c r="C2" s="48">
        <v>15.1</v>
      </c>
      <c r="D2" s="496" t="s">
        <v>617</v>
      </c>
      <c r="E2" s="47" t="s">
        <v>537</v>
      </c>
      <c r="F2" s="47" t="s">
        <v>617</v>
      </c>
      <c r="G2" s="49" t="s">
        <v>128</v>
      </c>
      <c r="H2" s="450">
        <v>1</v>
      </c>
      <c r="I2" s="122"/>
      <c r="J2" s="482">
        <f>I3</f>
        <v>25</v>
      </c>
      <c r="K2" s="52"/>
      <c r="L2">
        <v>25</v>
      </c>
      <c r="M2" s="78">
        <f>H2*L2</f>
        <v>25</v>
      </c>
    </row>
    <row r="3" spans="1:14" x14ac:dyDescent="0.25">
      <c r="A3" s="43"/>
      <c r="B3" s="498"/>
      <c r="C3" s="45"/>
      <c r="D3" s="498"/>
      <c r="E3" s="44"/>
      <c r="F3" s="44"/>
      <c r="G3" s="50" t="s">
        <v>127</v>
      </c>
      <c r="H3" s="450">
        <v>1</v>
      </c>
      <c r="I3" s="128">
        <f>IF(N3&gt;=25,25,N3)</f>
        <v>25</v>
      </c>
      <c r="J3" s="483"/>
      <c r="K3" s="53">
        <v>25</v>
      </c>
      <c r="L3">
        <v>10</v>
      </c>
      <c r="M3" s="78">
        <f>H3*L3</f>
        <v>10</v>
      </c>
      <c r="N3" s="78">
        <f>SUM(M2:M3)</f>
        <v>35</v>
      </c>
    </row>
    <row r="4" spans="1:14" ht="13.9" x14ac:dyDescent="0.25">
      <c r="A4" s="70" t="s">
        <v>135</v>
      </c>
      <c r="B4" s="196" t="s">
        <v>616</v>
      </c>
      <c r="C4" s="72">
        <v>15.2</v>
      </c>
      <c r="D4" s="196" t="s">
        <v>618</v>
      </c>
      <c r="E4" s="71" t="s">
        <v>619</v>
      </c>
      <c r="F4" s="189" t="s">
        <v>620</v>
      </c>
      <c r="G4" s="231" t="s">
        <v>621</v>
      </c>
      <c r="H4" s="452">
        <v>2</v>
      </c>
      <c r="I4" s="195">
        <f>IF(M4&gt;=K4,K4,M4)</f>
        <v>15</v>
      </c>
      <c r="J4" s="197"/>
      <c r="K4" s="53">
        <v>15</v>
      </c>
      <c r="L4">
        <v>2</v>
      </c>
      <c r="M4" s="25">
        <f>H4/L4*K4</f>
        <v>15</v>
      </c>
    </row>
    <row r="5" spans="1:14" ht="27.6" x14ac:dyDescent="0.25">
      <c r="A5" s="70" t="s">
        <v>135</v>
      </c>
      <c r="B5" s="196" t="s">
        <v>616</v>
      </c>
      <c r="C5" s="72">
        <v>15.3</v>
      </c>
      <c r="D5" s="196" t="s">
        <v>622</v>
      </c>
      <c r="E5" s="71" t="s">
        <v>623</v>
      </c>
      <c r="F5" s="196" t="s">
        <v>624</v>
      </c>
      <c r="G5" s="231" t="s">
        <v>625</v>
      </c>
      <c r="H5" s="452">
        <v>2</v>
      </c>
      <c r="I5" s="195">
        <f>IF(M5&gt;=K5,K5,M5)</f>
        <v>10</v>
      </c>
      <c r="J5" s="197"/>
      <c r="K5" s="53">
        <v>10</v>
      </c>
      <c r="L5">
        <v>2</v>
      </c>
      <c r="M5" s="25">
        <f>H5/L5*K5</f>
        <v>10</v>
      </c>
    </row>
    <row r="6" spans="1:14" ht="13.9" x14ac:dyDescent="0.25">
      <c r="A6" s="70" t="s">
        <v>135</v>
      </c>
      <c r="B6" s="196" t="s">
        <v>616</v>
      </c>
      <c r="C6" s="72">
        <v>15.4</v>
      </c>
      <c r="D6" s="196" t="s">
        <v>626</v>
      </c>
      <c r="E6" s="71" t="s">
        <v>627</v>
      </c>
      <c r="F6" s="189" t="s">
        <v>628</v>
      </c>
      <c r="G6" s="231" t="s">
        <v>629</v>
      </c>
      <c r="H6" s="452">
        <v>3</v>
      </c>
      <c r="I6" s="195">
        <f>IF(M6&gt;=K6,K6,M6)</f>
        <v>15</v>
      </c>
      <c r="J6" s="197"/>
      <c r="K6" s="53">
        <v>15</v>
      </c>
      <c r="L6">
        <v>2</v>
      </c>
      <c r="M6" s="25">
        <f>H6/L6*K6</f>
        <v>22.5</v>
      </c>
    </row>
    <row r="7" spans="1:14" ht="13.9" x14ac:dyDescent="0.25">
      <c r="A7" s="70" t="s">
        <v>135</v>
      </c>
      <c r="B7" s="196" t="s">
        <v>616</v>
      </c>
      <c r="C7" s="72">
        <v>15.4</v>
      </c>
      <c r="D7" s="196" t="s">
        <v>626</v>
      </c>
      <c r="E7" s="71" t="s">
        <v>631</v>
      </c>
      <c r="F7" s="196" t="s">
        <v>630</v>
      </c>
      <c r="G7" s="231" t="s">
        <v>824</v>
      </c>
      <c r="H7" s="450">
        <v>1</v>
      </c>
      <c r="I7" s="59">
        <f>IF(H7&gt;=1,2,0)</f>
        <v>2</v>
      </c>
    </row>
    <row r="8" spans="1:14" ht="27.6" x14ac:dyDescent="0.25">
      <c r="A8" s="70"/>
      <c r="B8" s="196"/>
      <c r="C8" s="72"/>
      <c r="D8" s="196"/>
      <c r="E8" s="71" t="s">
        <v>631</v>
      </c>
      <c r="F8" s="196"/>
      <c r="G8" s="231" t="s">
        <v>825</v>
      </c>
      <c r="H8" s="450">
        <v>2</v>
      </c>
      <c r="I8" s="59">
        <f>IF(H7=0,0,IF(M8&gt;=K8,K8,M8))</f>
        <v>8</v>
      </c>
      <c r="K8" s="53">
        <v>8</v>
      </c>
      <c r="L8">
        <v>2</v>
      </c>
      <c r="M8" s="25">
        <f>H8/L8*K8</f>
        <v>8</v>
      </c>
    </row>
    <row r="9" spans="1:14" ht="30" x14ac:dyDescent="0.25">
      <c r="A9" s="70" t="s">
        <v>135</v>
      </c>
      <c r="B9" s="196" t="s">
        <v>616</v>
      </c>
      <c r="C9" s="72">
        <v>15.4</v>
      </c>
      <c r="D9" s="196" t="s">
        <v>626</v>
      </c>
      <c r="E9" s="71" t="s">
        <v>633</v>
      </c>
      <c r="F9" s="196" t="s">
        <v>632</v>
      </c>
      <c r="G9" s="231" t="s">
        <v>634</v>
      </c>
      <c r="H9" s="450">
        <v>3</v>
      </c>
      <c r="I9" s="59">
        <f>IF(M9&gt;=K9,K9,M9)</f>
        <v>15</v>
      </c>
      <c r="K9" s="53">
        <v>15</v>
      </c>
      <c r="L9">
        <v>2</v>
      </c>
      <c r="M9" s="25">
        <f>H9/L9*K9</f>
        <v>22.5</v>
      </c>
    </row>
    <row r="10" spans="1:14" ht="27.6" x14ac:dyDescent="0.25">
      <c r="A10" s="70" t="s">
        <v>135</v>
      </c>
      <c r="B10" s="196" t="s">
        <v>616</v>
      </c>
      <c r="C10" s="72">
        <v>15.5</v>
      </c>
      <c r="D10" s="196" t="s">
        <v>635</v>
      </c>
      <c r="E10" s="71" t="s">
        <v>636</v>
      </c>
      <c r="F10" s="196" t="s">
        <v>637</v>
      </c>
      <c r="G10" s="231" t="s">
        <v>638</v>
      </c>
      <c r="H10" s="450">
        <v>2</v>
      </c>
      <c r="I10" s="59">
        <f>IF(M10&gt;=K10,K10,M10)</f>
        <v>10</v>
      </c>
      <c r="J10" s="178">
        <f>SUM(I4:I10)</f>
        <v>75</v>
      </c>
      <c r="K10" s="53">
        <v>10</v>
      </c>
      <c r="L10">
        <v>2</v>
      </c>
      <c r="M10" s="25">
        <f>H10/L10*K10</f>
        <v>10</v>
      </c>
    </row>
    <row r="11" spans="1:14" ht="17.45" x14ac:dyDescent="0.25">
      <c r="A11" s="352"/>
      <c r="B11" s="352"/>
      <c r="C11" s="353"/>
      <c r="D11" s="354"/>
      <c r="E11" s="352"/>
      <c r="F11" s="352"/>
      <c r="G11" s="355"/>
      <c r="H11" s="356"/>
      <c r="I11" s="357" t="s">
        <v>615</v>
      </c>
      <c r="J11" s="358">
        <f>SUM(J2:J10)</f>
        <v>100</v>
      </c>
    </row>
    <row r="12" spans="1:14" ht="13.9" x14ac:dyDescent="0.25">
      <c r="G12" s="13"/>
      <c r="M12" s="117"/>
    </row>
    <row r="13" spans="1:14" ht="13.9" x14ac:dyDescent="0.25">
      <c r="G13" s="13"/>
    </row>
    <row r="14" spans="1:14" ht="13.9" x14ac:dyDescent="0.25">
      <c r="G14" s="13"/>
    </row>
    <row r="15" spans="1:14" ht="13.9" x14ac:dyDescent="0.25">
      <c r="G15" s="13"/>
    </row>
    <row r="16" spans="1:14" ht="13.9" x14ac:dyDescent="0.25">
      <c r="G16" s="13"/>
    </row>
    <row r="17" spans="7:7" ht="13.9" x14ac:dyDescent="0.25">
      <c r="G17" s="13"/>
    </row>
    <row r="18" spans="7:7" ht="13.9" x14ac:dyDescent="0.25">
      <c r="G18" s="13"/>
    </row>
    <row r="19" spans="7:7" ht="13.9" x14ac:dyDescent="0.25">
      <c r="G19" s="13"/>
    </row>
    <row r="20" spans="7:7" ht="13.9" x14ac:dyDescent="0.25">
      <c r="G20" s="13"/>
    </row>
    <row r="21" spans="7:7" ht="13.9" x14ac:dyDescent="0.25">
      <c r="G21" s="13"/>
    </row>
    <row r="22" spans="7:7" ht="13.9" x14ac:dyDescent="0.25">
      <c r="G22" s="13"/>
    </row>
    <row r="23" spans="7:7" ht="13.9" x14ac:dyDescent="0.25">
      <c r="G23" s="13"/>
    </row>
    <row r="24" spans="7:7" ht="13.9" x14ac:dyDescent="0.25">
      <c r="G24" s="13"/>
    </row>
    <row r="25" spans="7:7" ht="13.9" x14ac:dyDescent="0.25">
      <c r="G25" s="13"/>
    </row>
    <row r="26" spans="7:7" ht="13.9" x14ac:dyDescent="0.25">
      <c r="G26" s="13"/>
    </row>
    <row r="27" spans="7:7" ht="13.9" x14ac:dyDescent="0.25">
      <c r="G27" s="13"/>
    </row>
    <row r="28" spans="7:7" ht="13.9" x14ac:dyDescent="0.25">
      <c r="G28" s="13"/>
    </row>
    <row r="29" spans="7:7" ht="13.9" x14ac:dyDescent="0.25">
      <c r="G29" s="13"/>
    </row>
    <row r="30" spans="7:7" ht="13.9" x14ac:dyDescent="0.25">
      <c r="G30" s="13"/>
    </row>
    <row r="31" spans="7:7" ht="13.9" x14ac:dyDescent="0.25">
      <c r="G31" s="13"/>
    </row>
    <row r="32" spans="7:7" ht="13.9" x14ac:dyDescent="0.25">
      <c r="G32" s="13"/>
    </row>
    <row r="33" spans="7:7" ht="13.9" x14ac:dyDescent="0.25">
      <c r="G33" s="13"/>
    </row>
    <row r="34" spans="7:7" ht="13.9" x14ac:dyDescent="0.25">
      <c r="G34" s="13"/>
    </row>
    <row r="35" spans="7:7" ht="13.9" x14ac:dyDescent="0.25">
      <c r="G35" s="13"/>
    </row>
    <row r="36" spans="7:7" ht="13.9" x14ac:dyDescent="0.25">
      <c r="G36" s="13"/>
    </row>
    <row r="37" spans="7:7" ht="13.9" x14ac:dyDescent="0.25">
      <c r="G37" s="13"/>
    </row>
    <row r="38" spans="7:7" ht="13.9" x14ac:dyDescent="0.25">
      <c r="G38" s="13"/>
    </row>
    <row r="39" spans="7:7" x14ac:dyDescent="0.25">
      <c r="G39" s="13"/>
    </row>
    <row r="40" spans="7:7" x14ac:dyDescent="0.25">
      <c r="G40" s="13"/>
    </row>
    <row r="41" spans="7:7"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sheetData>
  <sheetProtection algorithmName="SHA-512" hashValue="XGoM3eLvXy1823ngDvrXnEmNWsYOkm7grISJ+76vts+KAT3py51vUVO/NRY73URh7Q53it6TPk61FkMVcM8DOg==" saltValue="FWfwZ293lLiuPR43OrLkEA==" spinCount="100000" sheet="1" objects="1" scenarios="1" selectLockedCells="1"/>
  <mergeCells count="3">
    <mergeCell ref="B2:B3"/>
    <mergeCell ref="D2:D3"/>
    <mergeCell ref="J2:J3"/>
  </mergeCells>
  <pageMargins left="0.7" right="0.7" top="0.75" bottom="0.75" header="0.3" footer="0.3"/>
  <pageSetup paperSize="14"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F1E08-D78F-4DDB-B6C5-33E6770207AA}">
  <sheetPr>
    <tabColor rgb="FF00689D"/>
    <pageSetUpPr autoPageBreaks="0"/>
  </sheetPr>
  <dimension ref="A1:N121"/>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style="243"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 min="14" max="14" width="19.85546875" bestFit="1" customWidth="1"/>
    <col min="15" max="15" width="3.7109375" customWidth="1"/>
  </cols>
  <sheetData>
    <row r="1" spans="1:14" s="93" customFormat="1" ht="45.6" x14ac:dyDescent="0.7">
      <c r="A1" s="366" t="s">
        <v>136</v>
      </c>
      <c r="B1" s="366" t="s">
        <v>44</v>
      </c>
      <c r="C1" s="367" t="s">
        <v>111</v>
      </c>
      <c r="D1" s="366" t="s">
        <v>112</v>
      </c>
      <c r="E1" s="366" t="s">
        <v>73</v>
      </c>
      <c r="F1" s="366" t="s">
        <v>92</v>
      </c>
      <c r="G1" s="368"/>
      <c r="H1" s="368"/>
      <c r="I1" s="369" t="s">
        <v>46</v>
      </c>
      <c r="J1" s="369" t="s">
        <v>181</v>
      </c>
      <c r="K1" s="92" t="s">
        <v>110</v>
      </c>
      <c r="L1" s="115" t="s">
        <v>172</v>
      </c>
      <c r="M1" s="116" t="s">
        <v>177</v>
      </c>
    </row>
    <row r="2" spans="1:14" x14ac:dyDescent="0.25">
      <c r="A2" s="46" t="s">
        <v>136</v>
      </c>
      <c r="B2" s="496" t="s">
        <v>639</v>
      </c>
      <c r="C2" s="48">
        <v>16.100000000000001</v>
      </c>
      <c r="D2" s="496" t="s">
        <v>641</v>
      </c>
      <c r="E2" s="47" t="s">
        <v>672</v>
      </c>
      <c r="F2" s="496" t="s">
        <v>641</v>
      </c>
      <c r="G2" s="49" t="s">
        <v>128</v>
      </c>
      <c r="H2" s="450">
        <v>1</v>
      </c>
      <c r="I2" s="122"/>
      <c r="J2" s="482">
        <f>I3</f>
        <v>25</v>
      </c>
      <c r="K2" s="52"/>
      <c r="L2">
        <v>25</v>
      </c>
      <c r="M2" s="78">
        <f>H2*L2</f>
        <v>25</v>
      </c>
    </row>
    <row r="3" spans="1:14" x14ac:dyDescent="0.25">
      <c r="A3" s="43"/>
      <c r="B3" s="498"/>
      <c r="C3" s="45"/>
      <c r="D3" s="498"/>
      <c r="E3" s="44"/>
      <c r="F3" s="498"/>
      <c r="G3" s="50" t="s">
        <v>127</v>
      </c>
      <c r="H3" s="450">
        <v>1</v>
      </c>
      <c r="I3" s="128">
        <f>IF(N3&gt;=25,25,N3)</f>
        <v>25</v>
      </c>
      <c r="J3" s="483"/>
      <c r="K3" s="53">
        <v>25</v>
      </c>
      <c r="L3">
        <v>10</v>
      </c>
      <c r="M3" s="78">
        <f>H3*L3</f>
        <v>10</v>
      </c>
      <c r="N3" s="78">
        <f>SUM(M2:M3)</f>
        <v>35</v>
      </c>
    </row>
    <row r="4" spans="1:14" ht="45" x14ac:dyDescent="0.25">
      <c r="A4" s="70" t="s">
        <v>136</v>
      </c>
      <c r="B4" s="196" t="s">
        <v>639</v>
      </c>
      <c r="C4" s="72">
        <v>16.2</v>
      </c>
      <c r="D4" s="196" t="s">
        <v>642</v>
      </c>
      <c r="E4" s="71" t="s">
        <v>643</v>
      </c>
      <c r="F4" s="189" t="s">
        <v>644</v>
      </c>
      <c r="G4" s="231" t="s">
        <v>645</v>
      </c>
      <c r="H4" s="463" t="s">
        <v>10</v>
      </c>
      <c r="I4" s="59">
        <f>IF(H4=L4,M4,0)</f>
        <v>5</v>
      </c>
      <c r="K4" s="53">
        <v>5</v>
      </c>
      <c r="L4" s="13" t="s">
        <v>10</v>
      </c>
      <c r="M4" s="25">
        <f>K4</f>
        <v>5</v>
      </c>
    </row>
    <row r="5" spans="1:14" ht="30" x14ac:dyDescent="0.25">
      <c r="A5" s="70" t="s">
        <v>136</v>
      </c>
      <c r="B5" s="196" t="s">
        <v>639</v>
      </c>
      <c r="C5" s="72">
        <v>16.2</v>
      </c>
      <c r="D5" s="196" t="s">
        <v>642</v>
      </c>
      <c r="E5" s="71" t="s">
        <v>647</v>
      </c>
      <c r="F5" s="196" t="s">
        <v>646</v>
      </c>
      <c r="G5" s="231" t="s">
        <v>648</v>
      </c>
      <c r="H5" s="460">
        <v>0.2</v>
      </c>
      <c r="I5" s="195">
        <f>IF(M6&gt;=K6,K6,M6)</f>
        <v>5</v>
      </c>
      <c r="J5" s="197"/>
      <c r="L5" s="13" t="s">
        <v>15</v>
      </c>
      <c r="M5">
        <v>0</v>
      </c>
    </row>
    <row r="6" spans="1:14" ht="27.6" x14ac:dyDescent="0.25">
      <c r="A6" s="70" t="s">
        <v>136</v>
      </c>
      <c r="B6" s="196" t="s">
        <v>639</v>
      </c>
      <c r="C6" s="72">
        <v>16.2</v>
      </c>
      <c r="D6" s="196" t="s">
        <v>642</v>
      </c>
      <c r="E6" s="71" t="s">
        <v>650</v>
      </c>
      <c r="F6" s="189" t="s">
        <v>649</v>
      </c>
      <c r="G6" s="231" t="s">
        <v>826</v>
      </c>
      <c r="H6" s="452">
        <v>1</v>
      </c>
      <c r="I6" s="195">
        <f>IF(H6&gt;=1,1,0)</f>
        <v>1</v>
      </c>
      <c r="J6" s="197"/>
      <c r="K6" s="53">
        <v>5</v>
      </c>
      <c r="L6" s="11">
        <v>0.2</v>
      </c>
      <c r="M6" s="25">
        <f>H5/L6*K6</f>
        <v>5</v>
      </c>
    </row>
    <row r="7" spans="1:14" ht="27.6" x14ac:dyDescent="0.25">
      <c r="A7" s="70"/>
      <c r="B7" s="196"/>
      <c r="C7" s="72"/>
      <c r="D7" s="196"/>
      <c r="E7" s="71" t="s">
        <v>650</v>
      </c>
      <c r="F7" s="189"/>
      <c r="G7" s="231" t="s">
        <v>827</v>
      </c>
      <c r="H7" s="452">
        <v>3</v>
      </c>
      <c r="I7" s="149">
        <f>IF(H6=0,0,IF(M7&gt;=K7,K7,M7))</f>
        <v>4</v>
      </c>
      <c r="J7" s="197"/>
      <c r="K7" s="53">
        <v>4</v>
      </c>
      <c r="L7">
        <v>2</v>
      </c>
      <c r="M7" s="25">
        <f>H7/L7*K7</f>
        <v>6</v>
      </c>
    </row>
    <row r="8" spans="1:14" ht="41.45" x14ac:dyDescent="0.25">
      <c r="A8" s="70" t="s">
        <v>136</v>
      </c>
      <c r="B8" s="196" t="s">
        <v>639</v>
      </c>
      <c r="C8" s="72">
        <v>16.2</v>
      </c>
      <c r="D8" s="196" t="s">
        <v>642</v>
      </c>
      <c r="E8" s="71" t="s">
        <v>652</v>
      </c>
      <c r="F8" s="196" t="s">
        <v>651</v>
      </c>
      <c r="G8" s="231" t="s">
        <v>653</v>
      </c>
      <c r="H8" s="463" t="s">
        <v>10</v>
      </c>
      <c r="I8" s="59">
        <f>IF(H8="Yes",1,0)</f>
        <v>1</v>
      </c>
    </row>
    <row r="9" spans="1:14" ht="30" x14ac:dyDescent="0.25">
      <c r="A9" s="70"/>
      <c r="B9" s="196"/>
      <c r="C9" s="72"/>
      <c r="D9" s="196"/>
      <c r="E9" s="71" t="s">
        <v>652</v>
      </c>
      <c r="F9" s="196"/>
      <c r="G9" s="231" t="s">
        <v>828</v>
      </c>
      <c r="H9" s="450">
        <v>2</v>
      </c>
      <c r="I9" s="59">
        <f>IF(H8="No",0,IF(M9&gt;=K9,K9,M9))</f>
        <v>4</v>
      </c>
      <c r="K9" s="53">
        <v>4</v>
      </c>
      <c r="L9">
        <v>2</v>
      </c>
      <c r="M9" s="25">
        <f>H9/L9*K9</f>
        <v>4</v>
      </c>
    </row>
    <row r="10" spans="1:14" ht="27.6" x14ac:dyDescent="0.25">
      <c r="A10" s="70" t="s">
        <v>136</v>
      </c>
      <c r="B10" s="196" t="s">
        <v>639</v>
      </c>
      <c r="C10" s="72">
        <v>16.2</v>
      </c>
      <c r="D10" s="196" t="s">
        <v>642</v>
      </c>
      <c r="E10" s="71" t="s">
        <v>654</v>
      </c>
      <c r="F10" s="196" t="s">
        <v>655</v>
      </c>
      <c r="G10" s="231" t="s">
        <v>829</v>
      </c>
      <c r="H10" s="463" t="s">
        <v>10</v>
      </c>
      <c r="I10" s="59">
        <f>IF(H10="Yes",1,0)</f>
        <v>1</v>
      </c>
    </row>
    <row r="11" spans="1:14" ht="27.6" x14ac:dyDescent="0.25">
      <c r="A11" s="70"/>
      <c r="B11" s="196"/>
      <c r="C11" s="72"/>
      <c r="D11" s="196"/>
      <c r="E11" s="71" t="s">
        <v>654</v>
      </c>
      <c r="F11" s="196"/>
      <c r="G11" s="231" t="s">
        <v>830</v>
      </c>
      <c r="H11" s="450">
        <v>2</v>
      </c>
      <c r="I11" s="59">
        <f>IF(H10="No",0,IF(M11&gt;=K11,K11,M11))</f>
        <v>4</v>
      </c>
      <c r="K11" s="53">
        <v>4</v>
      </c>
      <c r="L11">
        <v>2</v>
      </c>
      <c r="M11" s="25">
        <f>H11/L11*K11</f>
        <v>4</v>
      </c>
    </row>
    <row r="12" spans="1:14" ht="41.45" x14ac:dyDescent="0.25">
      <c r="A12" s="70" t="s">
        <v>136</v>
      </c>
      <c r="B12" s="196" t="s">
        <v>639</v>
      </c>
      <c r="C12" s="72">
        <v>16.2</v>
      </c>
      <c r="D12" s="196" t="s">
        <v>642</v>
      </c>
      <c r="E12" s="71" t="s">
        <v>656</v>
      </c>
      <c r="F12" s="196" t="s">
        <v>657</v>
      </c>
      <c r="G12" s="231" t="s">
        <v>831</v>
      </c>
      <c r="H12" s="463" t="s">
        <v>10</v>
      </c>
      <c r="I12" s="59">
        <f>IF(H12="Yes",1,0)</f>
        <v>1</v>
      </c>
    </row>
    <row r="13" spans="1:14" ht="13.9" x14ac:dyDescent="0.25">
      <c r="A13" s="70"/>
      <c r="B13" s="196"/>
      <c r="C13" s="72"/>
      <c r="D13" s="196"/>
      <c r="E13" s="71" t="s">
        <v>656</v>
      </c>
      <c r="F13" s="196"/>
      <c r="G13" s="231" t="s">
        <v>832</v>
      </c>
      <c r="H13" s="450">
        <v>3</v>
      </c>
      <c r="I13" s="59">
        <f>IF(H12="No",0,IF(M13&gt;=K13,K13,M13))</f>
        <v>4</v>
      </c>
      <c r="K13" s="53">
        <v>4</v>
      </c>
      <c r="L13">
        <v>2</v>
      </c>
      <c r="M13" s="25">
        <f>H13/L13*K13</f>
        <v>6</v>
      </c>
    </row>
    <row r="14" spans="1:14" ht="27.6" x14ac:dyDescent="0.25">
      <c r="A14" s="70" t="s">
        <v>136</v>
      </c>
      <c r="B14" s="196" t="s">
        <v>639</v>
      </c>
      <c r="C14" s="72">
        <v>16.2</v>
      </c>
      <c r="D14" s="196" t="s">
        <v>642</v>
      </c>
      <c r="E14" s="71" t="s">
        <v>658</v>
      </c>
      <c r="F14" s="196" t="s">
        <v>659</v>
      </c>
      <c r="G14" s="231" t="s">
        <v>660</v>
      </c>
      <c r="H14" s="463" t="s">
        <v>10</v>
      </c>
      <c r="I14" s="59">
        <f>IF(H14=L14,M14,0)</f>
        <v>5</v>
      </c>
      <c r="K14" s="53">
        <v>5</v>
      </c>
      <c r="L14" s="13" t="s">
        <v>10</v>
      </c>
      <c r="M14" s="25">
        <f>K14</f>
        <v>5</v>
      </c>
    </row>
    <row r="15" spans="1:14" ht="30" x14ac:dyDescent="0.25">
      <c r="A15" s="198" t="s">
        <v>136</v>
      </c>
      <c r="B15" s="199" t="s">
        <v>639</v>
      </c>
      <c r="C15" s="174">
        <v>16.3</v>
      </c>
      <c r="D15" s="199" t="s">
        <v>661</v>
      </c>
      <c r="E15" s="175" t="s">
        <v>662</v>
      </c>
      <c r="F15" s="199" t="s">
        <v>663</v>
      </c>
      <c r="G15" s="281" t="s">
        <v>120</v>
      </c>
      <c r="H15" s="450">
        <v>1</v>
      </c>
      <c r="I15" s="479">
        <f>IF(M19&gt;=10,10,M19)</f>
        <v>10</v>
      </c>
      <c r="J15" s="197"/>
      <c r="L15" s="13" t="s">
        <v>15</v>
      </c>
      <c r="M15">
        <v>0</v>
      </c>
    </row>
    <row r="16" spans="1:14" x14ac:dyDescent="0.25">
      <c r="A16" s="283"/>
      <c r="B16" s="268"/>
      <c r="C16" s="269"/>
      <c r="D16" s="268"/>
      <c r="E16" s="267"/>
      <c r="F16" s="268"/>
      <c r="G16" s="282" t="s">
        <v>121</v>
      </c>
      <c r="H16" s="450">
        <v>1</v>
      </c>
      <c r="I16" s="480"/>
      <c r="K16" s="53">
        <v>3</v>
      </c>
      <c r="L16" s="76">
        <v>1</v>
      </c>
      <c r="M16" s="25">
        <f>H15/L16*K16</f>
        <v>3</v>
      </c>
    </row>
    <row r="17" spans="1:13" x14ac:dyDescent="0.25">
      <c r="A17" s="201"/>
      <c r="B17" s="202"/>
      <c r="C17" s="177"/>
      <c r="D17" s="202"/>
      <c r="E17" s="176"/>
      <c r="F17" s="202"/>
      <c r="G17" s="284" t="s">
        <v>122</v>
      </c>
      <c r="H17" s="450">
        <v>1</v>
      </c>
      <c r="I17" s="481"/>
      <c r="J17" s="197"/>
      <c r="K17" s="53">
        <v>4</v>
      </c>
      <c r="L17" s="76">
        <v>1</v>
      </c>
      <c r="M17" s="25">
        <f>H16/L17*K17</f>
        <v>4</v>
      </c>
    </row>
    <row r="18" spans="1:13" ht="27.6" x14ac:dyDescent="0.25">
      <c r="A18" s="70" t="s">
        <v>136</v>
      </c>
      <c r="B18" s="196" t="s">
        <v>639</v>
      </c>
      <c r="C18" s="72"/>
      <c r="D18" s="196"/>
      <c r="E18" s="71" t="s">
        <v>664</v>
      </c>
      <c r="F18" s="196" t="s">
        <v>665</v>
      </c>
      <c r="G18" s="231" t="s">
        <v>666</v>
      </c>
      <c r="H18" s="450">
        <v>2</v>
      </c>
      <c r="I18" s="59">
        <f>IF(M20&gt;=K20,K20,M20)</f>
        <v>10</v>
      </c>
      <c r="K18" s="53">
        <v>5</v>
      </c>
      <c r="L18" s="76">
        <v>1</v>
      </c>
      <c r="M18" s="25">
        <f>H17/L18*K18</f>
        <v>5</v>
      </c>
    </row>
    <row r="19" spans="1:13" ht="27.6" x14ac:dyDescent="0.25">
      <c r="A19" s="70" t="s">
        <v>136</v>
      </c>
      <c r="B19" s="196" t="s">
        <v>639</v>
      </c>
      <c r="C19" s="72"/>
      <c r="D19" s="196"/>
      <c r="E19" s="71" t="s">
        <v>667</v>
      </c>
      <c r="F19" s="196" t="s">
        <v>668</v>
      </c>
      <c r="G19" s="231" t="s">
        <v>784</v>
      </c>
      <c r="H19" s="450">
        <v>2</v>
      </c>
      <c r="I19" s="59">
        <f>IF(M21&gt;=10,K21,M21)</f>
        <v>10</v>
      </c>
      <c r="K19" s="53">
        <v>10</v>
      </c>
      <c r="L19" s="26">
        <f>SUM(L16:L18)</f>
        <v>3</v>
      </c>
      <c r="M19" s="370">
        <f>SUM(M16:M18)</f>
        <v>12</v>
      </c>
    </row>
    <row r="20" spans="1:13" ht="27.6" x14ac:dyDescent="0.25">
      <c r="A20" s="70" t="s">
        <v>136</v>
      </c>
      <c r="B20" s="196" t="s">
        <v>639</v>
      </c>
      <c r="C20" s="72"/>
      <c r="D20" s="196"/>
      <c r="E20" s="71" t="s">
        <v>669</v>
      </c>
      <c r="F20" s="196" t="s">
        <v>670</v>
      </c>
      <c r="G20" s="231" t="s">
        <v>671</v>
      </c>
      <c r="H20" s="450">
        <v>2</v>
      </c>
      <c r="I20" s="59">
        <f>IF(M23&gt;=K23,K23,M23)</f>
        <v>10</v>
      </c>
      <c r="J20" s="178">
        <f>SUM(I4:I20)</f>
        <v>75</v>
      </c>
      <c r="K20" s="53">
        <v>10</v>
      </c>
      <c r="L20">
        <v>2</v>
      </c>
      <c r="M20" s="25">
        <f>H18/L20*K20</f>
        <v>10</v>
      </c>
    </row>
    <row r="21" spans="1:13" ht="17.45" x14ac:dyDescent="0.25">
      <c r="A21" s="359"/>
      <c r="B21" s="359"/>
      <c r="C21" s="360"/>
      <c r="D21" s="361"/>
      <c r="E21" s="359"/>
      <c r="F21" s="359"/>
      <c r="G21" s="362"/>
      <c r="H21" s="363"/>
      <c r="I21" s="364" t="s">
        <v>640</v>
      </c>
      <c r="J21" s="365">
        <f>SUM(J2:J20)</f>
        <v>100</v>
      </c>
      <c r="K21" s="53">
        <v>10</v>
      </c>
      <c r="L21">
        <v>1</v>
      </c>
      <c r="M21" s="25">
        <f>H19/L21*K21</f>
        <v>20</v>
      </c>
    </row>
    <row r="22" spans="1:13" ht="13.9" x14ac:dyDescent="0.25">
      <c r="G22" s="13"/>
      <c r="L22" s="26"/>
    </row>
    <row r="23" spans="1:13" ht="13.9" x14ac:dyDescent="0.25">
      <c r="G23" s="13"/>
      <c r="K23" s="53">
        <v>10</v>
      </c>
      <c r="L23">
        <v>2</v>
      </c>
      <c r="M23" s="25">
        <f>H20/L23*K23</f>
        <v>10</v>
      </c>
    </row>
    <row r="24" spans="1:13" x14ac:dyDescent="0.25">
      <c r="G24" s="13"/>
    </row>
    <row r="25" spans="1:13" x14ac:dyDescent="0.25">
      <c r="G25" s="13"/>
      <c r="M25" s="117"/>
    </row>
    <row r="26" spans="1:13" x14ac:dyDescent="0.25">
      <c r="G26" s="13"/>
    </row>
    <row r="27" spans="1:13" x14ac:dyDescent="0.25">
      <c r="G27" s="13"/>
    </row>
    <row r="28" spans="1:13" x14ac:dyDescent="0.25">
      <c r="G28" s="13"/>
    </row>
    <row r="29" spans="1:13" x14ac:dyDescent="0.25">
      <c r="G29" s="13"/>
    </row>
    <row r="30" spans="1:13" x14ac:dyDescent="0.25">
      <c r="G30" s="13"/>
    </row>
    <row r="31" spans="1:13" x14ac:dyDescent="0.25">
      <c r="G31" s="13"/>
    </row>
    <row r="32" spans="1:13" x14ac:dyDescent="0.25">
      <c r="G32" s="13"/>
    </row>
    <row r="33" spans="7:7" x14ac:dyDescent="0.25">
      <c r="G33" s="13"/>
    </row>
    <row r="34" spans="7:7" x14ac:dyDescent="0.25">
      <c r="G34" s="13"/>
    </row>
    <row r="35" spans="7:7" x14ac:dyDescent="0.25">
      <c r="G35" s="13"/>
    </row>
    <row r="36" spans="7:7" x14ac:dyDescent="0.25">
      <c r="G36" s="13"/>
    </row>
    <row r="37" spans="7:7" x14ac:dyDescent="0.25">
      <c r="G37" s="13"/>
    </row>
    <row r="38" spans="7:7" x14ac:dyDescent="0.25">
      <c r="G38" s="13"/>
    </row>
    <row r="39" spans="7:7" x14ac:dyDescent="0.25">
      <c r="G39" s="13"/>
    </row>
    <row r="40" spans="7:7" x14ac:dyDescent="0.25">
      <c r="G40" s="13"/>
    </row>
    <row r="41" spans="7:7"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row r="117" spans="7:7" x14ac:dyDescent="0.25">
      <c r="G117" s="13"/>
    </row>
    <row r="118" spans="7:7" x14ac:dyDescent="0.25">
      <c r="G118" s="13"/>
    </row>
    <row r="119" spans="7:7" x14ac:dyDescent="0.25">
      <c r="G119" s="13"/>
    </row>
    <row r="120" spans="7:7" x14ac:dyDescent="0.25">
      <c r="G120" s="13"/>
    </row>
    <row r="121" spans="7:7" x14ac:dyDescent="0.25">
      <c r="G121" s="13"/>
    </row>
  </sheetData>
  <sheetProtection algorithmName="SHA-512" hashValue="CHQFnQEx8uAQwSOz5WLeO7x4yiK5D7suatwG5qL+XdC/aYYemEmb8SFF4zWM69JrcsZZ/r7Jw/Cn+yo46uBv1g==" saltValue="6T0bnQPe2g3PXaVsjbG6kQ==" spinCount="100000" sheet="1" objects="1" scenarios="1" selectLockedCells="1"/>
  <mergeCells count="5">
    <mergeCell ref="B2:B3"/>
    <mergeCell ref="D2:D3"/>
    <mergeCell ref="J2:J3"/>
    <mergeCell ref="F2:F3"/>
    <mergeCell ref="I15:I17"/>
  </mergeCells>
  <dataValidations count="1">
    <dataValidation type="list" showInputMessage="1" showErrorMessage="1" sqref="H4 H14 H8 H10 H12" xr:uid="{0E1D0B91-B40A-48F0-8251-3A23ED5FAB55}">
      <formula1>yesno</formula1>
    </dataValidation>
  </dataValidations>
  <pageMargins left="0.7" right="0.7" top="0.75" bottom="0.75" header="0.3" footer="0.3"/>
  <pageSetup paperSize="1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FF7E5-55BD-49F4-9184-50FCF399B7BB}">
  <sheetPr>
    <tabColor rgb="FF19486A"/>
    <pageSetUpPr autoPageBreaks="0"/>
  </sheetPr>
  <dimension ref="A1:M117"/>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style="243"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 min="14" max="14" width="19.85546875" bestFit="1" customWidth="1"/>
    <col min="15" max="15" width="3.7109375" customWidth="1"/>
  </cols>
  <sheetData>
    <row r="1" spans="1:13" s="93" customFormat="1" ht="45.6" x14ac:dyDescent="0.7">
      <c r="A1" s="371" t="s">
        <v>137</v>
      </c>
      <c r="B1" s="371" t="s">
        <v>44</v>
      </c>
      <c r="C1" s="372" t="s">
        <v>111</v>
      </c>
      <c r="D1" s="371" t="s">
        <v>112</v>
      </c>
      <c r="E1" s="371" t="s">
        <v>73</v>
      </c>
      <c r="F1" s="371" t="s">
        <v>92</v>
      </c>
      <c r="G1" s="373"/>
      <c r="H1" s="373"/>
      <c r="I1" s="374" t="s">
        <v>46</v>
      </c>
      <c r="J1" s="374" t="s">
        <v>181</v>
      </c>
      <c r="K1" s="92" t="s">
        <v>110</v>
      </c>
      <c r="L1" s="115" t="s">
        <v>172</v>
      </c>
      <c r="M1" s="116" t="s">
        <v>177</v>
      </c>
    </row>
    <row r="2" spans="1:13" x14ac:dyDescent="0.25">
      <c r="A2" s="46" t="s">
        <v>137</v>
      </c>
      <c r="B2" s="496" t="s">
        <v>674</v>
      </c>
      <c r="C2" s="48">
        <v>17.100000000000001</v>
      </c>
      <c r="D2" s="496" t="s">
        <v>676</v>
      </c>
      <c r="E2" s="47" t="s">
        <v>675</v>
      </c>
      <c r="F2" s="496" t="s">
        <v>676</v>
      </c>
      <c r="G2" s="49" t="s">
        <v>128</v>
      </c>
      <c r="H2" s="450">
        <v>1</v>
      </c>
      <c r="I2" s="122"/>
      <c r="J2" s="482">
        <f>I3</f>
        <v>25</v>
      </c>
      <c r="K2" s="52"/>
      <c r="L2">
        <v>25</v>
      </c>
      <c r="M2" s="78">
        <f>H2*L2</f>
        <v>25</v>
      </c>
    </row>
    <row r="3" spans="1:13" x14ac:dyDescent="0.25">
      <c r="A3" s="43"/>
      <c r="B3" s="498"/>
      <c r="C3" s="45"/>
      <c r="D3" s="498"/>
      <c r="E3" s="44"/>
      <c r="F3" s="498"/>
      <c r="G3" s="50" t="s">
        <v>127</v>
      </c>
      <c r="H3" s="450">
        <v>1</v>
      </c>
      <c r="I3" s="128">
        <f>IF(M4&gt;=25,25,M4)</f>
        <v>25</v>
      </c>
      <c r="J3" s="483"/>
      <c r="K3" s="53">
        <v>25</v>
      </c>
      <c r="L3">
        <v>10</v>
      </c>
      <c r="M3" s="78">
        <f>H3*L3</f>
        <v>10</v>
      </c>
    </row>
    <row r="4" spans="1:13" ht="30" x14ac:dyDescent="0.25">
      <c r="A4" s="382" t="s">
        <v>137</v>
      </c>
      <c r="B4" s="383" t="s">
        <v>674</v>
      </c>
      <c r="C4" s="384">
        <v>17.2</v>
      </c>
      <c r="D4" s="383" t="s">
        <v>680</v>
      </c>
      <c r="E4" s="385" t="s">
        <v>681</v>
      </c>
      <c r="F4" s="386" t="s">
        <v>679</v>
      </c>
      <c r="G4" s="281" t="s">
        <v>678</v>
      </c>
      <c r="H4" s="450">
        <v>2</v>
      </c>
      <c r="I4" s="479">
        <f>IF(M7&gt;=10,10,M7)</f>
        <v>10</v>
      </c>
      <c r="J4" s="197"/>
      <c r="M4" s="78">
        <f>SUM(M2:M3)</f>
        <v>35</v>
      </c>
    </row>
    <row r="5" spans="1:13" x14ac:dyDescent="0.25">
      <c r="A5" s="40"/>
      <c r="B5" s="41"/>
      <c r="C5" s="42"/>
      <c r="D5" s="387"/>
      <c r="E5" s="41"/>
      <c r="F5" s="41"/>
      <c r="G5" s="284" t="s">
        <v>677</v>
      </c>
      <c r="H5" s="450">
        <v>1</v>
      </c>
      <c r="I5" s="481"/>
      <c r="K5" s="53">
        <v>3</v>
      </c>
      <c r="L5" s="76">
        <v>1</v>
      </c>
      <c r="M5" s="25">
        <f>H4/L5*K5</f>
        <v>6</v>
      </c>
    </row>
    <row r="6" spans="1:13" ht="27.6" x14ac:dyDescent="0.25">
      <c r="A6" s="388" t="s">
        <v>137</v>
      </c>
      <c r="B6" s="389" t="s">
        <v>674</v>
      </c>
      <c r="C6" s="392">
        <v>17.2</v>
      </c>
      <c r="D6" s="389" t="s">
        <v>680</v>
      </c>
      <c r="E6" s="390" t="s">
        <v>682</v>
      </c>
      <c r="F6" s="389" t="s">
        <v>683</v>
      </c>
      <c r="G6" s="391" t="s">
        <v>684</v>
      </c>
      <c r="H6" s="450">
        <v>2</v>
      </c>
      <c r="I6" s="59">
        <f>IF(M8&gt;=K8,K8,M8)</f>
        <v>10</v>
      </c>
      <c r="K6" s="53">
        <v>5</v>
      </c>
      <c r="L6" s="76">
        <v>1</v>
      </c>
      <c r="M6" s="25">
        <f>H5/L6*K6</f>
        <v>5</v>
      </c>
    </row>
    <row r="7" spans="1:13" ht="13.9" x14ac:dyDescent="0.25">
      <c r="A7" s="388" t="s">
        <v>137</v>
      </c>
      <c r="B7" s="389" t="s">
        <v>674</v>
      </c>
      <c r="C7" s="392">
        <v>17.2</v>
      </c>
      <c r="D7" s="389" t="s">
        <v>680</v>
      </c>
      <c r="E7" s="390" t="s">
        <v>685</v>
      </c>
      <c r="F7" s="389" t="s">
        <v>686</v>
      </c>
      <c r="G7" s="391" t="s">
        <v>687</v>
      </c>
      <c r="H7" s="450">
        <v>1</v>
      </c>
      <c r="I7" s="59">
        <f>IF(M10&gt;=K10,K10,M10)</f>
        <v>10</v>
      </c>
      <c r="M7" s="370">
        <f>SUM(M5:M6)</f>
        <v>11</v>
      </c>
    </row>
    <row r="8" spans="1:13" ht="13.9" x14ac:dyDescent="0.25">
      <c r="A8" s="388" t="s">
        <v>137</v>
      </c>
      <c r="B8" s="389" t="s">
        <v>674</v>
      </c>
      <c r="C8" s="392">
        <v>17.2</v>
      </c>
      <c r="D8" s="389" t="s">
        <v>680</v>
      </c>
      <c r="E8" s="390" t="s">
        <v>688</v>
      </c>
      <c r="F8" s="389" t="s">
        <v>689</v>
      </c>
      <c r="G8" s="391" t="s">
        <v>690</v>
      </c>
      <c r="H8" s="450">
        <v>1</v>
      </c>
      <c r="I8" s="59">
        <f>IF(M13&gt;=K13,K13,M13)</f>
        <v>10</v>
      </c>
      <c r="K8" s="53">
        <v>10</v>
      </c>
      <c r="L8">
        <v>2</v>
      </c>
      <c r="M8" s="25">
        <f>H6/L8*K8</f>
        <v>10</v>
      </c>
    </row>
    <row r="9" spans="1:13" ht="13.9" x14ac:dyDescent="0.25">
      <c r="A9" s="388" t="s">
        <v>137</v>
      </c>
      <c r="B9" s="389" t="s">
        <v>674</v>
      </c>
      <c r="C9" s="392">
        <v>17.2</v>
      </c>
      <c r="D9" s="389" t="s">
        <v>680</v>
      </c>
      <c r="E9" s="390" t="s">
        <v>692</v>
      </c>
      <c r="F9" s="389" t="s">
        <v>693</v>
      </c>
      <c r="G9" s="391" t="s">
        <v>691</v>
      </c>
      <c r="H9" s="450">
        <v>3</v>
      </c>
      <c r="I9" s="59">
        <f>IF(M15&gt;=K15,K15,M15)</f>
        <v>10</v>
      </c>
      <c r="L9" s="13"/>
      <c r="M9"/>
    </row>
    <row r="10" spans="1:13" ht="13.9" x14ac:dyDescent="0.25">
      <c r="A10" s="70" t="s">
        <v>137</v>
      </c>
      <c r="B10" s="196" t="s">
        <v>674</v>
      </c>
      <c r="C10" s="72">
        <v>17.3</v>
      </c>
      <c r="D10" s="196" t="s">
        <v>695</v>
      </c>
      <c r="E10" s="71" t="s">
        <v>694</v>
      </c>
      <c r="F10" s="196" t="s">
        <v>696</v>
      </c>
      <c r="G10" s="231" t="s">
        <v>711</v>
      </c>
      <c r="H10" s="450">
        <v>17</v>
      </c>
      <c r="I10" s="59">
        <f>IF(M17&gt;=K17,K17,M17)</f>
        <v>5</v>
      </c>
      <c r="K10" s="53">
        <v>10</v>
      </c>
      <c r="L10">
        <v>1</v>
      </c>
      <c r="M10" s="25">
        <f>H7*L10*K10</f>
        <v>10</v>
      </c>
    </row>
    <row r="11" spans="1:13" ht="41.45" x14ac:dyDescent="0.25">
      <c r="A11" s="70" t="s">
        <v>137</v>
      </c>
      <c r="B11" s="196" t="s">
        <v>674</v>
      </c>
      <c r="C11" s="72">
        <v>17.399999999999999</v>
      </c>
      <c r="D11" s="196" t="s">
        <v>698</v>
      </c>
      <c r="E11" s="71" t="s">
        <v>697</v>
      </c>
      <c r="F11" s="196" t="s">
        <v>699</v>
      </c>
      <c r="G11" s="231" t="s">
        <v>710</v>
      </c>
      <c r="H11" s="463" t="s">
        <v>10</v>
      </c>
      <c r="I11" s="59">
        <f>IF(H11="Yes",1,0)</f>
        <v>1</v>
      </c>
      <c r="L11" s="26"/>
    </row>
    <row r="12" spans="1:13" ht="13.9" x14ac:dyDescent="0.25">
      <c r="A12" s="70"/>
      <c r="B12" s="196"/>
      <c r="C12" s="72">
        <v>17.399999999999999</v>
      </c>
      <c r="D12" s="196"/>
      <c r="E12" s="71" t="s">
        <v>697</v>
      </c>
      <c r="F12" s="196"/>
      <c r="G12" s="231" t="s">
        <v>833</v>
      </c>
      <c r="H12" s="450">
        <v>2</v>
      </c>
      <c r="I12" s="59">
        <f>IF(H11="No",0,IF(M12&gt;=K12,K12,M12))</f>
        <v>4</v>
      </c>
      <c r="K12" s="53">
        <v>4</v>
      </c>
      <c r="L12" s="26">
        <v>2</v>
      </c>
      <c r="M12" s="78">
        <f>H12/L12*K12</f>
        <v>4</v>
      </c>
    </row>
    <row r="13" spans="1:13" ht="13.9" x14ac:dyDescent="0.25">
      <c r="A13" s="70" t="s">
        <v>137</v>
      </c>
      <c r="B13" s="196" t="s">
        <v>674</v>
      </c>
      <c r="C13" s="72">
        <v>17.399999999999999</v>
      </c>
      <c r="D13" s="196" t="s">
        <v>698</v>
      </c>
      <c r="E13" s="71" t="s">
        <v>700</v>
      </c>
      <c r="F13" s="196" t="s">
        <v>701</v>
      </c>
      <c r="G13" s="231" t="s">
        <v>785</v>
      </c>
      <c r="H13" s="450">
        <v>1</v>
      </c>
      <c r="I13" s="59">
        <f>IF(M21&gt;=K21,K21,M21)</f>
        <v>5</v>
      </c>
      <c r="K13" s="53">
        <v>10</v>
      </c>
      <c r="L13">
        <v>1</v>
      </c>
      <c r="M13" s="25">
        <f>H8*L13*K13</f>
        <v>10</v>
      </c>
    </row>
    <row r="14" spans="1:13" ht="27.6" x14ac:dyDescent="0.25">
      <c r="A14" s="388" t="s">
        <v>137</v>
      </c>
      <c r="B14" s="389" t="s">
        <v>674</v>
      </c>
      <c r="C14" s="392">
        <v>17.399999999999999</v>
      </c>
      <c r="D14" s="389" t="s">
        <v>698</v>
      </c>
      <c r="E14" s="390" t="s">
        <v>702</v>
      </c>
      <c r="F14" s="389" t="s">
        <v>703</v>
      </c>
      <c r="G14" s="391" t="s">
        <v>704</v>
      </c>
      <c r="H14" s="450">
        <v>2</v>
      </c>
      <c r="I14" s="59">
        <f>IF(M23&gt;=K23,K23,M23)</f>
        <v>5</v>
      </c>
      <c r="L14" s="26"/>
    </row>
    <row r="15" spans="1:13" x14ac:dyDescent="0.25">
      <c r="A15" s="382" t="s">
        <v>137</v>
      </c>
      <c r="B15" s="383" t="s">
        <v>674</v>
      </c>
      <c r="C15" s="384">
        <v>17.5</v>
      </c>
      <c r="D15" s="383" t="s">
        <v>709</v>
      </c>
      <c r="E15" s="385" t="s">
        <v>707</v>
      </c>
      <c r="F15" s="386" t="s">
        <v>705</v>
      </c>
      <c r="G15" s="281" t="s">
        <v>120</v>
      </c>
      <c r="H15" s="450">
        <v>1</v>
      </c>
      <c r="I15" s="479">
        <f>IF(M27&gt;=5,5,M27)</f>
        <v>5</v>
      </c>
      <c r="J15" s="197"/>
      <c r="K15" s="53">
        <v>10</v>
      </c>
      <c r="L15">
        <v>2</v>
      </c>
      <c r="M15" s="25">
        <f>H9/L15*K15</f>
        <v>15</v>
      </c>
    </row>
    <row r="16" spans="1:13" x14ac:dyDescent="0.25">
      <c r="A16" s="40"/>
      <c r="B16" s="41"/>
      <c r="C16" s="42"/>
      <c r="D16" s="387"/>
      <c r="E16" s="41" t="s">
        <v>708</v>
      </c>
      <c r="F16" s="41" t="s">
        <v>706</v>
      </c>
      <c r="G16" s="284" t="s">
        <v>474</v>
      </c>
      <c r="H16" s="450">
        <v>1</v>
      </c>
      <c r="I16" s="481"/>
      <c r="J16" s="178">
        <f>SUM(I4:I16)</f>
        <v>75</v>
      </c>
      <c r="L16" s="13"/>
      <c r="M16"/>
    </row>
    <row r="17" spans="1:13" ht="17.45" x14ac:dyDescent="0.25">
      <c r="A17" s="375"/>
      <c r="B17" s="375"/>
      <c r="C17" s="376"/>
      <c r="D17" s="377"/>
      <c r="E17" s="375"/>
      <c r="F17" s="375"/>
      <c r="G17" s="378"/>
      <c r="H17" s="379"/>
      <c r="I17" s="380" t="s">
        <v>673</v>
      </c>
      <c r="J17" s="381">
        <f>SUM(J2:J16)</f>
        <v>100</v>
      </c>
      <c r="K17" s="53">
        <v>5</v>
      </c>
      <c r="L17">
        <v>17</v>
      </c>
      <c r="M17" s="25">
        <f>H10/L17*K17</f>
        <v>5</v>
      </c>
    </row>
    <row r="18" spans="1:13" ht="13.9" x14ac:dyDescent="0.25">
      <c r="G18" s="13"/>
      <c r="L18" s="26"/>
    </row>
    <row r="19" spans="1:13" ht="13.9" x14ac:dyDescent="0.25">
      <c r="G19" s="13"/>
      <c r="K19" s="53">
        <v>5</v>
      </c>
      <c r="L19" s="13" t="s">
        <v>10</v>
      </c>
      <c r="M19" s="25">
        <f>K19</f>
        <v>5</v>
      </c>
    </row>
    <row r="20" spans="1:13" ht="13.9" x14ac:dyDescent="0.25">
      <c r="G20" s="13"/>
      <c r="L20" s="13" t="s">
        <v>15</v>
      </c>
      <c r="M20">
        <v>0</v>
      </c>
    </row>
    <row r="21" spans="1:13" ht="13.9" x14ac:dyDescent="0.25">
      <c r="G21" s="13"/>
      <c r="K21" s="53">
        <v>5</v>
      </c>
      <c r="L21">
        <v>1</v>
      </c>
      <c r="M21" s="25">
        <f>H13*L21*K21</f>
        <v>5</v>
      </c>
    </row>
    <row r="22" spans="1:13" ht="13.9" x14ac:dyDescent="0.25">
      <c r="G22" s="13"/>
    </row>
    <row r="23" spans="1:13" ht="13.9" x14ac:dyDescent="0.25">
      <c r="G23" s="13"/>
      <c r="K23" s="53">
        <v>5</v>
      </c>
      <c r="L23">
        <v>2</v>
      </c>
      <c r="M23" s="25">
        <f>H14/L23*K23</f>
        <v>5</v>
      </c>
    </row>
    <row r="24" spans="1:13" ht="13.9" x14ac:dyDescent="0.25">
      <c r="G24" s="13"/>
    </row>
    <row r="25" spans="1:13" ht="13.9" x14ac:dyDescent="0.25">
      <c r="G25" s="13"/>
      <c r="K25" s="53">
        <v>3</v>
      </c>
      <c r="L25" s="76">
        <v>1</v>
      </c>
      <c r="M25" s="25">
        <f>H15/L25*K25</f>
        <v>3</v>
      </c>
    </row>
    <row r="26" spans="1:13" ht="13.9" x14ac:dyDescent="0.25">
      <c r="G26" s="13"/>
      <c r="K26" s="53">
        <v>5</v>
      </c>
      <c r="L26" s="76">
        <v>1</v>
      </c>
      <c r="M26" s="25">
        <f>H16/L26*K26</f>
        <v>5</v>
      </c>
    </row>
    <row r="27" spans="1:13" ht="13.9" x14ac:dyDescent="0.25">
      <c r="G27" s="13"/>
      <c r="M27" s="370">
        <f>SUM(M25:M26)</f>
        <v>8</v>
      </c>
    </row>
    <row r="28" spans="1:13" ht="13.9" x14ac:dyDescent="0.25">
      <c r="G28" s="13"/>
      <c r="M28" s="117"/>
    </row>
    <row r="29" spans="1:13" ht="13.9" x14ac:dyDescent="0.25">
      <c r="G29" s="13"/>
    </row>
    <row r="30" spans="1:13" ht="13.9" x14ac:dyDescent="0.25">
      <c r="G30" s="13"/>
    </row>
    <row r="31" spans="1:13" ht="13.9" x14ac:dyDescent="0.25">
      <c r="G31" s="13"/>
    </row>
    <row r="32" spans="1:13" ht="13.9" x14ac:dyDescent="0.25">
      <c r="G32" s="13"/>
    </row>
    <row r="33" spans="7:7" ht="13.9" x14ac:dyDescent="0.25">
      <c r="G33" s="13"/>
    </row>
    <row r="34" spans="7:7" ht="13.9" x14ac:dyDescent="0.25">
      <c r="G34" s="13"/>
    </row>
    <row r="35" spans="7:7" ht="13.9" x14ac:dyDescent="0.25">
      <c r="G35" s="13"/>
    </row>
    <row r="36" spans="7:7" ht="13.9" x14ac:dyDescent="0.25">
      <c r="G36" s="13"/>
    </row>
    <row r="37" spans="7:7" x14ac:dyDescent="0.25">
      <c r="G37" s="13"/>
    </row>
    <row r="38" spans="7:7" x14ac:dyDescent="0.25">
      <c r="G38" s="13"/>
    </row>
    <row r="39" spans="7:7" x14ac:dyDescent="0.25">
      <c r="G39" s="13"/>
    </row>
    <row r="40" spans="7:7" x14ac:dyDescent="0.25">
      <c r="G40" s="13"/>
    </row>
    <row r="41" spans="7:7"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row r="117" spans="7:7" x14ac:dyDescent="0.25">
      <c r="G117" s="13"/>
    </row>
  </sheetData>
  <sheetProtection algorithmName="SHA-512" hashValue="62OXzu/I/jBvKaHSPy4DQELbdjYyJ+KSyPfYMJPAqKESDX8l2Dl9ryjPHDLfjnZPJjnJHyvEIiVaF4eqf1V+3w==" saltValue="acxTccZMt7Fkh8oSQbP9/g==" spinCount="100000" sheet="1" objects="1" scenarios="1" selectLockedCells="1"/>
  <mergeCells count="6">
    <mergeCell ref="I15:I16"/>
    <mergeCell ref="B2:B3"/>
    <mergeCell ref="D2:D3"/>
    <mergeCell ref="F2:F3"/>
    <mergeCell ref="J2:J3"/>
    <mergeCell ref="I4:I5"/>
  </mergeCells>
  <dataValidations count="1">
    <dataValidation type="list" showInputMessage="1" showErrorMessage="1" sqref="H11" xr:uid="{96FACE8D-8252-4A65-B6DF-B1FF690055F5}">
      <formula1>yesno</formula1>
    </dataValidation>
  </dataValidations>
  <pageMargins left="0.7" right="0.7" top="0.75" bottom="0.75" header="0.3" footer="0.3"/>
  <pageSetup paperSize="14"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EF3E2-BAA5-4BDA-A254-78B5B96875F7}">
  <sheetPr>
    <tabColor theme="0"/>
  </sheetPr>
  <dimension ref="A1:D5"/>
  <sheetViews>
    <sheetView workbookViewId="0">
      <selection activeCell="D3" sqref="D3"/>
    </sheetView>
  </sheetViews>
  <sheetFormatPr defaultRowHeight="15" x14ac:dyDescent="0.25"/>
  <cols>
    <col min="2" max="2" width="20.42578125" bestFit="1" customWidth="1"/>
    <col min="3" max="3" width="16.5703125" bestFit="1" customWidth="1"/>
    <col min="4" max="4" width="19.85546875" bestFit="1" customWidth="1"/>
  </cols>
  <sheetData>
    <row r="1" spans="1:4" x14ac:dyDescent="0.25">
      <c r="A1" t="s">
        <v>108</v>
      </c>
      <c r="B1" t="s">
        <v>288</v>
      </c>
      <c r="C1" t="s">
        <v>526</v>
      </c>
      <c r="D1" t="s">
        <v>549</v>
      </c>
    </row>
    <row r="2" spans="1:4" x14ac:dyDescent="0.25">
      <c r="A2" t="s">
        <v>10</v>
      </c>
      <c r="B2" t="s">
        <v>285</v>
      </c>
      <c r="C2" t="s">
        <v>527</v>
      </c>
      <c r="D2" t="s">
        <v>782</v>
      </c>
    </row>
    <row r="3" spans="1:4" x14ac:dyDescent="0.25">
      <c r="A3" t="s">
        <v>15</v>
      </c>
      <c r="B3" t="s">
        <v>286</v>
      </c>
      <c r="C3" t="s">
        <v>528</v>
      </c>
      <c r="D3" t="s">
        <v>550</v>
      </c>
    </row>
    <row r="4" spans="1:4" x14ac:dyDescent="0.25">
      <c r="B4" t="s">
        <v>287</v>
      </c>
      <c r="C4" t="s">
        <v>529</v>
      </c>
      <c r="D4" t="s">
        <v>551</v>
      </c>
    </row>
    <row r="5" spans="1:4" x14ac:dyDescent="0.25">
      <c r="D5"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8F0AE-B8DE-4C90-A2BE-650138FE3EA1}">
  <sheetPr>
    <tabColor rgb="FFFFFFCC"/>
  </sheetPr>
  <dimension ref="A1:A3"/>
  <sheetViews>
    <sheetView showGridLines="0" zoomScale="85" zoomScaleNormal="85" workbookViewId="0">
      <selection activeCell="D107" sqref="D107"/>
    </sheetView>
  </sheetViews>
  <sheetFormatPr defaultRowHeight="15" x14ac:dyDescent="0.25"/>
  <sheetData>
    <row r="1" ht="60" customHeight="1" x14ac:dyDescent="0.25"/>
    <row r="2" ht="60" customHeight="1" x14ac:dyDescent="0.25"/>
    <row r="3" customFormat="1" ht="13.9" x14ac:dyDescent="0.25"/>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BED1E-9F62-4502-B944-AB69066C47FE}">
  <sheetPr>
    <tabColor theme="0"/>
    <pageSetUpPr fitToPage="1"/>
  </sheetPr>
  <dimension ref="A1"/>
  <sheetViews>
    <sheetView showGridLines="0" zoomScaleNormal="100" workbookViewId="0">
      <selection activeCell="Z22" sqref="Z22"/>
    </sheetView>
  </sheetViews>
  <sheetFormatPr defaultRowHeight="15" x14ac:dyDescent="0.25"/>
  <cols>
    <col min="1" max="1" width="2.140625" customWidth="1"/>
    <col min="24" max="24" width="2.7109375" customWidth="1"/>
    <col min="25" max="25" width="7.5703125" customWidth="1"/>
    <col min="26" max="26" width="33.140625" bestFit="1" customWidth="1"/>
  </cols>
  <sheetData>
    <row r="1" ht="10.5" customHeight="1" x14ac:dyDescent="0.25"/>
  </sheetData>
  <pageMargins left="0.25" right="0.25" top="0.75" bottom="0.75" header="0.3" footer="0.3"/>
  <pageSetup paperSize="14" scale="65" orientation="landscape" horizontalDpi="0" verticalDpi="0" r:id="rId1"/>
  <headerFooter>
    <oddFooter>&amp;R&amp;"Arial Narrow,Regular"&amp;7&amp;K00-033&amp;Z&amp;F</oddFooter>
  </headerFooter>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5C18F-E63B-4E6B-AC42-A1E8960058DC}">
  <dimension ref="A1:O109"/>
  <sheetViews>
    <sheetView workbookViewId="0">
      <selection activeCell="B13" sqref="B13"/>
    </sheetView>
  </sheetViews>
  <sheetFormatPr defaultRowHeight="15" x14ac:dyDescent="0.25"/>
  <cols>
    <col min="1" max="1" width="14.28515625" bestFit="1" customWidth="1"/>
    <col min="2" max="2" width="21" style="430" bestFit="1" customWidth="1"/>
    <col min="3" max="3" width="19.5703125" bestFit="1" customWidth="1"/>
    <col min="5" max="5" width="14.28515625" bestFit="1" customWidth="1"/>
    <col min="6" max="6" width="21" style="430" bestFit="1" customWidth="1"/>
    <col min="7" max="7" width="19.5703125" bestFit="1" customWidth="1"/>
    <col min="8" max="8" width="6.42578125" bestFit="1" customWidth="1"/>
    <col min="9" max="9" width="17.85546875" bestFit="1" customWidth="1"/>
    <col min="10" max="10" width="21" style="430" bestFit="1" customWidth="1"/>
    <col min="11" max="12" width="6.42578125" bestFit="1" customWidth="1"/>
    <col min="13" max="13" width="17.85546875" bestFit="1" customWidth="1"/>
    <col min="14" max="14" width="15.42578125" bestFit="1" customWidth="1"/>
    <col min="15" max="15" width="16.5703125" bestFit="1" customWidth="1"/>
    <col min="16" max="16" width="18.28515625" bestFit="1" customWidth="1"/>
    <col min="17" max="17" width="14.28515625" bestFit="1" customWidth="1"/>
    <col min="18" max="22" width="6.42578125" bestFit="1" customWidth="1"/>
    <col min="23" max="23" width="12.140625" bestFit="1" customWidth="1"/>
  </cols>
  <sheetData>
    <row r="1" spans="1:15" x14ac:dyDescent="0.25">
      <c r="A1" s="436" t="s">
        <v>746</v>
      </c>
      <c r="E1" t="s">
        <v>747</v>
      </c>
      <c r="F1" s="435" t="s">
        <v>750</v>
      </c>
      <c r="G1" t="s">
        <v>172</v>
      </c>
      <c r="I1" s="435" t="s">
        <v>752</v>
      </c>
    </row>
    <row r="2" spans="1:15" x14ac:dyDescent="0.25">
      <c r="E2" t="s">
        <v>751</v>
      </c>
      <c r="F2" s="434">
        <f>AVERAGE(F7:F24)</f>
        <v>76.994652406417131</v>
      </c>
      <c r="G2">
        <v>100</v>
      </c>
      <c r="J2" s="432"/>
      <c r="K2" s="243"/>
    </row>
    <row r="3" spans="1:15" x14ac:dyDescent="0.25">
      <c r="E3" t="s">
        <v>172</v>
      </c>
      <c r="F3" s="433">
        <f>100-F2</f>
        <v>23.005347593582869</v>
      </c>
      <c r="G3">
        <v>100</v>
      </c>
    </row>
    <row r="4" spans="1:15" x14ac:dyDescent="0.25">
      <c r="A4" s="3" t="s">
        <v>744</v>
      </c>
      <c r="B4" t="s" vm="1">
        <v>745</v>
      </c>
    </row>
    <row r="6" spans="1:15" x14ac:dyDescent="0.25">
      <c r="A6" s="3" t="s">
        <v>22</v>
      </c>
      <c r="B6" s="431" t="s">
        <v>743</v>
      </c>
      <c r="E6" s="3" t="s">
        <v>22</v>
      </c>
      <c r="F6" s="431" t="s">
        <v>743</v>
      </c>
      <c r="I6" s="3" t="s">
        <v>22</v>
      </c>
      <c r="J6" s="431" t="s">
        <v>743</v>
      </c>
      <c r="M6" s="3" t="s">
        <v>22</v>
      </c>
      <c r="N6" t="s">
        <v>723</v>
      </c>
      <c r="O6" t="s">
        <v>748</v>
      </c>
    </row>
    <row r="7" spans="1:15" x14ac:dyDescent="0.25">
      <c r="A7" s="4">
        <v>17</v>
      </c>
      <c r="B7" s="431">
        <v>89.63636363636364</v>
      </c>
      <c r="E7" s="4">
        <v>1</v>
      </c>
      <c r="F7" s="431">
        <v>86.63636363636364</v>
      </c>
      <c r="I7" s="4" t="s">
        <v>715</v>
      </c>
      <c r="J7" s="431">
        <v>67</v>
      </c>
      <c r="M7" s="4" t="s">
        <v>716</v>
      </c>
      <c r="N7">
        <v>1349</v>
      </c>
      <c r="O7" s="10">
        <v>9.3635038522940237E-2</v>
      </c>
    </row>
    <row r="8" spans="1:15" x14ac:dyDescent="0.25">
      <c r="A8" s="4">
        <v>10</v>
      </c>
      <c r="B8" s="431">
        <v>90.63636363636364</v>
      </c>
      <c r="E8" s="4">
        <v>2</v>
      </c>
      <c r="F8" s="431">
        <v>68.090909090909093</v>
      </c>
      <c r="I8" s="4" t="s">
        <v>714</v>
      </c>
      <c r="J8" s="431">
        <v>67.647058823529406</v>
      </c>
      <c r="M8" s="4" t="s">
        <v>720</v>
      </c>
      <c r="N8">
        <v>1323</v>
      </c>
      <c r="O8" s="10">
        <v>9.1830360241549253E-2</v>
      </c>
    </row>
    <row r="9" spans="1:15" x14ac:dyDescent="0.25">
      <c r="A9" s="4">
        <v>5</v>
      </c>
      <c r="B9" s="431">
        <v>84.909090909090907</v>
      </c>
      <c r="E9" s="4">
        <v>3</v>
      </c>
      <c r="F9" s="431">
        <v>74.727272727272734</v>
      </c>
      <c r="I9" s="4" t="s">
        <v>749</v>
      </c>
      <c r="J9" s="431">
        <v>70.764705882352942</v>
      </c>
      <c r="M9" s="4" t="s">
        <v>718</v>
      </c>
      <c r="N9">
        <v>1296</v>
      </c>
      <c r="O9" s="10">
        <v>8.9956271257027834E-2</v>
      </c>
    </row>
    <row r="10" spans="1:15" x14ac:dyDescent="0.25">
      <c r="A10" s="4">
        <v>1</v>
      </c>
      <c r="B10" s="431">
        <v>86.63636363636364</v>
      </c>
      <c r="E10" s="4">
        <v>4</v>
      </c>
      <c r="F10" s="431">
        <v>75.36363636363636</v>
      </c>
      <c r="I10" s="4" t="s">
        <v>719</v>
      </c>
      <c r="J10" s="431">
        <v>75.764705882352942</v>
      </c>
      <c r="M10" s="4" t="s">
        <v>721</v>
      </c>
      <c r="N10">
        <v>1316</v>
      </c>
      <c r="O10" s="10">
        <v>9.1344485319636293E-2</v>
      </c>
    </row>
    <row r="11" spans="1:15" x14ac:dyDescent="0.25">
      <c r="A11" s="4" t="s">
        <v>21</v>
      </c>
      <c r="B11" s="431">
        <v>87.954545454545453</v>
      </c>
      <c r="E11" s="4">
        <v>5</v>
      </c>
      <c r="F11" s="431">
        <v>84.909090909090907</v>
      </c>
      <c r="I11" s="4" t="s">
        <v>718</v>
      </c>
      <c r="J11" s="431">
        <v>76.235294117647058</v>
      </c>
      <c r="M11" s="4" t="s">
        <v>713</v>
      </c>
      <c r="N11">
        <v>1320</v>
      </c>
      <c r="O11" s="10">
        <v>9.1622128132157976E-2</v>
      </c>
    </row>
    <row r="12" spans="1:15" x14ac:dyDescent="0.25">
      <c r="B12"/>
      <c r="E12" s="4">
        <v>6</v>
      </c>
      <c r="F12" s="431">
        <v>67.727272727272734</v>
      </c>
      <c r="I12" s="4" t="s">
        <v>721</v>
      </c>
      <c r="J12" s="431">
        <v>77.411764705882348</v>
      </c>
      <c r="M12" s="4" t="s">
        <v>719</v>
      </c>
      <c r="N12">
        <v>1288</v>
      </c>
      <c r="O12" s="10">
        <v>8.9400985631984453E-2</v>
      </c>
    </row>
    <row r="13" spans="1:15" x14ac:dyDescent="0.25">
      <c r="B13"/>
      <c r="E13" s="4">
        <v>7</v>
      </c>
      <c r="F13" s="431">
        <v>73</v>
      </c>
      <c r="I13" s="4" t="s">
        <v>713</v>
      </c>
      <c r="J13" s="431">
        <v>77.647058823529406</v>
      </c>
      <c r="M13" s="4" t="s">
        <v>717</v>
      </c>
      <c r="N13">
        <v>1331</v>
      </c>
      <c r="O13" s="10">
        <v>9.2385645866592633E-2</v>
      </c>
    </row>
    <row r="14" spans="1:15" x14ac:dyDescent="0.25">
      <c r="B14"/>
      <c r="E14" s="4">
        <v>8</v>
      </c>
      <c r="F14" s="431">
        <v>76</v>
      </c>
      <c r="I14" s="4" t="s">
        <v>720</v>
      </c>
      <c r="J14" s="431">
        <v>77.82352941176471</v>
      </c>
      <c r="M14" s="4" t="s">
        <v>17</v>
      </c>
      <c r="N14">
        <v>1692</v>
      </c>
      <c r="O14" s="10">
        <v>0.11744290969667523</v>
      </c>
    </row>
    <row r="15" spans="1:15" x14ac:dyDescent="0.25">
      <c r="B15"/>
      <c r="E15" s="4">
        <v>9</v>
      </c>
      <c r="F15" s="431">
        <v>73</v>
      </c>
      <c r="I15" s="4" t="s">
        <v>717</v>
      </c>
      <c r="J15" s="431">
        <v>78.294117647058826</v>
      </c>
      <c r="M15" s="4" t="s">
        <v>714</v>
      </c>
      <c r="N15">
        <v>1150</v>
      </c>
      <c r="O15" s="10">
        <v>7.9822308599986111E-2</v>
      </c>
    </row>
    <row r="16" spans="1:15" x14ac:dyDescent="0.25">
      <c r="B16"/>
      <c r="E16" s="4">
        <v>10</v>
      </c>
      <c r="F16" s="431">
        <v>90.63636363636364</v>
      </c>
      <c r="I16" s="4" t="s">
        <v>716</v>
      </c>
      <c r="J16" s="431">
        <v>79.352941176470594</v>
      </c>
      <c r="M16" s="4" t="s">
        <v>715</v>
      </c>
      <c r="N16">
        <v>1139</v>
      </c>
      <c r="O16" s="10">
        <v>7.9058790865551468E-2</v>
      </c>
    </row>
    <row r="17" spans="1:15" x14ac:dyDescent="0.25">
      <c r="B17"/>
      <c r="E17" s="4">
        <v>11</v>
      </c>
      <c r="F17" s="431">
        <v>72.36363636363636</v>
      </c>
      <c r="I17" s="4" t="s">
        <v>17</v>
      </c>
      <c r="J17" s="431">
        <v>99</v>
      </c>
      <c r="M17" s="4" t="s">
        <v>749</v>
      </c>
      <c r="N17">
        <v>1203</v>
      </c>
      <c r="O17" s="10">
        <v>8.3501075865898527E-2</v>
      </c>
    </row>
    <row r="18" spans="1:15" x14ac:dyDescent="0.25">
      <c r="B18"/>
      <c r="E18" s="4">
        <v>12</v>
      </c>
      <c r="F18" s="431">
        <v>72</v>
      </c>
      <c r="I18" s="4" t="s">
        <v>21</v>
      </c>
      <c r="J18" s="431">
        <v>76.994652406417117</v>
      </c>
      <c r="M18" s="4" t="s">
        <v>21</v>
      </c>
      <c r="N18">
        <v>14407</v>
      </c>
      <c r="O18" s="10">
        <v>1</v>
      </c>
    </row>
    <row r="19" spans="1:15" x14ac:dyDescent="0.25">
      <c r="B19"/>
      <c r="E19" s="4">
        <v>13</v>
      </c>
      <c r="F19" s="431">
        <v>73.727272727272734</v>
      </c>
    </row>
    <row r="20" spans="1:15" x14ac:dyDescent="0.25">
      <c r="B20"/>
      <c r="E20" s="4">
        <v>14</v>
      </c>
      <c r="F20" s="431">
        <v>79.909090909090907</v>
      </c>
    </row>
    <row r="21" spans="1:15" x14ac:dyDescent="0.25">
      <c r="B21"/>
      <c r="E21" s="4">
        <v>15</v>
      </c>
      <c r="F21" s="431">
        <v>78.727272727272734</v>
      </c>
    </row>
    <row r="22" spans="1:15" x14ac:dyDescent="0.25">
      <c r="A22" t="s">
        <v>754</v>
      </c>
      <c r="B22" t="s">
        <v>743</v>
      </c>
      <c r="E22" s="4">
        <v>16</v>
      </c>
      <c r="F22" s="431">
        <v>72.454545454545453</v>
      </c>
    </row>
    <row r="23" spans="1:15" x14ac:dyDescent="0.25">
      <c r="A23" s="507">
        <v>187</v>
      </c>
      <c r="B23" s="507">
        <v>76.994652406417117</v>
      </c>
      <c r="E23" s="4">
        <v>17</v>
      </c>
      <c r="F23" s="431">
        <v>89.63636363636364</v>
      </c>
    </row>
    <row r="24" spans="1:15" x14ac:dyDescent="0.25">
      <c r="B24"/>
      <c r="E24" s="4" t="s">
        <v>21</v>
      </c>
      <c r="F24" s="431">
        <v>76.994652406417117</v>
      </c>
    </row>
    <row r="25" spans="1:15" x14ac:dyDescent="0.25">
      <c r="B25"/>
      <c r="F25"/>
    </row>
    <row r="26" spans="1:15" x14ac:dyDescent="0.25">
      <c r="B26"/>
    </row>
    <row r="27" spans="1:15" x14ac:dyDescent="0.25">
      <c r="B27"/>
      <c r="F27"/>
      <c r="J27"/>
    </row>
    <row r="28" spans="1:15" x14ac:dyDescent="0.25">
      <c r="B28"/>
      <c r="F28"/>
      <c r="J28"/>
    </row>
    <row r="29" spans="1:15" x14ac:dyDescent="0.25">
      <c r="A29" s="3" t="s">
        <v>22</v>
      </c>
      <c r="B29" t="s">
        <v>753</v>
      </c>
      <c r="F29"/>
      <c r="J29"/>
    </row>
    <row r="30" spans="1:15" x14ac:dyDescent="0.25">
      <c r="A30" s="4" t="s">
        <v>751</v>
      </c>
      <c r="B30">
        <v>99.529411764705884</v>
      </c>
      <c r="F30"/>
      <c r="J30"/>
    </row>
    <row r="31" spans="1:15" x14ac:dyDescent="0.25">
      <c r="A31" s="4" t="s">
        <v>172</v>
      </c>
      <c r="B31">
        <v>0.47058823529411598</v>
      </c>
      <c r="F31"/>
    </row>
    <row r="32" spans="1:15" x14ac:dyDescent="0.25">
      <c r="A32" s="4" t="s">
        <v>21</v>
      </c>
      <c r="B32">
        <v>100</v>
      </c>
      <c r="F32"/>
    </row>
    <row r="33" spans="2:6" x14ac:dyDescent="0.25">
      <c r="B33"/>
      <c r="F33"/>
    </row>
    <row r="34" spans="2:6" x14ac:dyDescent="0.25">
      <c r="B34"/>
      <c r="F34"/>
    </row>
    <row r="35" spans="2:6" x14ac:dyDescent="0.25">
      <c r="B35"/>
      <c r="F35"/>
    </row>
    <row r="36" spans="2:6" x14ac:dyDescent="0.25">
      <c r="B36"/>
      <c r="F36"/>
    </row>
    <row r="37" spans="2:6" x14ac:dyDescent="0.25">
      <c r="B37"/>
      <c r="F37"/>
    </row>
    <row r="38" spans="2:6" x14ac:dyDescent="0.25">
      <c r="B38"/>
      <c r="F38"/>
    </row>
    <row r="39" spans="2:6" x14ac:dyDescent="0.25">
      <c r="B39"/>
      <c r="F39"/>
    </row>
    <row r="40" spans="2:6" x14ac:dyDescent="0.25">
      <c r="B40"/>
      <c r="F40"/>
    </row>
    <row r="41" spans="2:6" x14ac:dyDescent="0.25">
      <c r="B41"/>
      <c r="F41"/>
    </row>
    <row r="42" spans="2:6" x14ac:dyDescent="0.25">
      <c r="B42"/>
      <c r="F42"/>
    </row>
    <row r="43" spans="2:6" x14ac:dyDescent="0.25">
      <c r="B43"/>
      <c r="F43"/>
    </row>
    <row r="44" spans="2:6" x14ac:dyDescent="0.25">
      <c r="B44"/>
      <c r="F44"/>
    </row>
    <row r="45" spans="2:6" x14ac:dyDescent="0.25">
      <c r="B45"/>
      <c r="F45"/>
    </row>
    <row r="46" spans="2:6" x14ac:dyDescent="0.25">
      <c r="B46"/>
      <c r="F46"/>
    </row>
    <row r="47" spans="2:6" x14ac:dyDescent="0.25">
      <c r="B47"/>
      <c r="F47"/>
    </row>
    <row r="48" spans="2:6" x14ac:dyDescent="0.25">
      <c r="B48"/>
      <c r="F48"/>
    </row>
    <row r="49" spans="2:6" x14ac:dyDescent="0.25">
      <c r="B49"/>
      <c r="F49"/>
    </row>
    <row r="50" spans="2:6" x14ac:dyDescent="0.25">
      <c r="B50"/>
      <c r="F50"/>
    </row>
    <row r="51" spans="2:6" x14ac:dyDescent="0.25">
      <c r="B51"/>
      <c r="F51"/>
    </row>
    <row r="52" spans="2:6" x14ac:dyDescent="0.25">
      <c r="B52"/>
      <c r="F52"/>
    </row>
    <row r="53" spans="2:6" x14ac:dyDescent="0.25">
      <c r="B53"/>
      <c r="F53"/>
    </row>
    <row r="54" spans="2:6" x14ac:dyDescent="0.25">
      <c r="B54"/>
      <c r="F54"/>
    </row>
    <row r="55" spans="2:6" x14ac:dyDescent="0.25">
      <c r="B55"/>
      <c r="F55"/>
    </row>
    <row r="56" spans="2:6" x14ac:dyDescent="0.25">
      <c r="B56"/>
      <c r="F56"/>
    </row>
    <row r="57" spans="2:6" x14ac:dyDescent="0.25">
      <c r="B57"/>
      <c r="F57"/>
    </row>
    <row r="58" spans="2:6" x14ac:dyDescent="0.25">
      <c r="B58"/>
      <c r="F58"/>
    </row>
    <row r="59" spans="2:6" x14ac:dyDescent="0.25">
      <c r="B59"/>
      <c r="F59"/>
    </row>
    <row r="60" spans="2:6" x14ac:dyDescent="0.25">
      <c r="B60"/>
      <c r="F60"/>
    </row>
    <row r="61" spans="2:6" x14ac:dyDescent="0.25">
      <c r="B61"/>
      <c r="F61"/>
    </row>
    <row r="62" spans="2:6" x14ac:dyDescent="0.25">
      <c r="B62"/>
      <c r="F62"/>
    </row>
    <row r="63" spans="2:6" x14ac:dyDescent="0.25">
      <c r="B63"/>
    </row>
    <row r="64" spans="2:6"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3227-C097-4DF7-8107-83184CB4C94D}">
  <dimension ref="A1:J188"/>
  <sheetViews>
    <sheetView showGridLines="0" workbookViewId="0">
      <pane ySplit="1" topLeftCell="A2" activePane="bottomLeft" state="frozen"/>
      <selection pane="bottomLeft" activeCell="L33" sqref="L33"/>
    </sheetView>
  </sheetViews>
  <sheetFormatPr defaultRowHeight="15" x14ac:dyDescent="0.25"/>
  <cols>
    <col min="1" max="1" width="19.28515625" style="443" bestFit="1" customWidth="1"/>
    <col min="2" max="2" width="6.5703125" style="443" bestFit="1" customWidth="1"/>
    <col min="3" max="3" width="7.7109375" style="443" bestFit="1" customWidth="1"/>
    <col min="4" max="4" width="8.5703125" style="443" bestFit="1" customWidth="1"/>
    <col min="5" max="5" width="7.85546875" style="443" bestFit="1" customWidth="1"/>
    <col min="6" max="6" width="52.7109375" bestFit="1" customWidth="1"/>
    <col min="7" max="7" width="5.85546875" bestFit="1" customWidth="1"/>
    <col min="8" max="8" width="6.5703125" style="444" bestFit="1" customWidth="1"/>
    <col min="9" max="9" width="5.7109375" style="443" bestFit="1" customWidth="1"/>
    <col min="10" max="10" width="9.140625" style="443"/>
    <col min="11" max="11" width="15.28515625" customWidth="1"/>
  </cols>
  <sheetData>
    <row r="1" spans="1:10" x14ac:dyDescent="0.25">
      <c r="A1" s="449" t="s">
        <v>16</v>
      </c>
      <c r="B1" s="449" t="s">
        <v>712</v>
      </c>
      <c r="C1" s="447" t="s">
        <v>725</v>
      </c>
      <c r="D1" s="449" t="s">
        <v>742</v>
      </c>
      <c r="E1" s="446" t="s">
        <v>20</v>
      </c>
      <c r="F1" s="447" t="s">
        <v>722</v>
      </c>
      <c r="G1" s="446" t="s">
        <v>744</v>
      </c>
      <c r="H1" s="446" t="s">
        <v>172</v>
      </c>
      <c r="I1"/>
      <c r="J1"/>
    </row>
    <row r="2" spans="1:10" x14ac:dyDescent="0.25">
      <c r="A2" s="445" t="s">
        <v>17</v>
      </c>
      <c r="B2" s="445">
        <v>1</v>
      </c>
      <c r="C2" s="448" t="s">
        <v>0</v>
      </c>
      <c r="D2" s="445" t="s">
        <v>726</v>
      </c>
      <c r="E2" s="445">
        <f>'SDG1'!J28</f>
        <v>100</v>
      </c>
      <c r="F2" s="448" t="s">
        <v>138</v>
      </c>
      <c r="G2" s="445">
        <f>IF(Table6[[#This Row],[SDG]]=17,Table6[[#This Row],[SCORE]]+100,Table6[[#This Row],[SCORE]])</f>
        <v>100</v>
      </c>
      <c r="H2" s="445">
        <v>100</v>
      </c>
      <c r="I2"/>
      <c r="J2"/>
    </row>
    <row r="3" spans="1:10" x14ac:dyDescent="0.25">
      <c r="A3" s="445" t="s">
        <v>17</v>
      </c>
      <c r="B3" s="445">
        <v>2</v>
      </c>
      <c r="C3" s="448" t="s">
        <v>85</v>
      </c>
      <c r="D3" s="445" t="s">
        <v>724</v>
      </c>
      <c r="E3" s="445">
        <f>'SDG2'!J15</f>
        <v>100</v>
      </c>
      <c r="F3" s="448" t="s">
        <v>139</v>
      </c>
      <c r="G3" s="445">
        <f>IF(Table6[[#This Row],[SDG]]=17,Table6[[#This Row],[SCORE]]+100,Table6[[#This Row],[SCORE]])</f>
        <v>100</v>
      </c>
      <c r="H3" s="445">
        <v>100</v>
      </c>
      <c r="I3"/>
      <c r="J3"/>
    </row>
    <row r="4" spans="1:10" x14ac:dyDescent="0.25">
      <c r="A4" s="445" t="s">
        <v>17</v>
      </c>
      <c r="B4" s="445">
        <v>3</v>
      </c>
      <c r="C4" s="448" t="s">
        <v>86</v>
      </c>
      <c r="D4" s="445" t="s">
        <v>727</v>
      </c>
      <c r="E4" s="445">
        <f>'SDG3'!J14</f>
        <v>91</v>
      </c>
      <c r="F4" s="448" t="s">
        <v>140</v>
      </c>
      <c r="G4" s="445">
        <f>IF(Table6[[#This Row],[SDG]]=17,Table6[[#This Row],[SCORE]]+100,Table6[[#This Row],[SCORE]])</f>
        <v>91</v>
      </c>
      <c r="H4" s="445">
        <v>100</v>
      </c>
      <c r="I4"/>
      <c r="J4"/>
    </row>
    <row r="5" spans="1:10" x14ac:dyDescent="0.25">
      <c r="A5" s="445" t="s">
        <v>17</v>
      </c>
      <c r="B5" s="445">
        <v>4</v>
      </c>
      <c r="C5" s="448" t="s">
        <v>87</v>
      </c>
      <c r="D5" s="445" t="s">
        <v>728</v>
      </c>
      <c r="E5" s="445">
        <f>'SDG4'!J16</f>
        <v>100</v>
      </c>
      <c r="F5" s="448" t="s">
        <v>141</v>
      </c>
      <c r="G5" s="445">
        <f>IF(Table6[[#This Row],[SDG]]=17,Table6[[#This Row],[SCORE]]+100,Table6[[#This Row],[SCORE]])</f>
        <v>100</v>
      </c>
      <c r="H5" s="445">
        <v>100</v>
      </c>
      <c r="I5"/>
      <c r="J5"/>
    </row>
    <row r="6" spans="1:10" x14ac:dyDescent="0.25">
      <c r="A6" s="445" t="s">
        <v>17</v>
      </c>
      <c r="B6" s="445">
        <v>5</v>
      </c>
      <c r="C6" s="448" t="s">
        <v>88</v>
      </c>
      <c r="D6" s="445" t="s">
        <v>729</v>
      </c>
      <c r="E6" s="445">
        <v>92</v>
      </c>
      <c r="F6" s="448" t="s">
        <v>142</v>
      </c>
      <c r="G6" s="445">
        <f>IF(Table6[[#This Row],[SDG]]=17,Table6[[#This Row],[SCORE]]+100,Table6[[#This Row],[SCORE]])</f>
        <v>92</v>
      </c>
      <c r="H6" s="445">
        <v>100</v>
      </c>
      <c r="I6"/>
      <c r="J6"/>
    </row>
    <row r="7" spans="1:10" x14ac:dyDescent="0.25">
      <c r="A7" s="445" t="s">
        <v>17</v>
      </c>
      <c r="B7" s="445">
        <v>6</v>
      </c>
      <c r="C7" s="448" t="s">
        <v>89</v>
      </c>
      <c r="D7" s="445" t="s">
        <v>730</v>
      </c>
      <c r="E7" s="445">
        <f>'SDG6'!J18</f>
        <v>100</v>
      </c>
      <c r="F7" s="448" t="s">
        <v>143</v>
      </c>
      <c r="G7" s="445">
        <f>IF(Table6[[#This Row],[SDG]]=17,Table6[[#This Row],[SCORE]]+100,Table6[[#This Row],[SCORE]])</f>
        <v>100</v>
      </c>
      <c r="H7" s="445">
        <v>100</v>
      </c>
      <c r="I7"/>
      <c r="J7"/>
    </row>
    <row r="8" spans="1:10" x14ac:dyDescent="0.25">
      <c r="A8" s="445" t="s">
        <v>17</v>
      </c>
      <c r="B8" s="445">
        <v>7</v>
      </c>
      <c r="C8" s="448" t="s">
        <v>90</v>
      </c>
      <c r="D8" s="445" t="s">
        <v>731</v>
      </c>
      <c r="E8" s="445">
        <f>'SDG7'!J20</f>
        <v>100</v>
      </c>
      <c r="F8" s="448" t="s">
        <v>144</v>
      </c>
      <c r="G8" s="445">
        <f>IF(Table6[[#This Row],[SDG]]=17,Table6[[#This Row],[SCORE]]+100,Table6[[#This Row],[SCORE]])</f>
        <v>100</v>
      </c>
      <c r="H8" s="445">
        <v>100</v>
      </c>
      <c r="I8"/>
      <c r="J8"/>
    </row>
    <row r="9" spans="1:10" x14ac:dyDescent="0.25">
      <c r="A9" s="445" t="s">
        <v>17</v>
      </c>
      <c r="B9" s="445">
        <v>8</v>
      </c>
      <c r="C9" s="448" t="s">
        <v>91</v>
      </c>
      <c r="D9" s="445" t="s">
        <v>732</v>
      </c>
      <c r="E9" s="445">
        <f>'SDG8'!J15</f>
        <v>100</v>
      </c>
      <c r="F9" s="448" t="s">
        <v>145</v>
      </c>
      <c r="G9" s="445">
        <f>IF(Table6[[#This Row],[SDG]]=17,Table6[[#This Row],[SCORE]]+100,Table6[[#This Row],[SCORE]])</f>
        <v>100</v>
      </c>
      <c r="H9" s="445">
        <v>100</v>
      </c>
      <c r="I9"/>
      <c r="J9"/>
    </row>
    <row r="10" spans="1:10" x14ac:dyDescent="0.25">
      <c r="A10" s="445" t="s">
        <v>17</v>
      </c>
      <c r="B10" s="445">
        <v>9</v>
      </c>
      <c r="C10" s="448" t="s">
        <v>129</v>
      </c>
      <c r="D10" s="445" t="s">
        <v>733</v>
      </c>
      <c r="E10" s="445">
        <f>'SDG9'!J7</f>
        <v>100</v>
      </c>
      <c r="F10" s="448" t="s">
        <v>146</v>
      </c>
      <c r="G10" s="445">
        <f>IF(Table6[[#This Row],[SDG]]=17,Table6[[#This Row],[SCORE]]+100,Table6[[#This Row],[SCORE]])</f>
        <v>100</v>
      </c>
      <c r="H10" s="445">
        <v>100</v>
      </c>
      <c r="I10"/>
      <c r="J10"/>
    </row>
    <row r="11" spans="1:10" x14ac:dyDescent="0.25">
      <c r="A11" s="445" t="s">
        <v>17</v>
      </c>
      <c r="B11" s="445">
        <v>10</v>
      </c>
      <c r="C11" s="448" t="s">
        <v>130</v>
      </c>
      <c r="D11" s="445" t="s">
        <v>734</v>
      </c>
      <c r="E11" s="445">
        <f>'SDG10'!J16</f>
        <v>100</v>
      </c>
      <c r="F11" s="448" t="s">
        <v>147</v>
      </c>
      <c r="G11" s="445">
        <f>IF(Table6[[#This Row],[SDG]]=17,Table6[[#This Row],[SCORE]]+100,Table6[[#This Row],[SCORE]])</f>
        <v>100</v>
      </c>
      <c r="H11" s="445">
        <v>100</v>
      </c>
      <c r="I11"/>
      <c r="J11"/>
    </row>
    <row r="12" spans="1:10" x14ac:dyDescent="0.25">
      <c r="A12" s="445" t="s">
        <v>17</v>
      </c>
      <c r="B12" s="445">
        <v>11</v>
      </c>
      <c r="C12" s="448" t="s">
        <v>131</v>
      </c>
      <c r="D12" s="445" t="s">
        <v>735</v>
      </c>
      <c r="E12" s="445">
        <f>'SDG11'!J28</f>
        <v>100</v>
      </c>
      <c r="F12" s="448" t="s">
        <v>148</v>
      </c>
      <c r="G12" s="445">
        <f>IF(Table6[[#This Row],[SDG]]=17,Table6[[#This Row],[SCORE]]+100,Table6[[#This Row],[SCORE]])</f>
        <v>100</v>
      </c>
      <c r="H12" s="445">
        <v>100</v>
      </c>
      <c r="I12"/>
      <c r="J12"/>
    </row>
    <row r="13" spans="1:10" x14ac:dyDescent="0.25">
      <c r="A13" s="445" t="s">
        <v>17</v>
      </c>
      <c r="B13" s="445">
        <v>12</v>
      </c>
      <c r="C13" s="448" t="s">
        <v>132</v>
      </c>
      <c r="D13" s="445" t="s">
        <v>736</v>
      </c>
      <c r="E13" s="445">
        <f>'SDG12'!J21</f>
        <v>100</v>
      </c>
      <c r="F13" s="448" t="s">
        <v>149</v>
      </c>
      <c r="G13" s="445">
        <f>IF(Table6[[#This Row],[SDG]]=17,Table6[[#This Row],[SCORE]]+100,Table6[[#This Row],[SCORE]])</f>
        <v>100</v>
      </c>
      <c r="H13" s="445">
        <v>100</v>
      </c>
      <c r="I13"/>
      <c r="J13"/>
    </row>
    <row r="14" spans="1:10" x14ac:dyDescent="0.25">
      <c r="A14" s="445" t="s">
        <v>17</v>
      </c>
      <c r="B14" s="445">
        <v>13</v>
      </c>
      <c r="C14" s="448" t="s">
        <v>133</v>
      </c>
      <c r="D14" s="445" t="s">
        <v>737</v>
      </c>
      <c r="E14" s="445">
        <f>'SDG13'!J18</f>
        <v>100</v>
      </c>
      <c r="F14" s="448" t="s">
        <v>150</v>
      </c>
      <c r="G14" s="445">
        <f>IF(Table6[[#This Row],[SDG]]=17,Table6[[#This Row],[SCORE]]+100,Table6[[#This Row],[SCORE]])</f>
        <v>100</v>
      </c>
      <c r="H14" s="445">
        <v>100</v>
      </c>
      <c r="I14"/>
      <c r="J14"/>
    </row>
    <row r="15" spans="1:10" x14ac:dyDescent="0.25">
      <c r="A15" s="445" t="s">
        <v>17</v>
      </c>
      <c r="B15" s="445">
        <v>14</v>
      </c>
      <c r="C15" s="448" t="s">
        <v>134</v>
      </c>
      <c r="D15" s="445" t="s">
        <v>738</v>
      </c>
      <c r="E15" s="445">
        <f>'SDG14'!J25</f>
        <v>100</v>
      </c>
      <c r="F15" s="448" t="s">
        <v>151</v>
      </c>
      <c r="G15" s="445">
        <f>IF(Table6[[#This Row],[SDG]]=17,Table6[[#This Row],[SCORE]]+100,Table6[[#This Row],[SCORE]])</f>
        <v>100</v>
      </c>
      <c r="H15" s="445">
        <v>100</v>
      </c>
      <c r="I15"/>
      <c r="J15"/>
    </row>
    <row r="16" spans="1:10" x14ac:dyDescent="0.25">
      <c r="A16" s="445" t="s">
        <v>17</v>
      </c>
      <c r="B16" s="445">
        <v>15</v>
      </c>
      <c r="C16" s="448" t="s">
        <v>135</v>
      </c>
      <c r="D16" s="445" t="s">
        <v>739</v>
      </c>
      <c r="E16" s="445">
        <f>'SDG15'!J11</f>
        <v>100</v>
      </c>
      <c r="F16" s="448" t="s">
        <v>152</v>
      </c>
      <c r="G16" s="445">
        <f>IF(Table6[[#This Row],[SDG]]=17,Table6[[#This Row],[SCORE]]+100,Table6[[#This Row],[SCORE]])</f>
        <v>100</v>
      </c>
      <c r="H16" s="445">
        <v>100</v>
      </c>
      <c r="I16"/>
      <c r="J16"/>
    </row>
    <row r="17" spans="1:10" x14ac:dyDescent="0.25">
      <c r="A17" s="445" t="s">
        <v>17</v>
      </c>
      <c r="B17" s="445">
        <v>16</v>
      </c>
      <c r="C17" s="448" t="s">
        <v>136</v>
      </c>
      <c r="D17" s="445" t="s">
        <v>740</v>
      </c>
      <c r="E17" s="445">
        <f>'SDG16'!J21</f>
        <v>100</v>
      </c>
      <c r="F17" s="448" t="s">
        <v>153</v>
      </c>
      <c r="G17" s="445">
        <f>IF(Table6[[#This Row],[SDG]]=17,Table6[[#This Row],[SCORE]]+100,Table6[[#This Row],[SCORE]])</f>
        <v>100</v>
      </c>
      <c r="H17" s="445">
        <v>100</v>
      </c>
      <c r="I17"/>
      <c r="J17"/>
    </row>
    <row r="18" spans="1:10" x14ac:dyDescent="0.25">
      <c r="A18" s="445" t="s">
        <v>17</v>
      </c>
      <c r="B18" s="445">
        <v>17</v>
      </c>
      <c r="C18" s="448" t="s">
        <v>137</v>
      </c>
      <c r="D18" s="445" t="s">
        <v>741</v>
      </c>
      <c r="E18" s="445">
        <f>'SDG17'!J17</f>
        <v>100</v>
      </c>
      <c r="F18" s="448" t="s">
        <v>154</v>
      </c>
      <c r="G18" s="445">
        <f>IF(Table6[[#This Row],[SDG]]=17,Table6[[#This Row],[SCORE]]+100,Table6[[#This Row],[SCORE]])</f>
        <v>200</v>
      </c>
      <c r="H18" s="445">
        <v>100</v>
      </c>
      <c r="I18"/>
      <c r="J18"/>
    </row>
    <row r="19" spans="1:10" x14ac:dyDescent="0.25">
      <c r="A19" s="445" t="s">
        <v>713</v>
      </c>
      <c r="B19" s="445">
        <v>1</v>
      </c>
      <c r="C19" s="448" t="s">
        <v>0</v>
      </c>
      <c r="D19" s="445" t="s">
        <v>726</v>
      </c>
      <c r="E19" s="445">
        <v>95</v>
      </c>
      <c r="F19" s="448" t="s">
        <v>138</v>
      </c>
      <c r="G19" s="445">
        <f>IF(Table6[[#This Row],[SDG]]=17,Table6[[#This Row],[SCORE]]+100,Table6[[#This Row],[SCORE]])</f>
        <v>95</v>
      </c>
      <c r="H19" s="445">
        <v>100</v>
      </c>
      <c r="I19"/>
      <c r="J19"/>
    </row>
    <row r="20" spans="1:10" x14ac:dyDescent="0.25">
      <c r="A20" s="445" t="s">
        <v>713</v>
      </c>
      <c r="B20" s="445">
        <v>2</v>
      </c>
      <c r="C20" s="448" t="s">
        <v>85</v>
      </c>
      <c r="D20" s="445" t="s">
        <v>724</v>
      </c>
      <c r="E20" s="445">
        <v>65</v>
      </c>
      <c r="F20" s="448" t="s">
        <v>139</v>
      </c>
      <c r="G20" s="445">
        <f>IF(Table6[[#This Row],[SDG]]=17,Table6[[#This Row],[SCORE]]+100,Table6[[#This Row],[SCORE]])</f>
        <v>65</v>
      </c>
      <c r="H20" s="445">
        <v>100</v>
      </c>
      <c r="I20"/>
      <c r="J20"/>
    </row>
    <row r="21" spans="1:10" x14ac:dyDescent="0.25">
      <c r="A21" s="445" t="s">
        <v>713</v>
      </c>
      <c r="B21" s="445">
        <v>3</v>
      </c>
      <c r="C21" s="448" t="s">
        <v>86</v>
      </c>
      <c r="D21" s="445" t="s">
        <v>727</v>
      </c>
      <c r="E21" s="445">
        <v>71</v>
      </c>
      <c r="F21" s="448" t="s">
        <v>140</v>
      </c>
      <c r="G21" s="445">
        <f>IF(Table6[[#This Row],[SDG]]=17,Table6[[#This Row],[SCORE]]+100,Table6[[#This Row],[SCORE]])</f>
        <v>71</v>
      </c>
      <c r="H21" s="445">
        <v>100</v>
      </c>
      <c r="I21"/>
      <c r="J21"/>
    </row>
    <row r="22" spans="1:10" x14ac:dyDescent="0.25">
      <c r="A22" s="445" t="s">
        <v>713</v>
      </c>
      <c r="B22" s="445">
        <v>4</v>
      </c>
      <c r="C22" s="448" t="s">
        <v>87</v>
      </c>
      <c r="D22" s="445" t="s">
        <v>728</v>
      </c>
      <c r="E22" s="445">
        <v>50</v>
      </c>
      <c r="F22" s="448" t="s">
        <v>141</v>
      </c>
      <c r="G22" s="445">
        <f>IF(Table6[[#This Row],[SDG]]=17,Table6[[#This Row],[SCORE]]+100,Table6[[#This Row],[SCORE]])</f>
        <v>50</v>
      </c>
      <c r="H22" s="445">
        <v>100</v>
      </c>
      <c r="I22"/>
      <c r="J22"/>
    </row>
    <row r="23" spans="1:10" x14ac:dyDescent="0.25">
      <c r="A23" s="445" t="s">
        <v>713</v>
      </c>
      <c r="B23" s="445">
        <v>5</v>
      </c>
      <c r="C23" s="448" t="s">
        <v>88</v>
      </c>
      <c r="D23" s="445" t="s">
        <v>729</v>
      </c>
      <c r="E23" s="445">
        <v>84</v>
      </c>
      <c r="F23" s="448" t="s">
        <v>142</v>
      </c>
      <c r="G23" s="445">
        <f>IF(Table6[[#This Row],[SDG]]=17,Table6[[#This Row],[SCORE]]+100,Table6[[#This Row],[SCORE]])</f>
        <v>84</v>
      </c>
      <c r="H23" s="445">
        <v>100</v>
      </c>
      <c r="I23"/>
      <c r="J23"/>
    </row>
    <row r="24" spans="1:10" x14ac:dyDescent="0.25">
      <c r="A24" s="445" t="s">
        <v>713</v>
      </c>
      <c r="B24" s="445">
        <v>6</v>
      </c>
      <c r="C24" s="448" t="s">
        <v>89</v>
      </c>
      <c r="D24" s="445" t="s">
        <v>730</v>
      </c>
      <c r="E24" s="445">
        <v>15</v>
      </c>
      <c r="F24" s="448" t="s">
        <v>143</v>
      </c>
      <c r="G24" s="445">
        <f>IF(Table6[[#This Row],[SDG]]=17,Table6[[#This Row],[SCORE]]+100,Table6[[#This Row],[SCORE]])</f>
        <v>15</v>
      </c>
      <c r="H24" s="445">
        <v>100</v>
      </c>
      <c r="I24"/>
      <c r="J24"/>
    </row>
    <row r="25" spans="1:10" x14ac:dyDescent="0.25">
      <c r="A25" s="445" t="s">
        <v>713</v>
      </c>
      <c r="B25" s="445">
        <v>7</v>
      </c>
      <c r="C25" s="448" t="s">
        <v>90</v>
      </c>
      <c r="D25" s="445" t="s">
        <v>731</v>
      </c>
      <c r="E25" s="445">
        <v>86</v>
      </c>
      <c r="F25" s="448" t="s">
        <v>144</v>
      </c>
      <c r="G25" s="445">
        <f>IF(Table6[[#This Row],[SDG]]=17,Table6[[#This Row],[SCORE]]+100,Table6[[#This Row],[SCORE]])</f>
        <v>86</v>
      </c>
      <c r="H25" s="445">
        <v>100</v>
      </c>
      <c r="I25"/>
      <c r="J25"/>
    </row>
    <row r="26" spans="1:10" x14ac:dyDescent="0.25">
      <c r="A26" s="445" t="s">
        <v>713</v>
      </c>
      <c r="B26" s="445">
        <v>8</v>
      </c>
      <c r="C26" s="448" t="s">
        <v>91</v>
      </c>
      <c r="D26" s="445" t="s">
        <v>732</v>
      </c>
      <c r="E26" s="445">
        <v>87</v>
      </c>
      <c r="F26" s="448" t="s">
        <v>145</v>
      </c>
      <c r="G26" s="445">
        <f>IF(Table6[[#This Row],[SDG]]=17,Table6[[#This Row],[SCORE]]+100,Table6[[#This Row],[SCORE]])</f>
        <v>87</v>
      </c>
      <c r="H26" s="445">
        <v>100</v>
      </c>
      <c r="I26"/>
      <c r="J26"/>
    </row>
    <row r="27" spans="1:10" x14ac:dyDescent="0.25">
      <c r="A27" s="445" t="s">
        <v>713</v>
      </c>
      <c r="B27" s="445">
        <v>9</v>
      </c>
      <c r="C27" s="448" t="s">
        <v>129</v>
      </c>
      <c r="D27" s="445" t="s">
        <v>733</v>
      </c>
      <c r="E27" s="445">
        <v>96</v>
      </c>
      <c r="F27" s="448" t="s">
        <v>146</v>
      </c>
      <c r="G27" s="445">
        <f>IF(Table6[[#This Row],[SDG]]=17,Table6[[#This Row],[SCORE]]+100,Table6[[#This Row],[SCORE]])</f>
        <v>96</v>
      </c>
      <c r="H27" s="445">
        <v>100</v>
      </c>
      <c r="I27"/>
      <c r="J27"/>
    </row>
    <row r="28" spans="1:10" x14ac:dyDescent="0.25">
      <c r="A28" s="445" t="s">
        <v>713</v>
      </c>
      <c r="B28" s="445">
        <v>10</v>
      </c>
      <c r="C28" s="448" t="s">
        <v>130</v>
      </c>
      <c r="D28" s="445" t="s">
        <v>734</v>
      </c>
      <c r="E28" s="445">
        <v>90</v>
      </c>
      <c r="F28" s="448" t="s">
        <v>147</v>
      </c>
      <c r="G28" s="445">
        <f>IF(Table6[[#This Row],[SDG]]=17,Table6[[#This Row],[SCORE]]+100,Table6[[#This Row],[SCORE]])</f>
        <v>90</v>
      </c>
      <c r="H28" s="445">
        <v>100</v>
      </c>
      <c r="I28"/>
      <c r="J28"/>
    </row>
    <row r="29" spans="1:10" x14ac:dyDescent="0.25">
      <c r="A29" s="445" t="s">
        <v>713</v>
      </c>
      <c r="B29" s="445">
        <v>11</v>
      </c>
      <c r="C29" s="448" t="s">
        <v>131</v>
      </c>
      <c r="D29" s="445" t="s">
        <v>735</v>
      </c>
      <c r="E29" s="445">
        <v>100</v>
      </c>
      <c r="F29" s="448" t="s">
        <v>148</v>
      </c>
      <c r="G29" s="445">
        <f>IF(Table6[[#This Row],[SDG]]=17,Table6[[#This Row],[SCORE]]+100,Table6[[#This Row],[SCORE]])</f>
        <v>100</v>
      </c>
      <c r="H29" s="445">
        <v>100</v>
      </c>
      <c r="I29"/>
      <c r="J29"/>
    </row>
    <row r="30" spans="1:10" x14ac:dyDescent="0.25">
      <c r="A30" s="445" t="s">
        <v>713</v>
      </c>
      <c r="B30" s="445">
        <v>12</v>
      </c>
      <c r="C30" s="448" t="s">
        <v>132</v>
      </c>
      <c r="D30" s="445" t="s">
        <v>736</v>
      </c>
      <c r="E30" s="445">
        <v>71</v>
      </c>
      <c r="F30" s="448" t="s">
        <v>149</v>
      </c>
      <c r="G30" s="445">
        <f>IF(Table6[[#This Row],[SDG]]=17,Table6[[#This Row],[SCORE]]+100,Table6[[#This Row],[SCORE]])</f>
        <v>71</v>
      </c>
      <c r="H30" s="445">
        <v>100</v>
      </c>
      <c r="I30"/>
      <c r="J30"/>
    </row>
    <row r="31" spans="1:10" x14ac:dyDescent="0.25">
      <c r="A31" s="445" t="s">
        <v>713</v>
      </c>
      <c r="B31" s="445">
        <v>13</v>
      </c>
      <c r="C31" s="448" t="s">
        <v>133</v>
      </c>
      <c r="D31" s="445" t="s">
        <v>737</v>
      </c>
      <c r="E31" s="445">
        <v>100</v>
      </c>
      <c r="F31" s="448" t="s">
        <v>150</v>
      </c>
      <c r="G31" s="445">
        <f>IF(Table6[[#This Row],[SDG]]=17,Table6[[#This Row],[SCORE]]+100,Table6[[#This Row],[SCORE]])</f>
        <v>100</v>
      </c>
      <c r="H31" s="445">
        <v>100</v>
      </c>
      <c r="I31"/>
      <c r="J31"/>
    </row>
    <row r="32" spans="1:10" x14ac:dyDescent="0.25">
      <c r="A32" s="445" t="s">
        <v>713</v>
      </c>
      <c r="B32" s="445">
        <v>14</v>
      </c>
      <c r="C32" s="448" t="s">
        <v>134</v>
      </c>
      <c r="D32" s="445" t="s">
        <v>738</v>
      </c>
      <c r="E32" s="445">
        <v>100</v>
      </c>
      <c r="F32" s="448" t="s">
        <v>151</v>
      </c>
      <c r="G32" s="445">
        <f>IF(Table6[[#This Row],[SDG]]=17,Table6[[#This Row],[SCORE]]+100,Table6[[#This Row],[SCORE]])</f>
        <v>100</v>
      </c>
      <c r="H32" s="445">
        <v>100</v>
      </c>
      <c r="I32"/>
      <c r="J32"/>
    </row>
    <row r="33" spans="1:10" x14ac:dyDescent="0.25">
      <c r="A33" s="445" t="s">
        <v>713</v>
      </c>
      <c r="B33" s="445">
        <v>15</v>
      </c>
      <c r="C33" s="448" t="s">
        <v>135</v>
      </c>
      <c r="D33" s="445" t="s">
        <v>739</v>
      </c>
      <c r="E33" s="445">
        <v>71</v>
      </c>
      <c r="F33" s="448" t="s">
        <v>152</v>
      </c>
      <c r="G33" s="445">
        <f>IF(Table6[[#This Row],[SDG]]=17,Table6[[#This Row],[SCORE]]+100,Table6[[#This Row],[SCORE]])</f>
        <v>71</v>
      </c>
      <c r="H33" s="445">
        <v>100</v>
      </c>
      <c r="I33"/>
      <c r="J33"/>
    </row>
    <row r="34" spans="1:10" x14ac:dyDescent="0.25">
      <c r="A34" s="445" t="s">
        <v>713</v>
      </c>
      <c r="B34" s="445">
        <v>16</v>
      </c>
      <c r="C34" s="448" t="s">
        <v>136</v>
      </c>
      <c r="D34" s="445" t="s">
        <v>740</v>
      </c>
      <c r="E34" s="445">
        <v>50</v>
      </c>
      <c r="F34" s="448" t="s">
        <v>153</v>
      </c>
      <c r="G34" s="445">
        <f>IF(Table6[[#This Row],[SDG]]=17,Table6[[#This Row],[SCORE]]+100,Table6[[#This Row],[SCORE]])</f>
        <v>50</v>
      </c>
      <c r="H34" s="445">
        <v>100</v>
      </c>
      <c r="I34"/>
      <c r="J34"/>
    </row>
    <row r="35" spans="1:10" x14ac:dyDescent="0.25">
      <c r="A35" s="445" t="s">
        <v>713</v>
      </c>
      <c r="B35" s="445">
        <v>17</v>
      </c>
      <c r="C35" s="448" t="s">
        <v>137</v>
      </c>
      <c r="D35" s="445" t="s">
        <v>741</v>
      </c>
      <c r="E35" s="445">
        <v>89</v>
      </c>
      <c r="F35" s="448" t="s">
        <v>154</v>
      </c>
      <c r="G35" s="445">
        <f>IF(Table6[[#This Row],[SDG]]=17,Table6[[#This Row],[SCORE]]+100,Table6[[#This Row],[SCORE]])</f>
        <v>189</v>
      </c>
      <c r="H35" s="445">
        <v>100</v>
      </c>
      <c r="I35"/>
      <c r="J35"/>
    </row>
    <row r="36" spans="1:10" x14ac:dyDescent="0.25">
      <c r="A36" s="445" t="s">
        <v>714</v>
      </c>
      <c r="B36" s="445">
        <v>1</v>
      </c>
      <c r="C36" s="448" t="s">
        <v>0</v>
      </c>
      <c r="D36" s="445" t="s">
        <v>726</v>
      </c>
      <c r="E36" s="445">
        <v>90</v>
      </c>
      <c r="F36" s="448" t="s">
        <v>138</v>
      </c>
      <c r="G36" s="445">
        <f>IF(Table6[[#This Row],[SDG]]=17,Table6[[#This Row],[SCORE]]+100,Table6[[#This Row],[SCORE]])</f>
        <v>90</v>
      </c>
      <c r="H36" s="445">
        <v>100</v>
      </c>
      <c r="I36"/>
      <c r="J36"/>
    </row>
    <row r="37" spans="1:10" x14ac:dyDescent="0.25">
      <c r="A37" s="445" t="s">
        <v>714</v>
      </c>
      <c r="B37" s="445">
        <v>2</v>
      </c>
      <c r="C37" s="448" t="s">
        <v>85</v>
      </c>
      <c r="D37" s="445" t="s">
        <v>724</v>
      </c>
      <c r="E37" s="445">
        <v>56</v>
      </c>
      <c r="F37" s="448" t="s">
        <v>139</v>
      </c>
      <c r="G37" s="445">
        <f>IF(Table6[[#This Row],[SDG]]=17,Table6[[#This Row],[SCORE]]+100,Table6[[#This Row],[SCORE]])</f>
        <v>56</v>
      </c>
      <c r="H37" s="445">
        <v>100</v>
      </c>
      <c r="I37"/>
      <c r="J37"/>
    </row>
    <row r="38" spans="1:10" x14ac:dyDescent="0.25">
      <c r="A38" s="445" t="s">
        <v>714</v>
      </c>
      <c r="B38" s="445">
        <v>3</v>
      </c>
      <c r="C38" s="448" t="s">
        <v>86</v>
      </c>
      <c r="D38" s="445" t="s">
        <v>727</v>
      </c>
      <c r="E38" s="445">
        <v>80</v>
      </c>
      <c r="F38" s="448" t="s">
        <v>140</v>
      </c>
      <c r="G38" s="445">
        <f>IF(Table6[[#This Row],[SDG]]=17,Table6[[#This Row],[SCORE]]+100,Table6[[#This Row],[SCORE]])</f>
        <v>80</v>
      </c>
      <c r="H38" s="445">
        <v>100</v>
      </c>
      <c r="I38"/>
      <c r="J38"/>
    </row>
    <row r="39" spans="1:10" x14ac:dyDescent="0.25">
      <c r="A39" s="445" t="s">
        <v>714</v>
      </c>
      <c r="B39" s="445">
        <v>4</v>
      </c>
      <c r="C39" s="448" t="s">
        <v>87</v>
      </c>
      <c r="D39" s="445" t="s">
        <v>728</v>
      </c>
      <c r="E39" s="445">
        <v>55</v>
      </c>
      <c r="F39" s="448" t="s">
        <v>141</v>
      </c>
      <c r="G39" s="445">
        <f>IF(Table6[[#This Row],[SDG]]=17,Table6[[#This Row],[SCORE]]+100,Table6[[#This Row],[SCORE]])</f>
        <v>55</v>
      </c>
      <c r="H39" s="445">
        <v>100</v>
      </c>
      <c r="I39"/>
      <c r="J39"/>
    </row>
    <row r="40" spans="1:10" x14ac:dyDescent="0.25">
      <c r="A40" s="445" t="s">
        <v>714</v>
      </c>
      <c r="B40" s="445">
        <v>5</v>
      </c>
      <c r="C40" s="448" t="s">
        <v>88</v>
      </c>
      <c r="D40" s="445" t="s">
        <v>729</v>
      </c>
      <c r="E40" s="445">
        <v>98</v>
      </c>
      <c r="F40" s="448" t="s">
        <v>142</v>
      </c>
      <c r="G40" s="445">
        <f>IF(Table6[[#This Row],[SDG]]=17,Table6[[#This Row],[SCORE]]+100,Table6[[#This Row],[SCORE]])</f>
        <v>98</v>
      </c>
      <c r="H40" s="445">
        <v>100</v>
      </c>
      <c r="I40"/>
      <c r="J40"/>
    </row>
    <row r="41" spans="1:10" x14ac:dyDescent="0.25">
      <c r="A41" s="445" t="s">
        <v>714</v>
      </c>
      <c r="B41" s="445">
        <v>6</v>
      </c>
      <c r="C41" s="448" t="s">
        <v>89</v>
      </c>
      <c r="D41" s="445" t="s">
        <v>730</v>
      </c>
      <c r="E41" s="445">
        <v>33</v>
      </c>
      <c r="F41" s="448" t="s">
        <v>143</v>
      </c>
      <c r="G41" s="445">
        <f>IF(Table6[[#This Row],[SDG]]=17,Table6[[#This Row],[SCORE]]+100,Table6[[#This Row],[SCORE]])</f>
        <v>33</v>
      </c>
      <c r="H41" s="445">
        <v>100</v>
      </c>
      <c r="I41"/>
      <c r="J41"/>
    </row>
    <row r="42" spans="1:10" x14ac:dyDescent="0.25">
      <c r="A42" s="445" t="s">
        <v>714</v>
      </c>
      <c r="B42" s="445">
        <v>7</v>
      </c>
      <c r="C42" s="448" t="s">
        <v>90</v>
      </c>
      <c r="D42" s="445" t="s">
        <v>731</v>
      </c>
      <c r="E42" s="445">
        <v>56</v>
      </c>
      <c r="F42" s="448" t="s">
        <v>144</v>
      </c>
      <c r="G42" s="445">
        <f>IF(Table6[[#This Row],[SDG]]=17,Table6[[#This Row],[SCORE]]+100,Table6[[#This Row],[SCORE]])</f>
        <v>56</v>
      </c>
      <c r="H42" s="445">
        <v>100</v>
      </c>
      <c r="I42"/>
      <c r="J42"/>
    </row>
    <row r="43" spans="1:10" x14ac:dyDescent="0.25">
      <c r="A43" s="445" t="s">
        <v>714</v>
      </c>
      <c r="B43" s="445">
        <v>8</v>
      </c>
      <c r="C43" s="448" t="s">
        <v>91</v>
      </c>
      <c r="D43" s="445" t="s">
        <v>732</v>
      </c>
      <c r="E43" s="445">
        <v>80</v>
      </c>
      <c r="F43" s="448" t="s">
        <v>145</v>
      </c>
      <c r="G43" s="445">
        <f>IF(Table6[[#This Row],[SDG]]=17,Table6[[#This Row],[SCORE]]+100,Table6[[#This Row],[SCORE]])</f>
        <v>80</v>
      </c>
      <c r="H43" s="445">
        <v>100</v>
      </c>
      <c r="I43"/>
      <c r="J43"/>
    </row>
    <row r="44" spans="1:10" x14ac:dyDescent="0.25">
      <c r="A44" s="445" t="s">
        <v>714</v>
      </c>
      <c r="B44" s="445">
        <v>9</v>
      </c>
      <c r="C44" s="448" t="s">
        <v>129</v>
      </c>
      <c r="D44" s="445" t="s">
        <v>733</v>
      </c>
      <c r="E44" s="445">
        <v>56</v>
      </c>
      <c r="F44" s="448" t="s">
        <v>146</v>
      </c>
      <c r="G44" s="445">
        <f>IF(Table6[[#This Row],[SDG]]=17,Table6[[#This Row],[SCORE]]+100,Table6[[#This Row],[SCORE]])</f>
        <v>56</v>
      </c>
      <c r="H44" s="445">
        <v>100</v>
      </c>
      <c r="I44"/>
      <c r="J44"/>
    </row>
    <row r="45" spans="1:10" x14ac:dyDescent="0.25">
      <c r="A45" s="445" t="s">
        <v>714</v>
      </c>
      <c r="B45" s="445">
        <v>10</v>
      </c>
      <c r="C45" s="448" t="s">
        <v>130</v>
      </c>
      <c r="D45" s="445" t="s">
        <v>734</v>
      </c>
      <c r="E45" s="445">
        <v>87</v>
      </c>
      <c r="F45" s="448" t="s">
        <v>147</v>
      </c>
      <c r="G45" s="445">
        <f>IF(Table6[[#This Row],[SDG]]=17,Table6[[#This Row],[SCORE]]+100,Table6[[#This Row],[SCORE]])</f>
        <v>87</v>
      </c>
      <c r="H45" s="445">
        <v>100</v>
      </c>
      <c r="I45"/>
      <c r="J45"/>
    </row>
    <row r="46" spans="1:10" x14ac:dyDescent="0.25">
      <c r="A46" s="445" t="s">
        <v>714</v>
      </c>
      <c r="B46" s="445">
        <v>11</v>
      </c>
      <c r="C46" s="448" t="s">
        <v>131</v>
      </c>
      <c r="D46" s="445" t="s">
        <v>735</v>
      </c>
      <c r="E46" s="445">
        <v>56</v>
      </c>
      <c r="F46" s="448" t="s">
        <v>148</v>
      </c>
      <c r="G46" s="445">
        <f>IF(Table6[[#This Row],[SDG]]=17,Table6[[#This Row],[SCORE]]+100,Table6[[#This Row],[SCORE]])</f>
        <v>56</v>
      </c>
      <c r="H46" s="445">
        <v>100</v>
      </c>
      <c r="I46"/>
      <c r="J46"/>
    </row>
    <row r="47" spans="1:10" x14ac:dyDescent="0.25">
      <c r="A47" s="445" t="s">
        <v>714</v>
      </c>
      <c r="B47" s="445">
        <v>12</v>
      </c>
      <c r="C47" s="448" t="s">
        <v>132</v>
      </c>
      <c r="D47" s="445" t="s">
        <v>736</v>
      </c>
      <c r="E47" s="445">
        <v>33</v>
      </c>
      <c r="F47" s="448" t="s">
        <v>149</v>
      </c>
      <c r="G47" s="445">
        <f>IF(Table6[[#This Row],[SDG]]=17,Table6[[#This Row],[SCORE]]+100,Table6[[#This Row],[SCORE]])</f>
        <v>33</v>
      </c>
      <c r="H47" s="445">
        <v>100</v>
      </c>
      <c r="I47"/>
      <c r="J47"/>
    </row>
    <row r="48" spans="1:10" x14ac:dyDescent="0.25">
      <c r="A48" s="445" t="s">
        <v>714</v>
      </c>
      <c r="B48" s="445">
        <v>13</v>
      </c>
      <c r="C48" s="448" t="s">
        <v>133</v>
      </c>
      <c r="D48" s="445" t="s">
        <v>737</v>
      </c>
      <c r="E48" s="445">
        <v>56</v>
      </c>
      <c r="F48" s="448" t="s">
        <v>150</v>
      </c>
      <c r="G48" s="445">
        <f>IF(Table6[[#This Row],[SDG]]=17,Table6[[#This Row],[SCORE]]+100,Table6[[#This Row],[SCORE]])</f>
        <v>56</v>
      </c>
      <c r="H48" s="445">
        <v>100</v>
      </c>
      <c r="I48"/>
      <c r="J48"/>
    </row>
    <row r="49" spans="1:10" x14ac:dyDescent="0.25">
      <c r="A49" s="445" t="s">
        <v>714</v>
      </c>
      <c r="B49" s="445">
        <v>14</v>
      </c>
      <c r="C49" s="448" t="s">
        <v>134</v>
      </c>
      <c r="D49" s="445" t="s">
        <v>738</v>
      </c>
      <c r="E49" s="445">
        <v>90</v>
      </c>
      <c r="F49" s="448" t="s">
        <v>151</v>
      </c>
      <c r="G49" s="445">
        <f>IF(Table6[[#This Row],[SDG]]=17,Table6[[#This Row],[SCORE]]+100,Table6[[#This Row],[SCORE]])</f>
        <v>90</v>
      </c>
      <c r="H49" s="445">
        <v>100</v>
      </c>
      <c r="I49"/>
      <c r="J49"/>
    </row>
    <row r="50" spans="1:10" x14ac:dyDescent="0.25">
      <c r="A50" s="445" t="s">
        <v>714</v>
      </c>
      <c r="B50" s="445">
        <v>15</v>
      </c>
      <c r="C50" s="448" t="s">
        <v>135</v>
      </c>
      <c r="D50" s="445" t="s">
        <v>739</v>
      </c>
      <c r="E50" s="445">
        <v>80</v>
      </c>
      <c r="F50" s="448" t="s">
        <v>152</v>
      </c>
      <c r="G50" s="445">
        <f>IF(Table6[[#This Row],[SDG]]=17,Table6[[#This Row],[SCORE]]+100,Table6[[#This Row],[SCORE]])</f>
        <v>80</v>
      </c>
      <c r="H50" s="445">
        <v>100</v>
      </c>
      <c r="I50"/>
      <c r="J50"/>
    </row>
    <row r="51" spans="1:10" x14ac:dyDescent="0.25">
      <c r="A51" s="445" t="s">
        <v>714</v>
      </c>
      <c r="B51" s="445">
        <v>16</v>
      </c>
      <c r="C51" s="448" t="s">
        <v>136</v>
      </c>
      <c r="D51" s="445" t="s">
        <v>740</v>
      </c>
      <c r="E51" s="445">
        <v>55</v>
      </c>
      <c r="F51" s="448" t="s">
        <v>153</v>
      </c>
      <c r="G51" s="445">
        <f>IF(Table6[[#This Row],[SDG]]=17,Table6[[#This Row],[SCORE]]+100,Table6[[#This Row],[SCORE]])</f>
        <v>55</v>
      </c>
      <c r="H51" s="445">
        <v>100</v>
      </c>
      <c r="I51"/>
      <c r="J51"/>
    </row>
    <row r="52" spans="1:10" x14ac:dyDescent="0.25">
      <c r="A52" s="445" t="s">
        <v>714</v>
      </c>
      <c r="B52" s="445">
        <v>17</v>
      </c>
      <c r="C52" s="448" t="s">
        <v>137</v>
      </c>
      <c r="D52" s="445" t="s">
        <v>741</v>
      </c>
      <c r="E52" s="445">
        <v>89</v>
      </c>
      <c r="F52" s="448" t="s">
        <v>154</v>
      </c>
      <c r="G52" s="445">
        <f>IF(Table6[[#This Row],[SDG]]=17,Table6[[#This Row],[SCORE]]+100,Table6[[#This Row],[SCORE]])</f>
        <v>189</v>
      </c>
      <c r="H52" s="445">
        <v>100</v>
      </c>
      <c r="I52"/>
      <c r="J52"/>
    </row>
    <row r="53" spans="1:10" x14ac:dyDescent="0.25">
      <c r="A53" s="445" t="s">
        <v>715</v>
      </c>
      <c r="B53" s="445">
        <v>1</v>
      </c>
      <c r="C53" s="448" t="s">
        <v>0</v>
      </c>
      <c r="D53" s="445" t="s">
        <v>726</v>
      </c>
      <c r="E53" s="445">
        <v>89</v>
      </c>
      <c r="F53" s="448" t="s">
        <v>138</v>
      </c>
      <c r="G53" s="445">
        <f>IF(Table6[[#This Row],[SDG]]=17,Table6[[#This Row],[SCORE]]+100,Table6[[#This Row],[SCORE]])</f>
        <v>89</v>
      </c>
      <c r="H53" s="445">
        <v>100</v>
      </c>
      <c r="I53"/>
      <c r="J53"/>
    </row>
    <row r="54" spans="1:10" x14ac:dyDescent="0.25">
      <c r="A54" s="445" t="s">
        <v>715</v>
      </c>
      <c r="B54" s="445">
        <v>2</v>
      </c>
      <c r="C54" s="448" t="s">
        <v>85</v>
      </c>
      <c r="D54" s="445" t="s">
        <v>724</v>
      </c>
      <c r="E54" s="445">
        <v>58</v>
      </c>
      <c r="F54" s="448" t="s">
        <v>139</v>
      </c>
      <c r="G54" s="445">
        <f>IF(Table6[[#This Row],[SDG]]=17,Table6[[#This Row],[SCORE]]+100,Table6[[#This Row],[SCORE]])</f>
        <v>58</v>
      </c>
      <c r="H54" s="445">
        <v>100</v>
      </c>
      <c r="I54"/>
      <c r="J54"/>
    </row>
    <row r="55" spans="1:10" x14ac:dyDescent="0.25">
      <c r="A55" s="445" t="s">
        <v>715</v>
      </c>
      <c r="B55" s="445">
        <v>3</v>
      </c>
      <c r="C55" s="448" t="s">
        <v>86</v>
      </c>
      <c r="D55" s="445" t="s">
        <v>727</v>
      </c>
      <c r="E55" s="445">
        <v>81</v>
      </c>
      <c r="F55" s="448" t="s">
        <v>140</v>
      </c>
      <c r="G55" s="445">
        <f>IF(Table6[[#This Row],[SDG]]=17,Table6[[#This Row],[SCORE]]+100,Table6[[#This Row],[SCORE]])</f>
        <v>81</v>
      </c>
      <c r="H55" s="445">
        <v>100</v>
      </c>
      <c r="I55"/>
      <c r="J55"/>
    </row>
    <row r="56" spans="1:10" x14ac:dyDescent="0.25">
      <c r="A56" s="445" t="s">
        <v>715</v>
      </c>
      <c r="B56" s="445">
        <v>4</v>
      </c>
      <c r="C56" s="448" t="s">
        <v>87</v>
      </c>
      <c r="D56" s="445" t="s">
        <v>728</v>
      </c>
      <c r="E56" s="445">
        <v>61</v>
      </c>
      <c r="F56" s="448" t="s">
        <v>141</v>
      </c>
      <c r="G56" s="445">
        <f>IF(Table6[[#This Row],[SDG]]=17,Table6[[#This Row],[SCORE]]+100,Table6[[#This Row],[SCORE]])</f>
        <v>61</v>
      </c>
      <c r="H56" s="445">
        <v>100</v>
      </c>
      <c r="I56"/>
      <c r="J56"/>
    </row>
    <row r="57" spans="1:10" x14ac:dyDescent="0.25">
      <c r="A57" s="445" t="s">
        <v>715</v>
      </c>
      <c r="B57" s="445">
        <v>5</v>
      </c>
      <c r="C57" s="448" t="s">
        <v>88</v>
      </c>
      <c r="D57" s="445" t="s">
        <v>729</v>
      </c>
      <c r="E57" s="445">
        <v>65</v>
      </c>
      <c r="F57" s="448" t="s">
        <v>142</v>
      </c>
      <c r="G57" s="445">
        <f>IF(Table6[[#This Row],[SDG]]=17,Table6[[#This Row],[SCORE]]+100,Table6[[#This Row],[SCORE]])</f>
        <v>65</v>
      </c>
      <c r="H57" s="445">
        <v>100</v>
      </c>
      <c r="I57"/>
      <c r="J57"/>
    </row>
    <row r="58" spans="1:10" x14ac:dyDescent="0.25">
      <c r="A58" s="445" t="s">
        <v>715</v>
      </c>
      <c r="B58" s="445">
        <v>6</v>
      </c>
      <c r="C58" s="448" t="s">
        <v>89</v>
      </c>
      <c r="D58" s="445" t="s">
        <v>730</v>
      </c>
      <c r="E58" s="445">
        <v>41</v>
      </c>
      <c r="F58" s="448" t="s">
        <v>143</v>
      </c>
      <c r="G58" s="445">
        <f>IF(Table6[[#This Row],[SDG]]=17,Table6[[#This Row],[SCORE]]+100,Table6[[#This Row],[SCORE]])</f>
        <v>41</v>
      </c>
      <c r="H58" s="445">
        <v>100</v>
      </c>
      <c r="I58"/>
      <c r="J58"/>
    </row>
    <row r="59" spans="1:10" x14ac:dyDescent="0.25">
      <c r="A59" s="445" t="s">
        <v>715</v>
      </c>
      <c r="B59" s="445">
        <v>7</v>
      </c>
      <c r="C59" s="448" t="s">
        <v>90</v>
      </c>
      <c r="D59" s="445" t="s">
        <v>731</v>
      </c>
      <c r="E59" s="445">
        <v>58</v>
      </c>
      <c r="F59" s="448" t="s">
        <v>144</v>
      </c>
      <c r="G59" s="445">
        <f>IF(Table6[[#This Row],[SDG]]=17,Table6[[#This Row],[SCORE]]+100,Table6[[#This Row],[SCORE]])</f>
        <v>58</v>
      </c>
      <c r="H59" s="445">
        <v>100</v>
      </c>
      <c r="I59"/>
      <c r="J59"/>
    </row>
    <row r="60" spans="1:10" x14ac:dyDescent="0.25">
      <c r="A60" s="445" t="s">
        <v>715</v>
      </c>
      <c r="B60" s="445">
        <v>8</v>
      </c>
      <c r="C60" s="448" t="s">
        <v>91</v>
      </c>
      <c r="D60" s="445" t="s">
        <v>732</v>
      </c>
      <c r="E60" s="445">
        <v>81</v>
      </c>
      <c r="F60" s="448" t="s">
        <v>145</v>
      </c>
      <c r="G60" s="445">
        <f>IF(Table6[[#This Row],[SDG]]=17,Table6[[#This Row],[SCORE]]+100,Table6[[#This Row],[SCORE]])</f>
        <v>81</v>
      </c>
      <c r="H60" s="445">
        <v>100</v>
      </c>
      <c r="I60"/>
      <c r="J60"/>
    </row>
    <row r="61" spans="1:10" x14ac:dyDescent="0.25">
      <c r="A61" s="445" t="s">
        <v>715</v>
      </c>
      <c r="B61" s="445">
        <v>9</v>
      </c>
      <c r="C61" s="448" t="s">
        <v>129</v>
      </c>
      <c r="D61" s="445" t="s">
        <v>733</v>
      </c>
      <c r="E61" s="445">
        <v>55</v>
      </c>
      <c r="F61" s="448" t="s">
        <v>146</v>
      </c>
      <c r="G61" s="445">
        <f>IF(Table6[[#This Row],[SDG]]=17,Table6[[#This Row],[SCORE]]+100,Table6[[#This Row],[SCORE]])</f>
        <v>55</v>
      </c>
      <c r="H61" s="445">
        <v>100</v>
      </c>
      <c r="I61"/>
      <c r="J61"/>
    </row>
    <row r="62" spans="1:10" x14ac:dyDescent="0.25">
      <c r="A62" s="445" t="s">
        <v>715</v>
      </c>
      <c r="B62" s="445">
        <v>10</v>
      </c>
      <c r="C62" s="448" t="s">
        <v>130</v>
      </c>
      <c r="D62" s="445" t="s">
        <v>734</v>
      </c>
      <c r="E62" s="445">
        <v>94</v>
      </c>
      <c r="F62" s="448" t="s">
        <v>147</v>
      </c>
      <c r="G62" s="445">
        <f>IF(Table6[[#This Row],[SDG]]=17,Table6[[#This Row],[SCORE]]+100,Table6[[#This Row],[SCORE]])</f>
        <v>94</v>
      </c>
      <c r="H62" s="445">
        <v>100</v>
      </c>
      <c r="I62"/>
      <c r="J62"/>
    </row>
    <row r="63" spans="1:10" x14ac:dyDescent="0.25">
      <c r="A63" s="445" t="s">
        <v>715</v>
      </c>
      <c r="B63" s="445">
        <v>11</v>
      </c>
      <c r="C63" s="448" t="s">
        <v>131</v>
      </c>
      <c r="D63" s="445" t="s">
        <v>735</v>
      </c>
      <c r="E63" s="445">
        <v>55</v>
      </c>
      <c r="F63" s="448" t="s">
        <v>148</v>
      </c>
      <c r="G63" s="445">
        <f>IF(Table6[[#This Row],[SDG]]=17,Table6[[#This Row],[SCORE]]+100,Table6[[#This Row],[SCORE]])</f>
        <v>55</v>
      </c>
      <c r="H63" s="445">
        <v>100</v>
      </c>
      <c r="I63"/>
      <c r="J63"/>
    </row>
    <row r="64" spans="1:10" x14ac:dyDescent="0.25">
      <c r="A64" s="445" t="s">
        <v>715</v>
      </c>
      <c r="B64" s="445">
        <v>12</v>
      </c>
      <c r="C64" s="448" t="s">
        <v>132</v>
      </c>
      <c r="D64" s="445" t="s">
        <v>736</v>
      </c>
      <c r="E64" s="445">
        <v>41</v>
      </c>
      <c r="F64" s="448" t="s">
        <v>149</v>
      </c>
      <c r="G64" s="445">
        <f>IF(Table6[[#This Row],[SDG]]=17,Table6[[#This Row],[SCORE]]+100,Table6[[#This Row],[SCORE]])</f>
        <v>41</v>
      </c>
      <c r="H64" s="445">
        <v>100</v>
      </c>
      <c r="I64"/>
      <c r="J64"/>
    </row>
    <row r="65" spans="1:10" x14ac:dyDescent="0.25">
      <c r="A65" s="445" t="s">
        <v>715</v>
      </c>
      <c r="B65" s="445">
        <v>13</v>
      </c>
      <c r="C65" s="448" t="s">
        <v>133</v>
      </c>
      <c r="D65" s="445" t="s">
        <v>737</v>
      </c>
      <c r="E65" s="445">
        <v>55</v>
      </c>
      <c r="F65" s="448" t="s">
        <v>150</v>
      </c>
      <c r="G65" s="445">
        <f>IF(Table6[[#This Row],[SDG]]=17,Table6[[#This Row],[SCORE]]+100,Table6[[#This Row],[SCORE]])</f>
        <v>55</v>
      </c>
      <c r="H65" s="445">
        <v>100</v>
      </c>
      <c r="I65"/>
      <c r="J65"/>
    </row>
    <row r="66" spans="1:10" x14ac:dyDescent="0.25">
      <c r="A66" s="445" t="s">
        <v>715</v>
      </c>
      <c r="B66" s="445">
        <v>14</v>
      </c>
      <c r="C66" s="448" t="s">
        <v>134</v>
      </c>
      <c r="D66" s="445" t="s">
        <v>738</v>
      </c>
      <c r="E66" s="445">
        <v>74</v>
      </c>
      <c r="F66" s="448" t="s">
        <v>151</v>
      </c>
      <c r="G66" s="445">
        <f>IF(Table6[[#This Row],[SDG]]=17,Table6[[#This Row],[SCORE]]+100,Table6[[#This Row],[SCORE]])</f>
        <v>74</v>
      </c>
      <c r="H66" s="445">
        <v>100</v>
      </c>
      <c r="I66"/>
      <c r="J66"/>
    </row>
    <row r="67" spans="1:10" x14ac:dyDescent="0.25">
      <c r="A67" s="445" t="s">
        <v>715</v>
      </c>
      <c r="B67" s="445">
        <v>15</v>
      </c>
      <c r="C67" s="448" t="s">
        <v>135</v>
      </c>
      <c r="D67" s="445" t="s">
        <v>739</v>
      </c>
      <c r="E67" s="445">
        <v>81</v>
      </c>
      <c r="F67" s="448" t="s">
        <v>152</v>
      </c>
      <c r="G67" s="445">
        <f>IF(Table6[[#This Row],[SDG]]=17,Table6[[#This Row],[SCORE]]+100,Table6[[#This Row],[SCORE]])</f>
        <v>81</v>
      </c>
      <c r="H67" s="445">
        <v>100</v>
      </c>
      <c r="I67"/>
      <c r="J67"/>
    </row>
    <row r="68" spans="1:10" x14ac:dyDescent="0.25">
      <c r="A68" s="445" t="s">
        <v>715</v>
      </c>
      <c r="B68" s="445">
        <v>16</v>
      </c>
      <c r="C68" s="448" t="s">
        <v>136</v>
      </c>
      <c r="D68" s="445" t="s">
        <v>740</v>
      </c>
      <c r="E68" s="445">
        <v>61</v>
      </c>
      <c r="F68" s="448" t="s">
        <v>153</v>
      </c>
      <c r="G68" s="445">
        <f>IF(Table6[[#This Row],[SDG]]=17,Table6[[#This Row],[SCORE]]+100,Table6[[#This Row],[SCORE]])</f>
        <v>61</v>
      </c>
      <c r="H68" s="445">
        <v>100</v>
      </c>
      <c r="I68"/>
      <c r="J68"/>
    </row>
    <row r="69" spans="1:10" x14ac:dyDescent="0.25">
      <c r="A69" s="445" t="s">
        <v>715</v>
      </c>
      <c r="B69" s="445">
        <v>17</v>
      </c>
      <c r="C69" s="448" t="s">
        <v>137</v>
      </c>
      <c r="D69" s="445" t="s">
        <v>741</v>
      </c>
      <c r="E69" s="445">
        <v>89</v>
      </c>
      <c r="F69" s="448" t="s">
        <v>154</v>
      </c>
      <c r="G69" s="445">
        <f>IF(Table6[[#This Row],[SDG]]=17,Table6[[#This Row],[SCORE]]+100,Table6[[#This Row],[SCORE]])</f>
        <v>189</v>
      </c>
      <c r="H69" s="445">
        <v>100</v>
      </c>
      <c r="I69"/>
      <c r="J69"/>
    </row>
    <row r="70" spans="1:10" x14ac:dyDescent="0.25">
      <c r="A70" s="445" t="s">
        <v>716</v>
      </c>
      <c r="B70" s="445">
        <v>1</v>
      </c>
      <c r="C70" s="448" t="s">
        <v>0</v>
      </c>
      <c r="D70" s="445" t="s">
        <v>726</v>
      </c>
      <c r="E70" s="445">
        <v>78</v>
      </c>
      <c r="F70" s="448" t="s">
        <v>138</v>
      </c>
      <c r="G70" s="445">
        <f>IF(Table6[[#This Row],[SDG]]=17,Table6[[#This Row],[SCORE]]+100,Table6[[#This Row],[SCORE]])</f>
        <v>78</v>
      </c>
      <c r="H70" s="445">
        <v>100</v>
      </c>
      <c r="I70"/>
      <c r="J70"/>
    </row>
    <row r="71" spans="1:10" x14ac:dyDescent="0.25">
      <c r="A71" s="445" t="s">
        <v>716</v>
      </c>
      <c r="B71" s="445">
        <v>2</v>
      </c>
      <c r="C71" s="448" t="s">
        <v>85</v>
      </c>
      <c r="D71" s="445" t="s">
        <v>724</v>
      </c>
      <c r="E71" s="445">
        <v>59</v>
      </c>
      <c r="F71" s="448" t="s">
        <v>139</v>
      </c>
      <c r="G71" s="445">
        <f>IF(Table6[[#This Row],[SDG]]=17,Table6[[#This Row],[SCORE]]+100,Table6[[#This Row],[SCORE]])</f>
        <v>59</v>
      </c>
      <c r="H71" s="445">
        <v>100</v>
      </c>
      <c r="I71"/>
      <c r="J71"/>
    </row>
    <row r="72" spans="1:10" x14ac:dyDescent="0.25">
      <c r="A72" s="445" t="s">
        <v>716</v>
      </c>
      <c r="B72" s="445">
        <v>3</v>
      </c>
      <c r="C72" s="448" t="s">
        <v>86</v>
      </c>
      <c r="D72" s="445" t="s">
        <v>727</v>
      </c>
      <c r="E72" s="445">
        <v>74</v>
      </c>
      <c r="F72" s="448" t="s">
        <v>140</v>
      </c>
      <c r="G72" s="445">
        <f>IF(Table6[[#This Row],[SDG]]=17,Table6[[#This Row],[SCORE]]+100,Table6[[#This Row],[SCORE]])</f>
        <v>74</v>
      </c>
      <c r="H72" s="445">
        <v>100</v>
      </c>
      <c r="I72"/>
      <c r="J72"/>
    </row>
    <row r="73" spans="1:10" x14ac:dyDescent="0.25">
      <c r="A73" s="445" t="s">
        <v>716</v>
      </c>
      <c r="B73" s="445">
        <v>4</v>
      </c>
      <c r="C73" s="448" t="s">
        <v>87</v>
      </c>
      <c r="D73" s="445" t="s">
        <v>728</v>
      </c>
      <c r="E73" s="445">
        <v>81</v>
      </c>
      <c r="F73" s="448" t="s">
        <v>141</v>
      </c>
      <c r="G73" s="445">
        <f>IF(Table6[[#This Row],[SDG]]=17,Table6[[#This Row],[SCORE]]+100,Table6[[#This Row],[SCORE]])</f>
        <v>81</v>
      </c>
      <c r="H73" s="445">
        <v>100</v>
      </c>
      <c r="I73"/>
      <c r="J73"/>
    </row>
    <row r="74" spans="1:10" x14ac:dyDescent="0.25">
      <c r="A74" s="445" t="s">
        <v>716</v>
      </c>
      <c r="B74" s="445">
        <v>5</v>
      </c>
      <c r="C74" s="448" t="s">
        <v>88</v>
      </c>
      <c r="D74" s="445" t="s">
        <v>729</v>
      </c>
      <c r="E74" s="445">
        <v>90</v>
      </c>
      <c r="F74" s="448" t="s">
        <v>142</v>
      </c>
      <c r="G74" s="445">
        <f>IF(Table6[[#This Row],[SDG]]=17,Table6[[#This Row],[SCORE]]+100,Table6[[#This Row],[SCORE]])</f>
        <v>90</v>
      </c>
      <c r="H74" s="445">
        <v>100</v>
      </c>
      <c r="I74"/>
      <c r="J74"/>
    </row>
    <row r="75" spans="1:10" x14ac:dyDescent="0.25">
      <c r="A75" s="445" t="s">
        <v>716</v>
      </c>
      <c r="B75" s="445">
        <v>6</v>
      </c>
      <c r="C75" s="448" t="s">
        <v>89</v>
      </c>
      <c r="D75" s="445" t="s">
        <v>730</v>
      </c>
      <c r="E75" s="445">
        <v>81</v>
      </c>
      <c r="F75" s="448" t="s">
        <v>143</v>
      </c>
      <c r="G75" s="445">
        <f>IF(Table6[[#This Row],[SDG]]=17,Table6[[#This Row],[SCORE]]+100,Table6[[#This Row],[SCORE]])</f>
        <v>81</v>
      </c>
      <c r="H75" s="445">
        <v>100</v>
      </c>
      <c r="I75"/>
      <c r="J75"/>
    </row>
    <row r="76" spans="1:10" x14ac:dyDescent="0.25">
      <c r="A76" s="445" t="s">
        <v>716</v>
      </c>
      <c r="B76" s="445">
        <v>7</v>
      </c>
      <c r="C76" s="448" t="s">
        <v>90</v>
      </c>
      <c r="D76" s="445" t="s">
        <v>731</v>
      </c>
      <c r="E76" s="445">
        <v>92</v>
      </c>
      <c r="F76" s="448" t="s">
        <v>144</v>
      </c>
      <c r="G76" s="445">
        <f>IF(Table6[[#This Row],[SDG]]=17,Table6[[#This Row],[SCORE]]+100,Table6[[#This Row],[SCORE]])</f>
        <v>92</v>
      </c>
      <c r="H76" s="445">
        <v>100</v>
      </c>
      <c r="I76"/>
      <c r="J76"/>
    </row>
    <row r="77" spans="1:10" x14ac:dyDescent="0.25">
      <c r="A77" s="445" t="s">
        <v>716</v>
      </c>
      <c r="B77" s="445">
        <v>8</v>
      </c>
      <c r="C77" s="448" t="s">
        <v>91</v>
      </c>
      <c r="D77" s="445" t="s">
        <v>732</v>
      </c>
      <c r="E77" s="445">
        <v>74</v>
      </c>
      <c r="F77" s="448" t="s">
        <v>145</v>
      </c>
      <c r="G77" s="445">
        <f>IF(Table6[[#This Row],[SDG]]=17,Table6[[#This Row],[SCORE]]+100,Table6[[#This Row],[SCORE]])</f>
        <v>74</v>
      </c>
      <c r="H77" s="445">
        <v>100</v>
      </c>
      <c r="I77"/>
      <c r="J77"/>
    </row>
    <row r="78" spans="1:10" x14ac:dyDescent="0.25">
      <c r="A78" s="445" t="s">
        <v>716</v>
      </c>
      <c r="B78" s="445">
        <v>9</v>
      </c>
      <c r="C78" s="448" t="s">
        <v>129</v>
      </c>
      <c r="D78" s="445" t="s">
        <v>733</v>
      </c>
      <c r="E78" s="445">
        <v>95</v>
      </c>
      <c r="F78" s="448" t="s">
        <v>146</v>
      </c>
      <c r="G78" s="445">
        <f>IF(Table6[[#This Row],[SDG]]=17,Table6[[#This Row],[SCORE]]+100,Table6[[#This Row],[SCORE]])</f>
        <v>95</v>
      </c>
      <c r="H78" s="445">
        <v>100</v>
      </c>
      <c r="I78"/>
      <c r="J78"/>
    </row>
    <row r="79" spans="1:10" x14ac:dyDescent="0.25">
      <c r="A79" s="445" t="s">
        <v>716</v>
      </c>
      <c r="B79" s="445">
        <v>10</v>
      </c>
      <c r="C79" s="448" t="s">
        <v>130</v>
      </c>
      <c r="D79" s="445" t="s">
        <v>734</v>
      </c>
      <c r="E79" s="445">
        <v>88</v>
      </c>
      <c r="F79" s="448" t="s">
        <v>147</v>
      </c>
      <c r="G79" s="445">
        <f>IF(Table6[[#This Row],[SDG]]=17,Table6[[#This Row],[SCORE]]+100,Table6[[#This Row],[SCORE]])</f>
        <v>88</v>
      </c>
      <c r="H79" s="445">
        <v>100</v>
      </c>
      <c r="I79"/>
      <c r="J79"/>
    </row>
    <row r="80" spans="1:10" x14ac:dyDescent="0.25">
      <c r="A80" s="445" t="s">
        <v>716</v>
      </c>
      <c r="B80" s="445">
        <v>11</v>
      </c>
      <c r="C80" s="448" t="s">
        <v>131</v>
      </c>
      <c r="D80" s="445" t="s">
        <v>735</v>
      </c>
      <c r="E80" s="445">
        <v>68</v>
      </c>
      <c r="F80" s="448" t="s">
        <v>148</v>
      </c>
      <c r="G80" s="445">
        <f>IF(Table6[[#This Row],[SDG]]=17,Table6[[#This Row],[SCORE]]+100,Table6[[#This Row],[SCORE]])</f>
        <v>68</v>
      </c>
      <c r="H80" s="445">
        <v>100</v>
      </c>
      <c r="I80"/>
      <c r="J80"/>
    </row>
    <row r="81" spans="1:10" x14ac:dyDescent="0.25">
      <c r="A81" s="445" t="s">
        <v>716</v>
      </c>
      <c r="B81" s="445">
        <v>12</v>
      </c>
      <c r="C81" s="448" t="s">
        <v>132</v>
      </c>
      <c r="D81" s="445" t="s">
        <v>736</v>
      </c>
      <c r="E81" s="445">
        <v>81</v>
      </c>
      <c r="F81" s="448" t="s">
        <v>149</v>
      </c>
      <c r="G81" s="445">
        <f>IF(Table6[[#This Row],[SDG]]=17,Table6[[#This Row],[SCORE]]+100,Table6[[#This Row],[SCORE]])</f>
        <v>81</v>
      </c>
      <c r="H81" s="445">
        <v>100</v>
      </c>
      <c r="I81"/>
      <c r="J81"/>
    </row>
    <row r="82" spans="1:10" x14ac:dyDescent="0.25">
      <c r="A82" s="445" t="s">
        <v>716</v>
      </c>
      <c r="B82" s="445">
        <v>13</v>
      </c>
      <c r="C82" s="448" t="s">
        <v>133</v>
      </c>
      <c r="D82" s="445" t="s">
        <v>737</v>
      </c>
      <c r="E82" s="445">
        <v>74</v>
      </c>
      <c r="F82" s="448" t="s">
        <v>150</v>
      </c>
      <c r="G82" s="445">
        <f>IF(Table6[[#This Row],[SDG]]=17,Table6[[#This Row],[SCORE]]+100,Table6[[#This Row],[SCORE]])</f>
        <v>74</v>
      </c>
      <c r="H82" s="445">
        <v>100</v>
      </c>
      <c r="I82"/>
      <c r="J82"/>
    </row>
    <row r="83" spans="1:10" x14ac:dyDescent="0.25">
      <c r="A83" s="445" t="s">
        <v>716</v>
      </c>
      <c r="B83" s="445">
        <v>14</v>
      </c>
      <c r="C83" s="448" t="s">
        <v>134</v>
      </c>
      <c r="D83" s="445" t="s">
        <v>738</v>
      </c>
      <c r="E83" s="445">
        <v>74</v>
      </c>
      <c r="F83" s="448" t="s">
        <v>151</v>
      </c>
      <c r="G83" s="445">
        <f>IF(Table6[[#This Row],[SDG]]=17,Table6[[#This Row],[SCORE]]+100,Table6[[#This Row],[SCORE]])</f>
        <v>74</v>
      </c>
      <c r="H83" s="445">
        <v>100</v>
      </c>
      <c r="I83"/>
      <c r="J83"/>
    </row>
    <row r="84" spans="1:10" x14ac:dyDescent="0.25">
      <c r="A84" s="445" t="s">
        <v>716</v>
      </c>
      <c r="B84" s="445">
        <v>15</v>
      </c>
      <c r="C84" s="448" t="s">
        <v>135</v>
      </c>
      <c r="D84" s="445" t="s">
        <v>739</v>
      </c>
      <c r="E84" s="445">
        <v>74</v>
      </c>
      <c r="F84" s="448" t="s">
        <v>152</v>
      </c>
      <c r="G84" s="445">
        <f>IF(Table6[[#This Row],[SDG]]=17,Table6[[#This Row],[SCORE]]+100,Table6[[#This Row],[SCORE]])</f>
        <v>74</v>
      </c>
      <c r="H84" s="445">
        <v>100</v>
      </c>
      <c r="I84"/>
      <c r="J84"/>
    </row>
    <row r="85" spans="1:10" x14ac:dyDescent="0.25">
      <c r="A85" s="445" t="s">
        <v>716</v>
      </c>
      <c r="B85" s="445">
        <v>16</v>
      </c>
      <c r="C85" s="448" t="s">
        <v>136</v>
      </c>
      <c r="D85" s="445" t="s">
        <v>740</v>
      </c>
      <c r="E85" s="445">
        <v>77</v>
      </c>
      <c r="F85" s="448" t="s">
        <v>153</v>
      </c>
      <c r="G85" s="445">
        <f>IF(Table6[[#This Row],[SDG]]=17,Table6[[#This Row],[SCORE]]+100,Table6[[#This Row],[SCORE]])</f>
        <v>77</v>
      </c>
      <c r="H85" s="445">
        <v>100</v>
      </c>
      <c r="I85"/>
      <c r="J85"/>
    </row>
    <row r="86" spans="1:10" x14ac:dyDescent="0.25">
      <c r="A86" s="445" t="s">
        <v>716</v>
      </c>
      <c r="B86" s="445">
        <v>17</v>
      </c>
      <c r="C86" s="448" t="s">
        <v>137</v>
      </c>
      <c r="D86" s="445" t="s">
        <v>741</v>
      </c>
      <c r="E86" s="445">
        <v>89</v>
      </c>
      <c r="F86" s="448" t="s">
        <v>154</v>
      </c>
      <c r="G86" s="445">
        <f>IF(Table6[[#This Row],[SDG]]=17,Table6[[#This Row],[SCORE]]+100,Table6[[#This Row],[SCORE]])</f>
        <v>189</v>
      </c>
      <c r="H86" s="445">
        <v>100</v>
      </c>
      <c r="I86"/>
      <c r="J86"/>
    </row>
    <row r="87" spans="1:10" x14ac:dyDescent="0.25">
      <c r="A87" s="445" t="s">
        <v>717</v>
      </c>
      <c r="B87" s="445">
        <v>1</v>
      </c>
      <c r="C87" s="448" t="s">
        <v>0</v>
      </c>
      <c r="D87" s="445" t="s">
        <v>726</v>
      </c>
      <c r="E87" s="445">
        <v>81</v>
      </c>
      <c r="F87" s="448" t="s">
        <v>138</v>
      </c>
      <c r="G87" s="445">
        <f>IF(Table6[[#This Row],[SDG]]=17,Table6[[#This Row],[SCORE]]+100,Table6[[#This Row],[SCORE]])</f>
        <v>81</v>
      </c>
      <c r="H87" s="445">
        <v>100</v>
      </c>
      <c r="I87"/>
      <c r="J87"/>
    </row>
    <row r="88" spans="1:10" x14ac:dyDescent="0.25">
      <c r="A88" s="445" t="s">
        <v>717</v>
      </c>
      <c r="B88" s="445">
        <v>2</v>
      </c>
      <c r="C88" s="448" t="s">
        <v>85</v>
      </c>
      <c r="D88" s="445" t="s">
        <v>724</v>
      </c>
      <c r="E88" s="445">
        <v>74</v>
      </c>
      <c r="F88" s="448" t="s">
        <v>139</v>
      </c>
      <c r="G88" s="445">
        <f>IF(Table6[[#This Row],[SDG]]=17,Table6[[#This Row],[SCORE]]+100,Table6[[#This Row],[SCORE]])</f>
        <v>74</v>
      </c>
      <c r="H88" s="445">
        <v>100</v>
      </c>
      <c r="I88"/>
      <c r="J88"/>
    </row>
    <row r="89" spans="1:10" x14ac:dyDescent="0.25">
      <c r="A89" s="445" t="s">
        <v>717</v>
      </c>
      <c r="B89" s="445">
        <v>3</v>
      </c>
      <c r="C89" s="448" t="s">
        <v>86</v>
      </c>
      <c r="D89" s="445" t="s">
        <v>727</v>
      </c>
      <c r="E89" s="445">
        <v>78</v>
      </c>
      <c r="F89" s="448" t="s">
        <v>140</v>
      </c>
      <c r="G89" s="445">
        <f>IF(Table6[[#This Row],[SDG]]=17,Table6[[#This Row],[SCORE]]+100,Table6[[#This Row],[SCORE]])</f>
        <v>78</v>
      </c>
      <c r="H89" s="445">
        <v>100</v>
      </c>
      <c r="I89"/>
      <c r="J89"/>
    </row>
    <row r="90" spans="1:10" x14ac:dyDescent="0.25">
      <c r="A90" s="445" t="s">
        <v>717</v>
      </c>
      <c r="B90" s="445">
        <v>4</v>
      </c>
      <c r="C90" s="448" t="s">
        <v>87</v>
      </c>
      <c r="D90" s="445" t="s">
        <v>728</v>
      </c>
      <c r="E90" s="445">
        <v>80</v>
      </c>
      <c r="F90" s="448" t="s">
        <v>141</v>
      </c>
      <c r="G90" s="445">
        <f>IF(Table6[[#This Row],[SDG]]=17,Table6[[#This Row],[SCORE]]+100,Table6[[#This Row],[SCORE]])</f>
        <v>80</v>
      </c>
      <c r="H90" s="445">
        <v>100</v>
      </c>
      <c r="I90"/>
      <c r="J90"/>
    </row>
    <row r="91" spans="1:10" x14ac:dyDescent="0.25">
      <c r="A91" s="445" t="s">
        <v>717</v>
      </c>
      <c r="B91" s="445">
        <v>5</v>
      </c>
      <c r="C91" s="448" t="s">
        <v>88</v>
      </c>
      <c r="D91" s="445" t="s">
        <v>729</v>
      </c>
      <c r="E91" s="445">
        <v>88</v>
      </c>
      <c r="F91" s="448" t="s">
        <v>142</v>
      </c>
      <c r="G91" s="445">
        <f>IF(Table6[[#This Row],[SDG]]=17,Table6[[#This Row],[SCORE]]+100,Table6[[#This Row],[SCORE]])</f>
        <v>88</v>
      </c>
      <c r="H91" s="445">
        <v>100</v>
      </c>
      <c r="I91"/>
      <c r="J91"/>
    </row>
    <row r="92" spans="1:10" x14ac:dyDescent="0.25">
      <c r="A92" s="445" t="s">
        <v>717</v>
      </c>
      <c r="B92" s="445">
        <v>6</v>
      </c>
      <c r="C92" s="448" t="s">
        <v>89</v>
      </c>
      <c r="D92" s="445" t="s">
        <v>730</v>
      </c>
      <c r="E92" s="445">
        <v>80</v>
      </c>
      <c r="F92" s="448" t="s">
        <v>143</v>
      </c>
      <c r="G92" s="445">
        <f>IF(Table6[[#This Row],[SDG]]=17,Table6[[#This Row],[SCORE]]+100,Table6[[#This Row],[SCORE]])</f>
        <v>80</v>
      </c>
      <c r="H92" s="445">
        <v>100</v>
      </c>
      <c r="I92"/>
      <c r="J92"/>
    </row>
    <row r="93" spans="1:10" x14ac:dyDescent="0.25">
      <c r="A93" s="445" t="s">
        <v>717</v>
      </c>
      <c r="B93" s="445">
        <v>7</v>
      </c>
      <c r="C93" s="448" t="s">
        <v>90</v>
      </c>
      <c r="D93" s="445" t="s">
        <v>731</v>
      </c>
      <c r="E93" s="445">
        <v>74</v>
      </c>
      <c r="F93" s="448" t="s">
        <v>144</v>
      </c>
      <c r="G93" s="445">
        <f>IF(Table6[[#This Row],[SDG]]=17,Table6[[#This Row],[SCORE]]+100,Table6[[#This Row],[SCORE]])</f>
        <v>74</v>
      </c>
      <c r="H93" s="445">
        <v>100</v>
      </c>
      <c r="I93"/>
      <c r="J93"/>
    </row>
    <row r="94" spans="1:10" x14ac:dyDescent="0.25">
      <c r="A94" s="445" t="s">
        <v>717</v>
      </c>
      <c r="B94" s="445">
        <v>8</v>
      </c>
      <c r="C94" s="448" t="s">
        <v>91</v>
      </c>
      <c r="D94" s="445" t="s">
        <v>732</v>
      </c>
      <c r="E94" s="445">
        <v>78</v>
      </c>
      <c r="F94" s="448" t="s">
        <v>145</v>
      </c>
      <c r="G94" s="445">
        <f>IF(Table6[[#This Row],[SDG]]=17,Table6[[#This Row],[SCORE]]+100,Table6[[#This Row],[SCORE]])</f>
        <v>78</v>
      </c>
      <c r="H94" s="445">
        <v>100</v>
      </c>
      <c r="I94"/>
      <c r="J94"/>
    </row>
    <row r="95" spans="1:10" x14ac:dyDescent="0.25">
      <c r="A95" s="445" t="s">
        <v>717</v>
      </c>
      <c r="B95" s="445">
        <v>9</v>
      </c>
      <c r="C95" s="448" t="s">
        <v>129</v>
      </c>
      <c r="D95" s="445" t="s">
        <v>733</v>
      </c>
      <c r="E95" s="445">
        <v>74</v>
      </c>
      <c r="F95" s="448" t="s">
        <v>146</v>
      </c>
      <c r="G95" s="445">
        <f>IF(Table6[[#This Row],[SDG]]=17,Table6[[#This Row],[SCORE]]+100,Table6[[#This Row],[SCORE]])</f>
        <v>74</v>
      </c>
      <c r="H95" s="445">
        <v>100</v>
      </c>
      <c r="I95"/>
      <c r="J95"/>
    </row>
    <row r="96" spans="1:10" x14ac:dyDescent="0.25">
      <c r="A96" s="445" t="s">
        <v>717</v>
      </c>
      <c r="B96" s="445">
        <v>10</v>
      </c>
      <c r="C96" s="448" t="s">
        <v>130</v>
      </c>
      <c r="D96" s="445" t="s">
        <v>734</v>
      </c>
      <c r="E96" s="445">
        <v>90</v>
      </c>
      <c r="F96" s="448" t="s">
        <v>147</v>
      </c>
      <c r="G96" s="445">
        <f>IF(Table6[[#This Row],[SDG]]=17,Table6[[#This Row],[SCORE]]+100,Table6[[#This Row],[SCORE]])</f>
        <v>90</v>
      </c>
      <c r="H96" s="445">
        <v>100</v>
      </c>
      <c r="I96"/>
      <c r="J96"/>
    </row>
    <row r="97" spans="1:10" x14ac:dyDescent="0.25">
      <c r="A97" s="445" t="s">
        <v>717</v>
      </c>
      <c r="B97" s="445">
        <v>11</v>
      </c>
      <c r="C97" s="448" t="s">
        <v>131</v>
      </c>
      <c r="D97" s="445" t="s">
        <v>735</v>
      </c>
      <c r="E97" s="445">
        <v>74</v>
      </c>
      <c r="F97" s="448" t="s">
        <v>148</v>
      </c>
      <c r="G97" s="445">
        <f>IF(Table6[[#This Row],[SDG]]=17,Table6[[#This Row],[SCORE]]+100,Table6[[#This Row],[SCORE]])</f>
        <v>74</v>
      </c>
      <c r="H97" s="445">
        <v>100</v>
      </c>
      <c r="I97"/>
      <c r="J97"/>
    </row>
    <row r="98" spans="1:10" x14ac:dyDescent="0.25">
      <c r="A98" s="445" t="s">
        <v>717</v>
      </c>
      <c r="B98" s="445">
        <v>12</v>
      </c>
      <c r="C98" s="448" t="s">
        <v>132</v>
      </c>
      <c r="D98" s="445" t="s">
        <v>736</v>
      </c>
      <c r="E98" s="445">
        <v>80</v>
      </c>
      <c r="F98" s="448" t="s">
        <v>149</v>
      </c>
      <c r="G98" s="445">
        <f>IF(Table6[[#This Row],[SDG]]=17,Table6[[#This Row],[SCORE]]+100,Table6[[#This Row],[SCORE]])</f>
        <v>80</v>
      </c>
      <c r="H98" s="445">
        <v>100</v>
      </c>
      <c r="I98"/>
      <c r="J98"/>
    </row>
    <row r="99" spans="1:10" x14ac:dyDescent="0.25">
      <c r="A99" s="445" t="s">
        <v>717</v>
      </c>
      <c r="B99" s="445">
        <v>13</v>
      </c>
      <c r="C99" s="448" t="s">
        <v>133</v>
      </c>
      <c r="D99" s="445" t="s">
        <v>737</v>
      </c>
      <c r="E99" s="445">
        <v>74</v>
      </c>
      <c r="F99" s="448" t="s">
        <v>150</v>
      </c>
      <c r="G99" s="445">
        <f>IF(Table6[[#This Row],[SDG]]=17,Table6[[#This Row],[SCORE]]+100,Table6[[#This Row],[SCORE]])</f>
        <v>74</v>
      </c>
      <c r="H99" s="445">
        <v>100</v>
      </c>
      <c r="I99"/>
      <c r="J99"/>
    </row>
    <row r="100" spans="1:10" x14ac:dyDescent="0.25">
      <c r="A100" s="445" t="s">
        <v>717</v>
      </c>
      <c r="B100" s="445">
        <v>14</v>
      </c>
      <c r="C100" s="448" t="s">
        <v>134</v>
      </c>
      <c r="D100" s="445" t="s">
        <v>738</v>
      </c>
      <c r="E100" s="445">
        <v>71</v>
      </c>
      <c r="F100" s="448" t="s">
        <v>151</v>
      </c>
      <c r="G100" s="445">
        <f>IF(Table6[[#This Row],[SDG]]=17,Table6[[#This Row],[SCORE]]+100,Table6[[#This Row],[SCORE]])</f>
        <v>71</v>
      </c>
      <c r="H100" s="445">
        <v>100</v>
      </c>
      <c r="I100"/>
      <c r="J100"/>
    </row>
    <row r="101" spans="1:10" x14ac:dyDescent="0.25">
      <c r="A101" s="445" t="s">
        <v>717</v>
      </c>
      <c r="B101" s="445">
        <v>15</v>
      </c>
      <c r="C101" s="448" t="s">
        <v>135</v>
      </c>
      <c r="D101" s="445" t="s">
        <v>739</v>
      </c>
      <c r="E101" s="445">
        <v>78</v>
      </c>
      <c r="F101" s="448" t="s">
        <v>152</v>
      </c>
      <c r="G101" s="445">
        <f>IF(Table6[[#This Row],[SDG]]=17,Table6[[#This Row],[SCORE]]+100,Table6[[#This Row],[SCORE]])</f>
        <v>78</v>
      </c>
      <c r="H101" s="445">
        <v>100</v>
      </c>
      <c r="I101"/>
      <c r="J101"/>
    </row>
    <row r="102" spans="1:10" x14ac:dyDescent="0.25">
      <c r="A102" s="445" t="s">
        <v>717</v>
      </c>
      <c r="B102" s="445">
        <v>16</v>
      </c>
      <c r="C102" s="448" t="s">
        <v>136</v>
      </c>
      <c r="D102" s="445" t="s">
        <v>740</v>
      </c>
      <c r="E102" s="445">
        <v>68</v>
      </c>
      <c r="F102" s="448" t="s">
        <v>153</v>
      </c>
      <c r="G102" s="445">
        <f>IF(Table6[[#This Row],[SDG]]=17,Table6[[#This Row],[SCORE]]+100,Table6[[#This Row],[SCORE]])</f>
        <v>68</v>
      </c>
      <c r="H102" s="445">
        <v>100</v>
      </c>
      <c r="I102"/>
      <c r="J102"/>
    </row>
    <row r="103" spans="1:10" x14ac:dyDescent="0.25">
      <c r="A103" s="445" t="s">
        <v>717</v>
      </c>
      <c r="B103" s="445">
        <v>17</v>
      </c>
      <c r="C103" s="448" t="s">
        <v>137</v>
      </c>
      <c r="D103" s="445" t="s">
        <v>741</v>
      </c>
      <c r="E103" s="445">
        <v>89</v>
      </c>
      <c r="F103" s="448" t="s">
        <v>154</v>
      </c>
      <c r="G103" s="445">
        <f>IF(Table6[[#This Row],[SDG]]=17,Table6[[#This Row],[SCORE]]+100,Table6[[#This Row],[SCORE]])</f>
        <v>189</v>
      </c>
      <c r="H103" s="445">
        <v>100</v>
      </c>
      <c r="I103"/>
      <c r="J103"/>
    </row>
    <row r="104" spans="1:10" x14ac:dyDescent="0.25">
      <c r="A104" s="445" t="s">
        <v>718</v>
      </c>
      <c r="B104" s="445">
        <v>1</v>
      </c>
      <c r="C104" s="448" t="s">
        <v>0</v>
      </c>
      <c r="D104" s="445" t="s">
        <v>726</v>
      </c>
      <c r="E104" s="445">
        <v>86</v>
      </c>
      <c r="F104" s="448" t="s">
        <v>138</v>
      </c>
      <c r="G104" s="445">
        <f>IF(Table6[[#This Row],[SDG]]=17,Table6[[#This Row],[SCORE]]+100,Table6[[#This Row],[SCORE]])</f>
        <v>86</v>
      </c>
      <c r="H104" s="445">
        <v>100</v>
      </c>
      <c r="I104"/>
      <c r="J104"/>
    </row>
    <row r="105" spans="1:10" x14ac:dyDescent="0.25">
      <c r="A105" s="445" t="s">
        <v>718</v>
      </c>
      <c r="B105" s="445">
        <v>2</v>
      </c>
      <c r="C105" s="448" t="s">
        <v>85</v>
      </c>
      <c r="D105" s="445" t="s">
        <v>724</v>
      </c>
      <c r="E105" s="445">
        <v>71</v>
      </c>
      <c r="F105" s="448" t="s">
        <v>139</v>
      </c>
      <c r="G105" s="445">
        <f>IF(Table6[[#This Row],[SDG]]=17,Table6[[#This Row],[SCORE]]+100,Table6[[#This Row],[SCORE]])</f>
        <v>71</v>
      </c>
      <c r="H105" s="445">
        <v>100</v>
      </c>
      <c r="I105"/>
      <c r="J105"/>
    </row>
    <row r="106" spans="1:10" x14ac:dyDescent="0.25">
      <c r="A106" s="445" t="s">
        <v>718</v>
      </c>
      <c r="B106" s="445">
        <v>3</v>
      </c>
      <c r="C106" s="448" t="s">
        <v>86</v>
      </c>
      <c r="D106" s="445" t="s">
        <v>727</v>
      </c>
      <c r="E106" s="445">
        <v>75</v>
      </c>
      <c r="F106" s="448" t="s">
        <v>140</v>
      </c>
      <c r="G106" s="445">
        <f>IF(Table6[[#This Row],[SDG]]=17,Table6[[#This Row],[SCORE]]+100,Table6[[#This Row],[SCORE]])</f>
        <v>75</v>
      </c>
      <c r="H106" s="445">
        <v>100</v>
      </c>
      <c r="I106"/>
      <c r="J106"/>
    </row>
    <row r="107" spans="1:10" x14ac:dyDescent="0.25">
      <c r="A107" s="445" t="s">
        <v>718</v>
      </c>
      <c r="B107" s="445">
        <v>4</v>
      </c>
      <c r="C107" s="448" t="s">
        <v>87</v>
      </c>
      <c r="D107" s="445" t="s">
        <v>728</v>
      </c>
      <c r="E107" s="445">
        <v>91</v>
      </c>
      <c r="F107" s="448" t="s">
        <v>141</v>
      </c>
      <c r="G107" s="445">
        <f>IF(Table6[[#This Row],[SDG]]=17,Table6[[#This Row],[SCORE]]+100,Table6[[#This Row],[SCORE]])</f>
        <v>91</v>
      </c>
      <c r="H107" s="445">
        <v>100</v>
      </c>
      <c r="I107"/>
      <c r="J107"/>
    </row>
    <row r="108" spans="1:10" x14ac:dyDescent="0.25">
      <c r="A108" s="445" t="s">
        <v>718</v>
      </c>
      <c r="B108" s="445">
        <v>5</v>
      </c>
      <c r="C108" s="448" t="s">
        <v>88</v>
      </c>
      <c r="D108" s="445" t="s">
        <v>729</v>
      </c>
      <c r="E108" s="445">
        <v>77</v>
      </c>
      <c r="F108" s="448" t="s">
        <v>142</v>
      </c>
      <c r="G108" s="445">
        <f>IF(Table6[[#This Row],[SDG]]=17,Table6[[#This Row],[SCORE]]+100,Table6[[#This Row],[SCORE]])</f>
        <v>77</v>
      </c>
      <c r="H108" s="445">
        <v>100</v>
      </c>
      <c r="I108"/>
      <c r="J108"/>
    </row>
    <row r="109" spans="1:10" x14ac:dyDescent="0.25">
      <c r="A109" s="445" t="s">
        <v>718</v>
      </c>
      <c r="B109" s="445">
        <v>6</v>
      </c>
      <c r="C109" s="448" t="s">
        <v>89</v>
      </c>
      <c r="D109" s="445" t="s">
        <v>730</v>
      </c>
      <c r="E109" s="445">
        <v>77</v>
      </c>
      <c r="F109" s="448" t="s">
        <v>143</v>
      </c>
      <c r="G109" s="445">
        <f>IF(Table6[[#This Row],[SDG]]=17,Table6[[#This Row],[SCORE]]+100,Table6[[#This Row],[SCORE]])</f>
        <v>77</v>
      </c>
      <c r="H109" s="445">
        <v>100</v>
      </c>
      <c r="I109"/>
      <c r="J109"/>
    </row>
    <row r="110" spans="1:10" x14ac:dyDescent="0.25">
      <c r="A110" s="445" t="s">
        <v>718</v>
      </c>
      <c r="B110" s="445">
        <v>7</v>
      </c>
      <c r="C110" s="448" t="s">
        <v>90</v>
      </c>
      <c r="D110" s="445" t="s">
        <v>731</v>
      </c>
      <c r="E110" s="445">
        <v>71</v>
      </c>
      <c r="F110" s="448" t="s">
        <v>144</v>
      </c>
      <c r="G110" s="445">
        <f>IF(Table6[[#This Row],[SDG]]=17,Table6[[#This Row],[SCORE]]+100,Table6[[#This Row],[SCORE]])</f>
        <v>71</v>
      </c>
      <c r="H110" s="445">
        <v>100</v>
      </c>
      <c r="I110"/>
      <c r="J110"/>
    </row>
    <row r="111" spans="1:10" x14ac:dyDescent="0.25">
      <c r="A111" s="445" t="s">
        <v>718</v>
      </c>
      <c r="B111" s="445">
        <v>8</v>
      </c>
      <c r="C111" s="448" t="s">
        <v>91</v>
      </c>
      <c r="D111" s="445" t="s">
        <v>732</v>
      </c>
      <c r="E111" s="445">
        <v>75</v>
      </c>
      <c r="F111" s="448" t="s">
        <v>145</v>
      </c>
      <c r="G111" s="445">
        <f>IF(Table6[[#This Row],[SDG]]=17,Table6[[#This Row],[SCORE]]+100,Table6[[#This Row],[SCORE]])</f>
        <v>75</v>
      </c>
      <c r="H111" s="445">
        <v>100</v>
      </c>
      <c r="I111"/>
      <c r="J111"/>
    </row>
    <row r="112" spans="1:10" x14ac:dyDescent="0.25">
      <c r="A112" s="445" t="s">
        <v>718</v>
      </c>
      <c r="B112" s="445">
        <v>9</v>
      </c>
      <c r="C112" s="448" t="s">
        <v>129</v>
      </c>
      <c r="D112" s="445" t="s">
        <v>733</v>
      </c>
      <c r="E112" s="445">
        <v>60</v>
      </c>
      <c r="F112" s="448" t="s">
        <v>146</v>
      </c>
      <c r="G112" s="445">
        <f>IF(Table6[[#This Row],[SDG]]=17,Table6[[#This Row],[SCORE]]+100,Table6[[#This Row],[SCORE]])</f>
        <v>60</v>
      </c>
      <c r="H112" s="445">
        <v>100</v>
      </c>
      <c r="I112"/>
      <c r="J112"/>
    </row>
    <row r="113" spans="1:10" x14ac:dyDescent="0.25">
      <c r="A113" s="445" t="s">
        <v>718</v>
      </c>
      <c r="B113" s="445">
        <v>10</v>
      </c>
      <c r="C113" s="448" t="s">
        <v>130</v>
      </c>
      <c r="D113" s="445" t="s">
        <v>734</v>
      </c>
      <c r="E113" s="445">
        <v>90</v>
      </c>
      <c r="F113" s="448" t="s">
        <v>147</v>
      </c>
      <c r="G113" s="445">
        <f>IF(Table6[[#This Row],[SDG]]=17,Table6[[#This Row],[SCORE]]+100,Table6[[#This Row],[SCORE]])</f>
        <v>90</v>
      </c>
      <c r="H113" s="445">
        <v>100</v>
      </c>
      <c r="I113"/>
      <c r="J113"/>
    </row>
    <row r="114" spans="1:10" x14ac:dyDescent="0.25">
      <c r="A114" s="445" t="s">
        <v>718</v>
      </c>
      <c r="B114" s="445">
        <v>11</v>
      </c>
      <c r="C114" s="448" t="s">
        <v>131</v>
      </c>
      <c r="D114" s="445" t="s">
        <v>735</v>
      </c>
      <c r="E114" s="445">
        <v>60</v>
      </c>
      <c r="F114" s="448" t="s">
        <v>148</v>
      </c>
      <c r="G114" s="445">
        <f>IF(Table6[[#This Row],[SDG]]=17,Table6[[#This Row],[SCORE]]+100,Table6[[#This Row],[SCORE]])</f>
        <v>60</v>
      </c>
      <c r="H114" s="445">
        <v>100</v>
      </c>
      <c r="I114"/>
      <c r="J114"/>
    </row>
    <row r="115" spans="1:10" x14ac:dyDescent="0.25">
      <c r="A115" s="445" t="s">
        <v>718</v>
      </c>
      <c r="B115" s="445">
        <v>12</v>
      </c>
      <c r="C115" s="448" t="s">
        <v>132</v>
      </c>
      <c r="D115" s="445" t="s">
        <v>736</v>
      </c>
      <c r="E115" s="445">
        <v>77</v>
      </c>
      <c r="F115" s="448" t="s">
        <v>149</v>
      </c>
      <c r="G115" s="445">
        <f>IF(Table6[[#This Row],[SDG]]=17,Table6[[#This Row],[SCORE]]+100,Table6[[#This Row],[SCORE]])</f>
        <v>77</v>
      </c>
      <c r="H115" s="445">
        <v>100</v>
      </c>
      <c r="I115"/>
      <c r="J115"/>
    </row>
    <row r="116" spans="1:10" x14ac:dyDescent="0.25">
      <c r="A116" s="445" t="s">
        <v>718</v>
      </c>
      <c r="B116" s="445">
        <v>13</v>
      </c>
      <c r="C116" s="448" t="s">
        <v>133</v>
      </c>
      <c r="D116" s="445" t="s">
        <v>737</v>
      </c>
      <c r="E116" s="445">
        <v>60</v>
      </c>
      <c r="F116" s="448" t="s">
        <v>150</v>
      </c>
      <c r="G116" s="445">
        <f>IF(Table6[[#This Row],[SDG]]=17,Table6[[#This Row],[SCORE]]+100,Table6[[#This Row],[SCORE]])</f>
        <v>60</v>
      </c>
      <c r="H116" s="445">
        <v>100</v>
      </c>
      <c r="I116"/>
      <c r="J116"/>
    </row>
    <row r="117" spans="1:10" x14ac:dyDescent="0.25">
      <c r="A117" s="445" t="s">
        <v>718</v>
      </c>
      <c r="B117" s="445">
        <v>14</v>
      </c>
      <c r="C117" s="448" t="s">
        <v>134</v>
      </c>
      <c r="D117" s="445" t="s">
        <v>738</v>
      </c>
      <c r="E117" s="445">
        <v>75</v>
      </c>
      <c r="F117" s="448" t="s">
        <v>151</v>
      </c>
      <c r="G117" s="445">
        <f>IF(Table6[[#This Row],[SDG]]=17,Table6[[#This Row],[SCORE]]+100,Table6[[#This Row],[SCORE]])</f>
        <v>75</v>
      </c>
      <c r="H117" s="445">
        <v>100</v>
      </c>
      <c r="I117"/>
      <c r="J117"/>
    </row>
    <row r="118" spans="1:10" x14ac:dyDescent="0.25">
      <c r="A118" s="445" t="s">
        <v>718</v>
      </c>
      <c r="B118" s="445">
        <v>15</v>
      </c>
      <c r="C118" s="448" t="s">
        <v>135</v>
      </c>
      <c r="D118" s="445" t="s">
        <v>739</v>
      </c>
      <c r="E118" s="445">
        <v>75</v>
      </c>
      <c r="F118" s="448" t="s">
        <v>152</v>
      </c>
      <c r="G118" s="445">
        <f>IF(Table6[[#This Row],[SDG]]=17,Table6[[#This Row],[SCORE]]+100,Table6[[#This Row],[SCORE]])</f>
        <v>75</v>
      </c>
      <c r="H118" s="445">
        <v>100</v>
      </c>
      <c r="I118"/>
      <c r="J118"/>
    </row>
    <row r="119" spans="1:10" x14ac:dyDescent="0.25">
      <c r="A119" s="445" t="s">
        <v>718</v>
      </c>
      <c r="B119" s="445">
        <v>16</v>
      </c>
      <c r="C119" s="448" t="s">
        <v>136</v>
      </c>
      <c r="D119" s="445" t="s">
        <v>740</v>
      </c>
      <c r="E119" s="445">
        <v>87</v>
      </c>
      <c r="F119" s="448" t="s">
        <v>153</v>
      </c>
      <c r="G119" s="445">
        <f>IF(Table6[[#This Row],[SDG]]=17,Table6[[#This Row],[SCORE]]+100,Table6[[#This Row],[SCORE]])</f>
        <v>87</v>
      </c>
      <c r="H119" s="445">
        <v>100</v>
      </c>
      <c r="I119"/>
      <c r="J119"/>
    </row>
    <row r="120" spans="1:10" x14ac:dyDescent="0.25">
      <c r="A120" s="445" t="s">
        <v>718</v>
      </c>
      <c r="B120" s="445">
        <v>17</v>
      </c>
      <c r="C120" s="448" t="s">
        <v>137</v>
      </c>
      <c r="D120" s="445" t="s">
        <v>741</v>
      </c>
      <c r="E120" s="445">
        <v>89</v>
      </c>
      <c r="F120" s="448" t="s">
        <v>154</v>
      </c>
      <c r="G120" s="445">
        <f>IF(Table6[[#This Row],[SDG]]=17,Table6[[#This Row],[SCORE]]+100,Table6[[#This Row],[SCORE]])</f>
        <v>189</v>
      </c>
      <c r="H120" s="445">
        <v>100</v>
      </c>
      <c r="I120"/>
      <c r="J120"/>
    </row>
    <row r="121" spans="1:10" x14ac:dyDescent="0.25">
      <c r="A121" s="445" t="s">
        <v>719</v>
      </c>
      <c r="B121" s="445">
        <v>1</v>
      </c>
      <c r="C121" s="448" t="s">
        <v>0</v>
      </c>
      <c r="D121" s="445" t="s">
        <v>726</v>
      </c>
      <c r="E121" s="445">
        <v>82</v>
      </c>
      <c r="F121" s="448" t="s">
        <v>138</v>
      </c>
      <c r="G121" s="445">
        <f>IF(Table6[[#This Row],[SDG]]=17,Table6[[#This Row],[SCORE]]+100,Table6[[#This Row],[SCORE]])</f>
        <v>82</v>
      </c>
      <c r="H121" s="445">
        <v>100</v>
      </c>
      <c r="I121"/>
      <c r="J121"/>
    </row>
    <row r="122" spans="1:10" x14ac:dyDescent="0.25">
      <c r="A122" s="445" t="s">
        <v>719</v>
      </c>
      <c r="B122" s="445">
        <v>2</v>
      </c>
      <c r="C122" s="448" t="s">
        <v>85</v>
      </c>
      <c r="D122" s="445" t="s">
        <v>724</v>
      </c>
      <c r="E122" s="445">
        <v>72</v>
      </c>
      <c r="F122" s="448" t="s">
        <v>139</v>
      </c>
      <c r="G122" s="445">
        <f>IF(Table6[[#This Row],[SDG]]=17,Table6[[#This Row],[SCORE]]+100,Table6[[#This Row],[SCORE]])</f>
        <v>72</v>
      </c>
      <c r="H122" s="445">
        <v>100</v>
      </c>
      <c r="I122"/>
      <c r="J122"/>
    </row>
    <row r="123" spans="1:10" x14ac:dyDescent="0.25">
      <c r="A123" s="445" t="s">
        <v>719</v>
      </c>
      <c r="B123" s="445">
        <v>3</v>
      </c>
      <c r="C123" s="448" t="s">
        <v>86</v>
      </c>
      <c r="D123" s="445" t="s">
        <v>727</v>
      </c>
      <c r="E123" s="445">
        <v>78</v>
      </c>
      <c r="F123" s="448" t="s">
        <v>140</v>
      </c>
      <c r="G123" s="445">
        <f>IF(Table6[[#This Row],[SDG]]=17,Table6[[#This Row],[SCORE]]+100,Table6[[#This Row],[SCORE]])</f>
        <v>78</v>
      </c>
      <c r="H123" s="445">
        <v>100</v>
      </c>
      <c r="I123"/>
      <c r="J123"/>
    </row>
    <row r="124" spans="1:10" x14ac:dyDescent="0.25">
      <c r="A124" s="445" t="s">
        <v>719</v>
      </c>
      <c r="B124" s="445">
        <v>4</v>
      </c>
      <c r="C124" s="448" t="s">
        <v>87</v>
      </c>
      <c r="D124" s="445" t="s">
        <v>728</v>
      </c>
      <c r="E124" s="445">
        <v>75</v>
      </c>
      <c r="F124" s="448" t="s">
        <v>141</v>
      </c>
      <c r="G124" s="445">
        <f>IF(Table6[[#This Row],[SDG]]=17,Table6[[#This Row],[SCORE]]+100,Table6[[#This Row],[SCORE]])</f>
        <v>75</v>
      </c>
      <c r="H124" s="445">
        <v>100</v>
      </c>
      <c r="I124"/>
      <c r="J124"/>
    </row>
    <row r="125" spans="1:10" x14ac:dyDescent="0.25">
      <c r="A125" s="445" t="s">
        <v>719</v>
      </c>
      <c r="B125" s="445">
        <v>5</v>
      </c>
      <c r="C125" s="448" t="s">
        <v>88</v>
      </c>
      <c r="D125" s="445" t="s">
        <v>729</v>
      </c>
      <c r="E125" s="445">
        <v>93</v>
      </c>
      <c r="F125" s="448" t="s">
        <v>142</v>
      </c>
      <c r="G125" s="445">
        <f>IF(Table6[[#This Row],[SDG]]=17,Table6[[#This Row],[SCORE]]+100,Table6[[#This Row],[SCORE]])</f>
        <v>93</v>
      </c>
      <c r="H125" s="445">
        <v>100</v>
      </c>
      <c r="I125"/>
      <c r="J125"/>
    </row>
    <row r="126" spans="1:10" x14ac:dyDescent="0.25">
      <c r="A126" s="445" t="s">
        <v>719</v>
      </c>
      <c r="B126" s="445">
        <v>6</v>
      </c>
      <c r="C126" s="448" t="s">
        <v>89</v>
      </c>
      <c r="D126" s="445" t="s">
        <v>730</v>
      </c>
      <c r="E126" s="445">
        <v>71</v>
      </c>
      <c r="F126" s="448" t="s">
        <v>143</v>
      </c>
      <c r="G126" s="445">
        <f>IF(Table6[[#This Row],[SDG]]=17,Table6[[#This Row],[SCORE]]+100,Table6[[#This Row],[SCORE]])</f>
        <v>71</v>
      </c>
      <c r="H126" s="445">
        <v>100</v>
      </c>
      <c r="I126"/>
      <c r="J126"/>
    </row>
    <row r="127" spans="1:10" x14ac:dyDescent="0.25">
      <c r="A127" s="445" t="s">
        <v>719</v>
      </c>
      <c r="B127" s="445">
        <v>7</v>
      </c>
      <c r="C127" s="448" t="s">
        <v>90</v>
      </c>
      <c r="D127" s="445" t="s">
        <v>731</v>
      </c>
      <c r="E127" s="445">
        <v>72</v>
      </c>
      <c r="F127" s="448" t="s">
        <v>144</v>
      </c>
      <c r="G127" s="445">
        <f>IF(Table6[[#This Row],[SDG]]=17,Table6[[#This Row],[SCORE]]+100,Table6[[#This Row],[SCORE]])</f>
        <v>72</v>
      </c>
      <c r="H127" s="445">
        <v>100</v>
      </c>
      <c r="I127"/>
      <c r="J127"/>
    </row>
    <row r="128" spans="1:10" x14ac:dyDescent="0.25">
      <c r="A128" s="445" t="s">
        <v>719</v>
      </c>
      <c r="B128" s="445">
        <v>8</v>
      </c>
      <c r="C128" s="448" t="s">
        <v>91</v>
      </c>
      <c r="D128" s="445" t="s">
        <v>732</v>
      </c>
      <c r="E128" s="445">
        <v>63</v>
      </c>
      <c r="F128" s="448" t="s">
        <v>145</v>
      </c>
      <c r="G128" s="445">
        <f>IF(Table6[[#This Row],[SDG]]=17,Table6[[#This Row],[SCORE]]+100,Table6[[#This Row],[SCORE]])</f>
        <v>63</v>
      </c>
      <c r="H128" s="445">
        <v>100</v>
      </c>
      <c r="I128"/>
      <c r="J128"/>
    </row>
    <row r="129" spans="1:10" x14ac:dyDescent="0.25">
      <c r="A129" s="445" t="s">
        <v>719</v>
      </c>
      <c r="B129" s="445">
        <v>9</v>
      </c>
      <c r="C129" s="448" t="s">
        <v>129</v>
      </c>
      <c r="D129" s="445" t="s">
        <v>733</v>
      </c>
      <c r="E129" s="445">
        <v>72</v>
      </c>
      <c r="F129" s="448" t="s">
        <v>146</v>
      </c>
      <c r="G129" s="445">
        <f>IF(Table6[[#This Row],[SDG]]=17,Table6[[#This Row],[SCORE]]+100,Table6[[#This Row],[SCORE]])</f>
        <v>72</v>
      </c>
      <c r="H129" s="445">
        <v>100</v>
      </c>
      <c r="I129"/>
      <c r="J129"/>
    </row>
    <row r="130" spans="1:10" x14ac:dyDescent="0.25">
      <c r="A130" s="445" t="s">
        <v>719</v>
      </c>
      <c r="B130" s="445">
        <v>10</v>
      </c>
      <c r="C130" s="448" t="s">
        <v>130</v>
      </c>
      <c r="D130" s="445" t="s">
        <v>734</v>
      </c>
      <c r="E130" s="445">
        <v>90</v>
      </c>
      <c r="F130" s="448" t="s">
        <v>147</v>
      </c>
      <c r="G130" s="445">
        <f>IF(Table6[[#This Row],[SDG]]=17,Table6[[#This Row],[SCORE]]+100,Table6[[#This Row],[SCORE]])</f>
        <v>90</v>
      </c>
      <c r="H130" s="445">
        <v>100</v>
      </c>
      <c r="I130"/>
      <c r="J130"/>
    </row>
    <row r="131" spans="1:10" x14ac:dyDescent="0.25">
      <c r="A131" s="445" t="s">
        <v>719</v>
      </c>
      <c r="B131" s="445">
        <v>11</v>
      </c>
      <c r="C131" s="448" t="s">
        <v>131</v>
      </c>
      <c r="D131" s="445" t="s">
        <v>735</v>
      </c>
      <c r="E131" s="445">
        <v>72</v>
      </c>
      <c r="F131" s="448" t="s">
        <v>148</v>
      </c>
      <c r="G131" s="445">
        <f>IF(Table6[[#This Row],[SDG]]=17,Table6[[#This Row],[SCORE]]+100,Table6[[#This Row],[SCORE]])</f>
        <v>72</v>
      </c>
      <c r="H131" s="445">
        <v>100</v>
      </c>
      <c r="I131"/>
      <c r="J131"/>
    </row>
    <row r="132" spans="1:10" x14ac:dyDescent="0.25">
      <c r="A132" s="445" t="s">
        <v>719</v>
      </c>
      <c r="B132" s="445">
        <v>12</v>
      </c>
      <c r="C132" s="448" t="s">
        <v>132</v>
      </c>
      <c r="D132" s="445" t="s">
        <v>736</v>
      </c>
      <c r="E132" s="445">
        <v>71</v>
      </c>
      <c r="F132" s="448" t="s">
        <v>149</v>
      </c>
      <c r="G132" s="445">
        <f>IF(Table6[[#This Row],[SDG]]=17,Table6[[#This Row],[SCORE]]+100,Table6[[#This Row],[SCORE]])</f>
        <v>71</v>
      </c>
      <c r="H132" s="445">
        <v>100</v>
      </c>
      <c r="I132"/>
      <c r="J132"/>
    </row>
    <row r="133" spans="1:10" x14ac:dyDescent="0.25">
      <c r="A133" s="445" t="s">
        <v>719</v>
      </c>
      <c r="B133" s="445">
        <v>13</v>
      </c>
      <c r="C133" s="448" t="s">
        <v>133</v>
      </c>
      <c r="D133" s="445" t="s">
        <v>737</v>
      </c>
      <c r="E133" s="445">
        <v>72</v>
      </c>
      <c r="F133" s="448" t="s">
        <v>150</v>
      </c>
      <c r="G133" s="445">
        <f>IF(Table6[[#This Row],[SDG]]=17,Table6[[#This Row],[SCORE]]+100,Table6[[#This Row],[SCORE]])</f>
        <v>72</v>
      </c>
      <c r="H133" s="445">
        <v>100</v>
      </c>
      <c r="I133"/>
      <c r="J133"/>
    </row>
    <row r="134" spans="1:10" x14ac:dyDescent="0.25">
      <c r="A134" s="445" t="s">
        <v>719</v>
      </c>
      <c r="B134" s="445">
        <v>14</v>
      </c>
      <c r="C134" s="448" t="s">
        <v>134</v>
      </c>
      <c r="D134" s="445" t="s">
        <v>738</v>
      </c>
      <c r="E134" s="445">
        <v>63</v>
      </c>
      <c r="F134" s="448" t="s">
        <v>151</v>
      </c>
      <c r="G134" s="445">
        <f>IF(Table6[[#This Row],[SDG]]=17,Table6[[#This Row],[SCORE]]+100,Table6[[#This Row],[SCORE]])</f>
        <v>63</v>
      </c>
      <c r="H134" s="445">
        <v>100</v>
      </c>
      <c r="I134"/>
      <c r="J134"/>
    </row>
    <row r="135" spans="1:10" x14ac:dyDescent="0.25">
      <c r="A135" s="445" t="s">
        <v>719</v>
      </c>
      <c r="B135" s="445">
        <v>15</v>
      </c>
      <c r="C135" s="448" t="s">
        <v>135</v>
      </c>
      <c r="D135" s="445" t="s">
        <v>739</v>
      </c>
      <c r="E135" s="445">
        <v>78</v>
      </c>
      <c r="F135" s="448" t="s">
        <v>152</v>
      </c>
      <c r="G135" s="445">
        <f>IF(Table6[[#This Row],[SDG]]=17,Table6[[#This Row],[SCORE]]+100,Table6[[#This Row],[SCORE]])</f>
        <v>78</v>
      </c>
      <c r="H135" s="445">
        <v>100</v>
      </c>
      <c r="I135"/>
      <c r="J135"/>
    </row>
    <row r="136" spans="1:10" x14ac:dyDescent="0.25">
      <c r="A136" s="445" t="s">
        <v>719</v>
      </c>
      <c r="B136" s="445">
        <v>16</v>
      </c>
      <c r="C136" s="448" t="s">
        <v>136</v>
      </c>
      <c r="D136" s="445" t="s">
        <v>740</v>
      </c>
      <c r="E136" s="445">
        <v>75</v>
      </c>
      <c r="F136" s="448" t="s">
        <v>153</v>
      </c>
      <c r="G136" s="445">
        <f>IF(Table6[[#This Row],[SDG]]=17,Table6[[#This Row],[SCORE]]+100,Table6[[#This Row],[SCORE]])</f>
        <v>75</v>
      </c>
      <c r="H136" s="445">
        <v>100</v>
      </c>
      <c r="I136"/>
      <c r="J136"/>
    </row>
    <row r="137" spans="1:10" x14ac:dyDescent="0.25">
      <c r="A137" s="445" t="s">
        <v>719</v>
      </c>
      <c r="B137" s="445">
        <v>17</v>
      </c>
      <c r="C137" s="448" t="s">
        <v>137</v>
      </c>
      <c r="D137" s="445" t="s">
        <v>741</v>
      </c>
      <c r="E137" s="445">
        <v>89</v>
      </c>
      <c r="F137" s="448" t="s">
        <v>154</v>
      </c>
      <c r="G137" s="445">
        <f>IF(Table6[[#This Row],[SDG]]=17,Table6[[#This Row],[SCORE]]+100,Table6[[#This Row],[SCORE]])</f>
        <v>189</v>
      </c>
      <c r="H137" s="445">
        <v>100</v>
      </c>
      <c r="I137"/>
      <c r="J137"/>
    </row>
    <row r="138" spans="1:10" x14ac:dyDescent="0.25">
      <c r="A138" s="445" t="s">
        <v>721</v>
      </c>
      <c r="B138" s="445">
        <v>1</v>
      </c>
      <c r="C138" s="448" t="s">
        <v>0</v>
      </c>
      <c r="D138" s="445" t="s">
        <v>726</v>
      </c>
      <c r="E138" s="445">
        <v>87</v>
      </c>
      <c r="F138" s="448" t="s">
        <v>138</v>
      </c>
      <c r="G138" s="445">
        <f>IF(Table6[[#This Row],[SDG]]=17,Table6[[#This Row],[SCORE]]+100,Table6[[#This Row],[SCORE]])</f>
        <v>87</v>
      </c>
      <c r="H138" s="445">
        <v>100</v>
      </c>
      <c r="I138"/>
      <c r="J138"/>
    </row>
    <row r="139" spans="1:10" x14ac:dyDescent="0.25">
      <c r="A139" s="445" t="s">
        <v>721</v>
      </c>
      <c r="B139" s="445">
        <v>2</v>
      </c>
      <c r="C139" s="448" t="s">
        <v>85</v>
      </c>
      <c r="D139" s="445" t="s">
        <v>724</v>
      </c>
      <c r="E139" s="445">
        <v>70</v>
      </c>
      <c r="F139" s="448" t="s">
        <v>139</v>
      </c>
      <c r="G139" s="445">
        <f>IF(Table6[[#This Row],[SDG]]=17,Table6[[#This Row],[SCORE]]+100,Table6[[#This Row],[SCORE]])</f>
        <v>70</v>
      </c>
      <c r="H139" s="445">
        <v>100</v>
      </c>
      <c r="I139"/>
      <c r="J139"/>
    </row>
    <row r="140" spans="1:10" x14ac:dyDescent="0.25">
      <c r="A140" s="445" t="s">
        <v>721</v>
      </c>
      <c r="B140" s="445">
        <v>3</v>
      </c>
      <c r="C140" s="448" t="s">
        <v>86</v>
      </c>
      <c r="D140" s="445" t="s">
        <v>727</v>
      </c>
      <c r="E140" s="445">
        <v>80</v>
      </c>
      <c r="F140" s="448" t="s">
        <v>140</v>
      </c>
      <c r="G140" s="445">
        <f>IF(Table6[[#This Row],[SDG]]=17,Table6[[#This Row],[SCORE]]+100,Table6[[#This Row],[SCORE]])</f>
        <v>80</v>
      </c>
      <c r="H140" s="445">
        <v>100</v>
      </c>
      <c r="I140"/>
      <c r="J140"/>
    </row>
    <row r="141" spans="1:10" x14ac:dyDescent="0.25">
      <c r="A141" s="445" t="s">
        <v>721</v>
      </c>
      <c r="B141" s="445">
        <v>4</v>
      </c>
      <c r="C141" s="448" t="s">
        <v>87</v>
      </c>
      <c r="D141" s="445" t="s">
        <v>728</v>
      </c>
      <c r="E141" s="445">
        <v>76</v>
      </c>
      <c r="F141" s="448" t="s">
        <v>141</v>
      </c>
      <c r="G141" s="445">
        <f>IF(Table6[[#This Row],[SDG]]=17,Table6[[#This Row],[SCORE]]+100,Table6[[#This Row],[SCORE]])</f>
        <v>76</v>
      </c>
      <c r="H141" s="445">
        <v>100</v>
      </c>
      <c r="I141"/>
      <c r="J141"/>
    </row>
    <row r="142" spans="1:10" x14ac:dyDescent="0.25">
      <c r="A142" s="445" t="s">
        <v>721</v>
      </c>
      <c r="B142" s="445">
        <v>5</v>
      </c>
      <c r="C142" s="448" t="s">
        <v>88</v>
      </c>
      <c r="D142" s="445" t="s">
        <v>729</v>
      </c>
      <c r="E142" s="445">
        <v>69</v>
      </c>
      <c r="F142" s="448" t="s">
        <v>142</v>
      </c>
      <c r="G142" s="445">
        <f>IF(Table6[[#This Row],[SDG]]=17,Table6[[#This Row],[SCORE]]+100,Table6[[#This Row],[SCORE]])</f>
        <v>69</v>
      </c>
      <c r="H142" s="445">
        <v>100</v>
      </c>
      <c r="I142"/>
      <c r="J142"/>
    </row>
    <row r="143" spans="1:10" x14ac:dyDescent="0.25">
      <c r="A143" s="445" t="s">
        <v>721</v>
      </c>
      <c r="B143" s="445">
        <v>6</v>
      </c>
      <c r="C143" s="448" t="s">
        <v>89</v>
      </c>
      <c r="D143" s="445" t="s">
        <v>730</v>
      </c>
      <c r="E143" s="445">
        <v>84</v>
      </c>
      <c r="F143" s="448" t="s">
        <v>143</v>
      </c>
      <c r="G143" s="445">
        <f>IF(Table6[[#This Row],[SDG]]=17,Table6[[#This Row],[SCORE]]+100,Table6[[#This Row],[SCORE]])</f>
        <v>84</v>
      </c>
      <c r="H143" s="445">
        <v>100</v>
      </c>
      <c r="I143"/>
      <c r="J143"/>
    </row>
    <row r="144" spans="1:10" x14ac:dyDescent="0.25">
      <c r="A144" s="445" t="s">
        <v>721</v>
      </c>
      <c r="B144" s="445">
        <v>7</v>
      </c>
      <c r="C144" s="448" t="s">
        <v>90</v>
      </c>
      <c r="D144" s="445" t="s">
        <v>731</v>
      </c>
      <c r="E144" s="445">
        <v>70</v>
      </c>
      <c r="F144" s="448" t="s">
        <v>144</v>
      </c>
      <c r="G144" s="445">
        <f>IF(Table6[[#This Row],[SDG]]=17,Table6[[#This Row],[SCORE]]+100,Table6[[#This Row],[SCORE]])</f>
        <v>70</v>
      </c>
      <c r="H144" s="445">
        <v>100</v>
      </c>
      <c r="I144"/>
      <c r="J144"/>
    </row>
    <row r="145" spans="1:10" x14ac:dyDescent="0.25">
      <c r="A145" s="445" t="s">
        <v>721</v>
      </c>
      <c r="B145" s="445">
        <v>8</v>
      </c>
      <c r="C145" s="448" t="s">
        <v>91</v>
      </c>
      <c r="D145" s="445" t="s">
        <v>732</v>
      </c>
      <c r="E145" s="445">
        <v>80</v>
      </c>
      <c r="F145" s="448" t="s">
        <v>145</v>
      </c>
      <c r="G145" s="445">
        <f>IF(Table6[[#This Row],[SDG]]=17,Table6[[#This Row],[SCORE]]+100,Table6[[#This Row],[SCORE]])</f>
        <v>80</v>
      </c>
      <c r="H145" s="445">
        <v>100</v>
      </c>
      <c r="I145"/>
      <c r="J145"/>
    </row>
    <row r="146" spans="1:10" x14ac:dyDescent="0.25">
      <c r="A146" s="445" t="s">
        <v>721</v>
      </c>
      <c r="B146" s="445">
        <v>9</v>
      </c>
      <c r="C146" s="448" t="s">
        <v>129</v>
      </c>
      <c r="D146" s="445" t="s">
        <v>733</v>
      </c>
      <c r="E146" s="445">
        <v>71</v>
      </c>
      <c r="F146" s="448" t="s">
        <v>146</v>
      </c>
      <c r="G146" s="445">
        <f>IF(Table6[[#This Row],[SDG]]=17,Table6[[#This Row],[SCORE]]+100,Table6[[#This Row],[SCORE]])</f>
        <v>71</v>
      </c>
      <c r="H146" s="445">
        <v>100</v>
      </c>
      <c r="I146"/>
      <c r="J146"/>
    </row>
    <row r="147" spans="1:10" x14ac:dyDescent="0.25">
      <c r="A147" s="445" t="s">
        <v>721</v>
      </c>
      <c r="B147" s="445">
        <v>10</v>
      </c>
      <c r="C147" s="448" t="s">
        <v>130</v>
      </c>
      <c r="D147" s="445" t="s">
        <v>734</v>
      </c>
      <c r="E147" s="445">
        <v>90</v>
      </c>
      <c r="F147" s="448" t="s">
        <v>147</v>
      </c>
      <c r="G147" s="445">
        <f>IF(Table6[[#This Row],[SDG]]=17,Table6[[#This Row],[SCORE]]+100,Table6[[#This Row],[SCORE]])</f>
        <v>90</v>
      </c>
      <c r="H147" s="445">
        <v>100</v>
      </c>
      <c r="I147"/>
      <c r="J147"/>
    </row>
    <row r="148" spans="1:10" x14ac:dyDescent="0.25">
      <c r="A148" s="445" t="s">
        <v>721</v>
      </c>
      <c r="B148" s="445">
        <v>11</v>
      </c>
      <c r="C148" s="448" t="s">
        <v>131</v>
      </c>
      <c r="D148" s="445" t="s">
        <v>735</v>
      </c>
      <c r="E148" s="445">
        <v>71</v>
      </c>
      <c r="F148" s="448" t="s">
        <v>148</v>
      </c>
      <c r="G148" s="445">
        <f>IF(Table6[[#This Row],[SDG]]=17,Table6[[#This Row],[SCORE]]+100,Table6[[#This Row],[SCORE]])</f>
        <v>71</v>
      </c>
      <c r="H148" s="445">
        <v>100</v>
      </c>
      <c r="I148"/>
      <c r="J148"/>
    </row>
    <row r="149" spans="1:10" x14ac:dyDescent="0.25">
      <c r="A149" s="445" t="s">
        <v>721</v>
      </c>
      <c r="B149" s="445">
        <v>12</v>
      </c>
      <c r="C149" s="448" t="s">
        <v>132</v>
      </c>
      <c r="D149" s="445" t="s">
        <v>736</v>
      </c>
      <c r="E149" s="445">
        <v>84</v>
      </c>
      <c r="F149" s="448" t="s">
        <v>149</v>
      </c>
      <c r="G149" s="445">
        <f>IF(Table6[[#This Row],[SDG]]=17,Table6[[#This Row],[SCORE]]+100,Table6[[#This Row],[SCORE]])</f>
        <v>84</v>
      </c>
      <c r="H149" s="445">
        <v>100</v>
      </c>
      <c r="I149"/>
      <c r="J149"/>
    </row>
    <row r="150" spans="1:10" x14ac:dyDescent="0.25">
      <c r="A150" s="445" t="s">
        <v>721</v>
      </c>
      <c r="B150" s="445">
        <v>13</v>
      </c>
      <c r="C150" s="448" t="s">
        <v>133</v>
      </c>
      <c r="D150" s="445" t="s">
        <v>737</v>
      </c>
      <c r="E150" s="445">
        <v>71</v>
      </c>
      <c r="F150" s="448" t="s">
        <v>150</v>
      </c>
      <c r="G150" s="445">
        <f>IF(Table6[[#This Row],[SDG]]=17,Table6[[#This Row],[SCORE]]+100,Table6[[#This Row],[SCORE]])</f>
        <v>71</v>
      </c>
      <c r="H150" s="445">
        <v>100</v>
      </c>
      <c r="I150"/>
      <c r="J150"/>
    </row>
    <row r="151" spans="1:10" x14ac:dyDescent="0.25">
      <c r="A151" s="445" t="s">
        <v>721</v>
      </c>
      <c r="B151" s="445">
        <v>14</v>
      </c>
      <c r="C151" s="448" t="s">
        <v>134</v>
      </c>
      <c r="D151" s="445" t="s">
        <v>738</v>
      </c>
      <c r="E151" s="445">
        <v>68</v>
      </c>
      <c r="F151" s="448" t="s">
        <v>151</v>
      </c>
      <c r="G151" s="445">
        <f>IF(Table6[[#This Row],[SDG]]=17,Table6[[#This Row],[SCORE]]+100,Table6[[#This Row],[SCORE]])</f>
        <v>68</v>
      </c>
      <c r="H151" s="445">
        <v>100</v>
      </c>
      <c r="I151"/>
      <c r="J151"/>
    </row>
    <row r="152" spans="1:10" x14ac:dyDescent="0.25">
      <c r="A152" s="445" t="s">
        <v>721</v>
      </c>
      <c r="B152" s="445">
        <v>15</v>
      </c>
      <c r="C152" s="448" t="s">
        <v>135</v>
      </c>
      <c r="D152" s="445" t="s">
        <v>739</v>
      </c>
      <c r="E152" s="445">
        <v>80</v>
      </c>
      <c r="F152" s="448" t="s">
        <v>152</v>
      </c>
      <c r="G152" s="445">
        <f>IF(Table6[[#This Row],[SDG]]=17,Table6[[#This Row],[SCORE]]+100,Table6[[#This Row],[SCORE]])</f>
        <v>80</v>
      </c>
      <c r="H152" s="445">
        <v>100</v>
      </c>
      <c r="I152"/>
      <c r="J152"/>
    </row>
    <row r="153" spans="1:10" x14ac:dyDescent="0.25">
      <c r="A153" s="445" t="s">
        <v>721</v>
      </c>
      <c r="B153" s="445">
        <v>16</v>
      </c>
      <c r="C153" s="448" t="s">
        <v>136</v>
      </c>
      <c r="D153" s="445" t="s">
        <v>740</v>
      </c>
      <c r="E153" s="445">
        <v>76</v>
      </c>
      <c r="F153" s="448" t="s">
        <v>153</v>
      </c>
      <c r="G153" s="445">
        <f>IF(Table6[[#This Row],[SDG]]=17,Table6[[#This Row],[SCORE]]+100,Table6[[#This Row],[SCORE]])</f>
        <v>76</v>
      </c>
      <c r="H153" s="445">
        <v>100</v>
      </c>
      <c r="I153"/>
      <c r="J153"/>
    </row>
    <row r="154" spans="1:10" x14ac:dyDescent="0.25">
      <c r="A154" s="445" t="s">
        <v>721</v>
      </c>
      <c r="B154" s="445">
        <v>17</v>
      </c>
      <c r="C154" s="448" t="s">
        <v>137</v>
      </c>
      <c r="D154" s="445" t="s">
        <v>741</v>
      </c>
      <c r="E154" s="445">
        <v>89</v>
      </c>
      <c r="F154" s="448" t="s">
        <v>154</v>
      </c>
      <c r="G154" s="445">
        <f>IF(Table6[[#This Row],[SDG]]=17,Table6[[#This Row],[SCORE]]+100,Table6[[#This Row],[SCORE]])</f>
        <v>189</v>
      </c>
      <c r="H154" s="445">
        <v>100</v>
      </c>
      <c r="I154"/>
      <c r="J154"/>
    </row>
    <row r="155" spans="1:10" x14ac:dyDescent="0.25">
      <c r="A155" s="445" t="s">
        <v>720</v>
      </c>
      <c r="B155" s="445">
        <v>1</v>
      </c>
      <c r="C155" s="448" t="s">
        <v>0</v>
      </c>
      <c r="D155" s="445" t="s">
        <v>726</v>
      </c>
      <c r="E155" s="445">
        <v>84</v>
      </c>
      <c r="F155" s="448" t="s">
        <v>138</v>
      </c>
      <c r="G155" s="445">
        <f>IF(Table6[[#This Row],[SDG]]=17,Table6[[#This Row],[SCORE]]+100,Table6[[#This Row],[SCORE]])</f>
        <v>84</v>
      </c>
      <c r="H155" s="445">
        <v>100</v>
      </c>
      <c r="I155"/>
      <c r="J155"/>
    </row>
    <row r="156" spans="1:10" x14ac:dyDescent="0.25">
      <c r="A156" s="445" t="s">
        <v>720</v>
      </c>
      <c r="B156" s="445">
        <v>2</v>
      </c>
      <c r="C156" s="448" t="s">
        <v>85</v>
      </c>
      <c r="D156" s="445" t="s">
        <v>724</v>
      </c>
      <c r="E156" s="445">
        <v>62</v>
      </c>
      <c r="F156" s="448" t="s">
        <v>139</v>
      </c>
      <c r="G156" s="445">
        <f>IF(Table6[[#This Row],[SDG]]=17,Table6[[#This Row],[SCORE]]+100,Table6[[#This Row],[SCORE]])</f>
        <v>62</v>
      </c>
      <c r="H156" s="445">
        <v>100</v>
      </c>
      <c r="I156"/>
      <c r="J156"/>
    </row>
    <row r="157" spans="1:10" x14ac:dyDescent="0.25">
      <c r="A157" s="445" t="s">
        <v>720</v>
      </c>
      <c r="B157" s="445">
        <v>3</v>
      </c>
      <c r="C157" s="448" t="s">
        <v>86</v>
      </c>
      <c r="D157" s="445" t="s">
        <v>727</v>
      </c>
      <c r="E157" s="445">
        <v>61</v>
      </c>
      <c r="F157" s="448" t="s">
        <v>140</v>
      </c>
      <c r="G157" s="445">
        <f>IF(Table6[[#This Row],[SDG]]=17,Table6[[#This Row],[SCORE]]+100,Table6[[#This Row],[SCORE]])</f>
        <v>61</v>
      </c>
      <c r="H157" s="445">
        <v>100</v>
      </c>
      <c r="I157"/>
      <c r="J157"/>
    </row>
    <row r="158" spans="1:10" x14ac:dyDescent="0.25">
      <c r="A158" s="445" t="s">
        <v>720</v>
      </c>
      <c r="B158" s="445">
        <v>4</v>
      </c>
      <c r="C158" s="448" t="s">
        <v>87</v>
      </c>
      <c r="D158" s="445" t="s">
        <v>728</v>
      </c>
      <c r="E158" s="445">
        <v>86</v>
      </c>
      <c r="F158" s="448" t="s">
        <v>141</v>
      </c>
      <c r="G158" s="445">
        <f>IF(Table6[[#This Row],[SDG]]=17,Table6[[#This Row],[SCORE]]+100,Table6[[#This Row],[SCORE]])</f>
        <v>86</v>
      </c>
      <c r="H158" s="445">
        <v>100</v>
      </c>
      <c r="I158"/>
      <c r="J158"/>
    </row>
    <row r="159" spans="1:10" x14ac:dyDescent="0.25">
      <c r="A159" s="445" t="s">
        <v>720</v>
      </c>
      <c r="B159" s="445">
        <v>5</v>
      </c>
      <c r="C159" s="448" t="s">
        <v>88</v>
      </c>
      <c r="D159" s="445" t="s">
        <v>729</v>
      </c>
      <c r="E159" s="445">
        <v>84</v>
      </c>
      <c r="F159" s="448" t="s">
        <v>142</v>
      </c>
      <c r="G159" s="445">
        <f>IF(Table6[[#This Row],[SDG]]=17,Table6[[#This Row],[SCORE]]+100,Table6[[#This Row],[SCORE]])</f>
        <v>84</v>
      </c>
      <c r="H159" s="445">
        <v>100</v>
      </c>
      <c r="I159"/>
      <c r="J159"/>
    </row>
    <row r="160" spans="1:10" x14ac:dyDescent="0.25">
      <c r="A160" s="445" t="s">
        <v>720</v>
      </c>
      <c r="B160" s="445">
        <v>6</v>
      </c>
      <c r="C160" s="448" t="s">
        <v>89</v>
      </c>
      <c r="D160" s="445" t="s">
        <v>730</v>
      </c>
      <c r="E160" s="445">
        <v>89</v>
      </c>
      <c r="F160" s="448" t="s">
        <v>143</v>
      </c>
      <c r="G160" s="445">
        <f>IF(Table6[[#This Row],[SDG]]=17,Table6[[#This Row],[SCORE]]+100,Table6[[#This Row],[SCORE]])</f>
        <v>89</v>
      </c>
      <c r="H160" s="445">
        <v>100</v>
      </c>
      <c r="I160"/>
      <c r="J160"/>
    </row>
    <row r="161" spans="1:10" x14ac:dyDescent="0.25">
      <c r="A161" s="445" t="s">
        <v>720</v>
      </c>
      <c r="B161" s="445">
        <v>7</v>
      </c>
      <c r="C161" s="448" t="s">
        <v>90</v>
      </c>
      <c r="D161" s="445" t="s">
        <v>731</v>
      </c>
      <c r="E161" s="445">
        <v>62</v>
      </c>
      <c r="F161" s="448" t="s">
        <v>144</v>
      </c>
      <c r="G161" s="445">
        <f>IF(Table6[[#This Row],[SDG]]=17,Table6[[#This Row],[SCORE]]+100,Table6[[#This Row],[SCORE]])</f>
        <v>62</v>
      </c>
      <c r="H161" s="445">
        <v>100</v>
      </c>
      <c r="I161"/>
      <c r="J161"/>
    </row>
    <row r="162" spans="1:10" x14ac:dyDescent="0.25">
      <c r="A162" s="445" t="s">
        <v>720</v>
      </c>
      <c r="B162" s="445">
        <v>8</v>
      </c>
      <c r="C162" s="448" t="s">
        <v>91</v>
      </c>
      <c r="D162" s="445" t="s">
        <v>732</v>
      </c>
      <c r="E162" s="445">
        <v>63</v>
      </c>
      <c r="F162" s="448" t="s">
        <v>145</v>
      </c>
      <c r="G162" s="445">
        <f>IF(Table6[[#This Row],[SDG]]=17,Table6[[#This Row],[SCORE]]+100,Table6[[#This Row],[SCORE]])</f>
        <v>63</v>
      </c>
      <c r="H162" s="445">
        <v>100</v>
      </c>
      <c r="I162"/>
      <c r="J162"/>
    </row>
    <row r="163" spans="1:10" x14ac:dyDescent="0.25">
      <c r="A163" s="445" t="s">
        <v>720</v>
      </c>
      <c r="B163" s="445">
        <v>9</v>
      </c>
      <c r="C163" s="448" t="s">
        <v>129</v>
      </c>
      <c r="D163" s="445" t="s">
        <v>733</v>
      </c>
      <c r="E163" s="445">
        <v>62</v>
      </c>
      <c r="F163" s="448" t="s">
        <v>146</v>
      </c>
      <c r="G163" s="445">
        <f>IF(Table6[[#This Row],[SDG]]=17,Table6[[#This Row],[SCORE]]+100,Table6[[#This Row],[SCORE]])</f>
        <v>62</v>
      </c>
      <c r="H163" s="445">
        <v>100</v>
      </c>
      <c r="I163"/>
      <c r="J163"/>
    </row>
    <row r="164" spans="1:10" x14ac:dyDescent="0.25">
      <c r="A164" s="445" t="s">
        <v>720</v>
      </c>
      <c r="B164" s="445">
        <v>10</v>
      </c>
      <c r="C164" s="448" t="s">
        <v>130</v>
      </c>
      <c r="D164" s="445" t="s">
        <v>734</v>
      </c>
      <c r="E164" s="445">
        <v>90</v>
      </c>
      <c r="F164" s="448" t="s">
        <v>147</v>
      </c>
      <c r="G164" s="445">
        <f>IF(Table6[[#This Row],[SDG]]=17,Table6[[#This Row],[SCORE]]+100,Table6[[#This Row],[SCORE]])</f>
        <v>90</v>
      </c>
      <c r="H164" s="445">
        <v>100</v>
      </c>
      <c r="I164"/>
      <c r="J164"/>
    </row>
    <row r="165" spans="1:10" x14ac:dyDescent="0.25">
      <c r="A165" s="445" t="s">
        <v>720</v>
      </c>
      <c r="B165" s="445">
        <v>11</v>
      </c>
      <c r="C165" s="448" t="s">
        <v>131</v>
      </c>
      <c r="D165" s="445" t="s">
        <v>735</v>
      </c>
      <c r="E165" s="445">
        <v>78</v>
      </c>
      <c r="F165" s="448" t="s">
        <v>148</v>
      </c>
      <c r="G165" s="445">
        <f>IF(Table6[[#This Row],[SDG]]=17,Table6[[#This Row],[SCORE]]+100,Table6[[#This Row],[SCORE]])</f>
        <v>78</v>
      </c>
      <c r="H165" s="445">
        <v>100</v>
      </c>
      <c r="I165"/>
      <c r="J165"/>
    </row>
    <row r="166" spans="1:10" x14ac:dyDescent="0.25">
      <c r="A166" s="445" t="s">
        <v>720</v>
      </c>
      <c r="B166" s="445">
        <v>12</v>
      </c>
      <c r="C166" s="448" t="s">
        <v>132</v>
      </c>
      <c r="D166" s="445" t="s">
        <v>736</v>
      </c>
      <c r="E166" s="445">
        <v>69</v>
      </c>
      <c r="F166" s="448" t="s">
        <v>149</v>
      </c>
      <c r="G166" s="445">
        <f>IF(Table6[[#This Row],[SDG]]=17,Table6[[#This Row],[SCORE]]+100,Table6[[#This Row],[SCORE]])</f>
        <v>69</v>
      </c>
      <c r="H166" s="445">
        <v>100</v>
      </c>
      <c r="I166"/>
      <c r="J166"/>
    </row>
    <row r="167" spans="1:10" x14ac:dyDescent="0.25">
      <c r="A167" s="445" t="s">
        <v>720</v>
      </c>
      <c r="B167" s="445">
        <v>13</v>
      </c>
      <c r="C167" s="448" t="s">
        <v>133</v>
      </c>
      <c r="D167" s="445" t="s">
        <v>737</v>
      </c>
      <c r="E167" s="445">
        <v>87</v>
      </c>
      <c r="F167" s="448" t="s">
        <v>150</v>
      </c>
      <c r="G167" s="445">
        <f>IF(Table6[[#This Row],[SDG]]=17,Table6[[#This Row],[SCORE]]+100,Table6[[#This Row],[SCORE]])</f>
        <v>87</v>
      </c>
      <c r="H167" s="445">
        <v>100</v>
      </c>
      <c r="I167"/>
      <c r="J167"/>
    </row>
    <row r="168" spans="1:10" x14ac:dyDescent="0.25">
      <c r="A168" s="445" t="s">
        <v>720</v>
      </c>
      <c r="B168" s="445">
        <v>14</v>
      </c>
      <c r="C168" s="448" t="s">
        <v>134</v>
      </c>
      <c r="D168" s="445" t="s">
        <v>738</v>
      </c>
      <c r="E168" s="445">
        <v>95</v>
      </c>
      <c r="F168" s="448" t="s">
        <v>151</v>
      </c>
      <c r="G168" s="445">
        <f>IF(Table6[[#This Row],[SDG]]=17,Table6[[#This Row],[SCORE]]+100,Table6[[#This Row],[SCORE]])</f>
        <v>95</v>
      </c>
      <c r="H168" s="445">
        <v>100</v>
      </c>
      <c r="I168"/>
      <c r="J168"/>
    </row>
    <row r="169" spans="1:10" x14ac:dyDescent="0.25">
      <c r="A169" s="445" t="s">
        <v>720</v>
      </c>
      <c r="B169" s="445">
        <v>15</v>
      </c>
      <c r="C169" s="448" t="s">
        <v>135</v>
      </c>
      <c r="D169" s="445" t="s">
        <v>739</v>
      </c>
      <c r="E169" s="445">
        <v>88</v>
      </c>
      <c r="F169" s="448" t="s">
        <v>152</v>
      </c>
      <c r="G169" s="445">
        <f>IF(Table6[[#This Row],[SDG]]=17,Table6[[#This Row],[SCORE]]+100,Table6[[#This Row],[SCORE]])</f>
        <v>88</v>
      </c>
      <c r="H169" s="445">
        <v>100</v>
      </c>
      <c r="I169"/>
      <c r="J169"/>
    </row>
    <row r="170" spans="1:10" x14ac:dyDescent="0.25">
      <c r="A170" s="445" t="s">
        <v>720</v>
      </c>
      <c r="B170" s="445">
        <v>16</v>
      </c>
      <c r="C170" s="448" t="s">
        <v>136</v>
      </c>
      <c r="D170" s="445" t="s">
        <v>740</v>
      </c>
      <c r="E170" s="445">
        <v>74</v>
      </c>
      <c r="F170" s="448" t="s">
        <v>153</v>
      </c>
      <c r="G170" s="445">
        <f>IF(Table6[[#This Row],[SDG]]=17,Table6[[#This Row],[SCORE]]+100,Table6[[#This Row],[SCORE]])</f>
        <v>74</v>
      </c>
      <c r="H170" s="445">
        <v>100</v>
      </c>
      <c r="I170"/>
      <c r="J170"/>
    </row>
    <row r="171" spans="1:10" x14ac:dyDescent="0.25">
      <c r="A171" s="445" t="s">
        <v>720</v>
      </c>
      <c r="B171" s="445">
        <v>17</v>
      </c>
      <c r="C171" s="448" t="s">
        <v>137</v>
      </c>
      <c r="D171" s="445" t="s">
        <v>741</v>
      </c>
      <c r="E171" s="445">
        <v>89</v>
      </c>
      <c r="F171" s="448" t="s">
        <v>154</v>
      </c>
      <c r="G171" s="445">
        <f>IF(Table6[[#This Row],[SDG]]=17,Table6[[#This Row],[SCORE]]+100,Table6[[#This Row],[SCORE]])</f>
        <v>189</v>
      </c>
      <c r="H171" s="445">
        <v>100</v>
      </c>
      <c r="I171"/>
      <c r="J171"/>
    </row>
    <row r="172" spans="1:10" x14ac:dyDescent="0.25">
      <c r="A172" s="445" t="s">
        <v>749</v>
      </c>
      <c r="B172" s="445">
        <v>1</v>
      </c>
      <c r="C172" s="448" t="s">
        <v>0</v>
      </c>
      <c r="D172" s="445" t="s">
        <v>726</v>
      </c>
      <c r="E172" s="445">
        <v>81</v>
      </c>
      <c r="F172" s="448" t="s">
        <v>138</v>
      </c>
      <c r="G172" s="445">
        <f>IF(Table6[[#This Row],[SDG]]=17,Table6[[#This Row],[SCORE]]+100,Table6[[#This Row],[SCORE]])</f>
        <v>81</v>
      </c>
      <c r="H172" s="445">
        <v>100</v>
      </c>
      <c r="I172"/>
      <c r="J172"/>
    </row>
    <row r="173" spans="1:10" x14ac:dyDescent="0.25">
      <c r="A173" s="445" t="s">
        <v>749</v>
      </c>
      <c r="B173" s="445">
        <v>2</v>
      </c>
      <c r="C173" s="448" t="s">
        <v>85</v>
      </c>
      <c r="D173" s="445" t="s">
        <v>724</v>
      </c>
      <c r="E173" s="445">
        <v>62</v>
      </c>
      <c r="F173" s="448" t="s">
        <v>139</v>
      </c>
      <c r="G173" s="445">
        <f>IF(Table6[[#This Row],[SDG]]=17,Table6[[#This Row],[SCORE]]+100,Table6[[#This Row],[SCORE]])</f>
        <v>62</v>
      </c>
      <c r="H173" s="445">
        <v>100</v>
      </c>
      <c r="I173"/>
      <c r="J173"/>
    </row>
    <row r="174" spans="1:10" x14ac:dyDescent="0.25">
      <c r="A174" s="445" t="s">
        <v>749</v>
      </c>
      <c r="B174" s="445">
        <v>3</v>
      </c>
      <c r="C174" s="448" t="s">
        <v>86</v>
      </c>
      <c r="D174" s="445" t="s">
        <v>727</v>
      </c>
      <c r="E174" s="445">
        <v>53</v>
      </c>
      <c r="F174" s="448" t="s">
        <v>140</v>
      </c>
      <c r="G174" s="445">
        <f>IF(Table6[[#This Row],[SDG]]=17,Table6[[#This Row],[SCORE]]+100,Table6[[#This Row],[SCORE]])</f>
        <v>53</v>
      </c>
      <c r="H174" s="445">
        <v>100</v>
      </c>
      <c r="I174"/>
      <c r="J174"/>
    </row>
    <row r="175" spans="1:10" x14ac:dyDescent="0.25">
      <c r="A175" s="445" t="s">
        <v>749</v>
      </c>
      <c r="B175" s="445">
        <v>4</v>
      </c>
      <c r="C175" s="448" t="s">
        <v>87</v>
      </c>
      <c r="D175" s="445" t="s">
        <v>728</v>
      </c>
      <c r="E175" s="445">
        <v>74</v>
      </c>
      <c r="F175" s="448" t="s">
        <v>141</v>
      </c>
      <c r="G175" s="445">
        <f>IF(Table6[[#This Row],[SDG]]=17,Table6[[#This Row],[SCORE]]+100,Table6[[#This Row],[SCORE]])</f>
        <v>74</v>
      </c>
      <c r="H175" s="445">
        <v>100</v>
      </c>
      <c r="I175"/>
      <c r="J175"/>
    </row>
    <row r="176" spans="1:10" x14ac:dyDescent="0.25">
      <c r="A176" s="445" t="s">
        <v>749</v>
      </c>
      <c r="B176" s="445">
        <v>5</v>
      </c>
      <c r="C176" s="448" t="s">
        <v>88</v>
      </c>
      <c r="D176" s="445" t="s">
        <v>729</v>
      </c>
      <c r="E176" s="445">
        <v>94</v>
      </c>
      <c r="F176" s="448" t="s">
        <v>142</v>
      </c>
      <c r="G176" s="445">
        <f>IF(Table6[[#This Row],[SDG]]=17,Table6[[#This Row],[SCORE]]+100,Table6[[#This Row],[SCORE]])</f>
        <v>94</v>
      </c>
      <c r="H176" s="445">
        <v>100</v>
      </c>
      <c r="I176"/>
      <c r="J176"/>
    </row>
    <row r="177" spans="1:10" x14ac:dyDescent="0.25">
      <c r="A177" s="445" t="s">
        <v>749</v>
      </c>
      <c r="B177" s="445">
        <v>6</v>
      </c>
      <c r="C177" s="448" t="s">
        <v>89</v>
      </c>
      <c r="D177" s="445" t="s">
        <v>730</v>
      </c>
      <c r="E177" s="445">
        <v>74</v>
      </c>
      <c r="F177" s="448" t="s">
        <v>143</v>
      </c>
      <c r="G177" s="445">
        <f>IF(Table6[[#This Row],[SDG]]=17,Table6[[#This Row],[SCORE]]+100,Table6[[#This Row],[SCORE]])</f>
        <v>74</v>
      </c>
      <c r="H177" s="445">
        <v>100</v>
      </c>
      <c r="I177"/>
      <c r="J177"/>
    </row>
    <row r="178" spans="1:10" x14ac:dyDescent="0.25">
      <c r="A178" s="445" t="s">
        <v>749</v>
      </c>
      <c r="B178" s="445">
        <v>7</v>
      </c>
      <c r="C178" s="448" t="s">
        <v>90</v>
      </c>
      <c r="D178" s="445" t="s">
        <v>731</v>
      </c>
      <c r="E178" s="445">
        <v>62</v>
      </c>
      <c r="F178" s="448" t="s">
        <v>144</v>
      </c>
      <c r="G178" s="445">
        <f>IF(Table6[[#This Row],[SDG]]=17,Table6[[#This Row],[SCORE]]+100,Table6[[#This Row],[SCORE]])</f>
        <v>62</v>
      </c>
      <c r="H178" s="445">
        <v>100</v>
      </c>
      <c r="I178"/>
      <c r="J178"/>
    </row>
    <row r="179" spans="1:10" x14ac:dyDescent="0.25">
      <c r="A179" s="445" t="s">
        <v>749</v>
      </c>
      <c r="B179" s="445">
        <v>8</v>
      </c>
      <c r="C179" s="448" t="s">
        <v>91</v>
      </c>
      <c r="D179" s="445" t="s">
        <v>732</v>
      </c>
      <c r="E179" s="445">
        <v>55</v>
      </c>
      <c r="F179" s="448" t="s">
        <v>145</v>
      </c>
      <c r="G179" s="445">
        <f>IF(Table6[[#This Row],[SDG]]=17,Table6[[#This Row],[SCORE]]+100,Table6[[#This Row],[SCORE]])</f>
        <v>55</v>
      </c>
      <c r="H179" s="445">
        <v>100</v>
      </c>
      <c r="I179"/>
      <c r="J179"/>
    </row>
    <row r="180" spans="1:10" x14ac:dyDescent="0.25">
      <c r="A180" s="445" t="s">
        <v>749</v>
      </c>
      <c r="B180" s="445">
        <v>9</v>
      </c>
      <c r="C180" s="448" t="s">
        <v>129</v>
      </c>
      <c r="D180" s="445" t="s">
        <v>733</v>
      </c>
      <c r="E180" s="445">
        <v>62</v>
      </c>
      <c r="F180" s="448" t="s">
        <v>146</v>
      </c>
      <c r="G180" s="445">
        <f>IF(Table6[[#This Row],[SDG]]=17,Table6[[#This Row],[SCORE]]+100,Table6[[#This Row],[SCORE]])</f>
        <v>62</v>
      </c>
      <c r="H180" s="445">
        <v>100</v>
      </c>
      <c r="I180"/>
      <c r="J180"/>
    </row>
    <row r="181" spans="1:10" x14ac:dyDescent="0.25">
      <c r="A181" s="445" t="s">
        <v>749</v>
      </c>
      <c r="B181" s="445">
        <v>10</v>
      </c>
      <c r="C181" s="448" t="s">
        <v>130</v>
      </c>
      <c r="D181" s="445" t="s">
        <v>734</v>
      </c>
      <c r="E181" s="445">
        <v>88</v>
      </c>
      <c r="F181" s="448" t="s">
        <v>147</v>
      </c>
      <c r="G181" s="445">
        <f>IF(Table6[[#This Row],[SDG]]=17,Table6[[#This Row],[SCORE]]+100,Table6[[#This Row],[SCORE]])</f>
        <v>88</v>
      </c>
      <c r="H181" s="445">
        <v>100</v>
      </c>
      <c r="I181"/>
      <c r="J181"/>
    </row>
    <row r="182" spans="1:10" x14ac:dyDescent="0.25">
      <c r="A182" s="445" t="s">
        <v>749</v>
      </c>
      <c r="B182" s="445">
        <v>11</v>
      </c>
      <c r="C182" s="448" t="s">
        <v>131</v>
      </c>
      <c r="D182" s="445" t="s">
        <v>735</v>
      </c>
      <c r="E182" s="445">
        <v>62</v>
      </c>
      <c r="F182" s="448" t="s">
        <v>148</v>
      </c>
      <c r="G182" s="445">
        <f>IF(Table6[[#This Row],[SDG]]=17,Table6[[#This Row],[SCORE]]+100,Table6[[#This Row],[SCORE]])</f>
        <v>62</v>
      </c>
      <c r="H182" s="445">
        <v>100</v>
      </c>
      <c r="I182"/>
      <c r="J182"/>
    </row>
    <row r="183" spans="1:10" x14ac:dyDescent="0.25">
      <c r="A183" s="445" t="s">
        <v>749</v>
      </c>
      <c r="B183" s="445">
        <v>12</v>
      </c>
      <c r="C183" s="448" t="s">
        <v>132</v>
      </c>
      <c r="D183" s="445" t="s">
        <v>736</v>
      </c>
      <c r="E183" s="445">
        <v>85</v>
      </c>
      <c r="F183" s="448" t="s">
        <v>149</v>
      </c>
      <c r="G183" s="445">
        <f>IF(Table6[[#This Row],[SDG]]=17,Table6[[#This Row],[SCORE]]+100,Table6[[#This Row],[SCORE]])</f>
        <v>85</v>
      </c>
      <c r="H183" s="445">
        <v>100</v>
      </c>
      <c r="I183"/>
      <c r="J183"/>
    </row>
    <row r="184" spans="1:10" x14ac:dyDescent="0.25">
      <c r="A184" s="445" t="s">
        <v>749</v>
      </c>
      <c r="B184" s="445">
        <v>13</v>
      </c>
      <c r="C184" s="448" t="s">
        <v>133</v>
      </c>
      <c r="D184" s="445" t="s">
        <v>737</v>
      </c>
      <c r="E184" s="445">
        <v>62</v>
      </c>
      <c r="F184" s="448" t="s">
        <v>150</v>
      </c>
      <c r="G184" s="445">
        <f>IF(Table6[[#This Row],[SDG]]=17,Table6[[#This Row],[SCORE]]+100,Table6[[#This Row],[SCORE]])</f>
        <v>62</v>
      </c>
      <c r="H184" s="445">
        <v>100</v>
      </c>
      <c r="I184"/>
      <c r="J184"/>
    </row>
    <row r="185" spans="1:10" x14ac:dyDescent="0.25">
      <c r="A185" s="445" t="s">
        <v>749</v>
      </c>
      <c r="B185" s="445">
        <v>14</v>
      </c>
      <c r="C185" s="448" t="s">
        <v>134</v>
      </c>
      <c r="D185" s="445" t="s">
        <v>738</v>
      </c>
      <c r="E185" s="445">
        <v>69</v>
      </c>
      <c r="F185" s="448" t="s">
        <v>151</v>
      </c>
      <c r="G185" s="445">
        <f>IF(Table6[[#This Row],[SDG]]=17,Table6[[#This Row],[SCORE]]+100,Table6[[#This Row],[SCORE]])</f>
        <v>69</v>
      </c>
      <c r="H185" s="445">
        <v>100</v>
      </c>
      <c r="I185"/>
      <c r="J185"/>
    </row>
    <row r="186" spans="1:10" x14ac:dyDescent="0.25">
      <c r="A186" s="445" t="s">
        <v>749</v>
      </c>
      <c r="B186" s="445">
        <v>15</v>
      </c>
      <c r="C186" s="448" t="s">
        <v>135</v>
      </c>
      <c r="D186" s="445" t="s">
        <v>739</v>
      </c>
      <c r="E186" s="445">
        <v>61</v>
      </c>
      <c r="F186" s="448" t="s">
        <v>152</v>
      </c>
      <c r="G186" s="445">
        <f>IF(Table6[[#This Row],[SDG]]=17,Table6[[#This Row],[SCORE]]+100,Table6[[#This Row],[SCORE]])</f>
        <v>61</v>
      </c>
      <c r="H186" s="445">
        <v>100</v>
      </c>
      <c r="I186"/>
      <c r="J186"/>
    </row>
    <row r="187" spans="1:10" x14ac:dyDescent="0.25">
      <c r="A187" s="445" t="s">
        <v>749</v>
      </c>
      <c r="B187" s="445">
        <v>16</v>
      </c>
      <c r="C187" s="448" t="s">
        <v>136</v>
      </c>
      <c r="D187" s="445" t="s">
        <v>740</v>
      </c>
      <c r="E187" s="445">
        <v>74</v>
      </c>
      <c r="F187" s="448" t="s">
        <v>153</v>
      </c>
      <c r="G187" s="445">
        <f>IF(Table6[[#This Row],[SDG]]=17,Table6[[#This Row],[SCORE]]+100,Table6[[#This Row],[SCORE]])</f>
        <v>74</v>
      </c>
      <c r="H187" s="445">
        <v>100</v>
      </c>
      <c r="I187"/>
      <c r="J187"/>
    </row>
    <row r="188" spans="1:10" x14ac:dyDescent="0.25">
      <c r="A188" s="445" t="s">
        <v>749</v>
      </c>
      <c r="B188" s="445">
        <v>17</v>
      </c>
      <c r="C188" s="448" t="s">
        <v>137</v>
      </c>
      <c r="D188" s="445" t="s">
        <v>741</v>
      </c>
      <c r="E188" s="445">
        <v>85</v>
      </c>
      <c r="F188" s="448" t="s">
        <v>154</v>
      </c>
      <c r="G188" s="445">
        <f>IF(Table6[[#This Row],[SDG]]=17,Table6[[#This Row],[SCORE]]+100,Table6[[#This Row],[SCORE]])</f>
        <v>185</v>
      </c>
      <c r="H188" s="445">
        <v>100</v>
      </c>
      <c r="I188"/>
      <c r="J188"/>
    </row>
  </sheetData>
  <phoneticPr fontId="1" type="noConversion"/>
  <hyperlinks>
    <hyperlink ref="C2:F2" location="'SDG1'!A1" display="SDG 1" xr:uid="{6E06861A-FA6E-4D87-8F28-2F4FC4DF37A2}"/>
    <hyperlink ref="C3:F3" location="'SDG2'!A1" display="SDG 2" xr:uid="{10A76AAB-BAEE-4B5B-BB30-8769E7C3FC2B}"/>
    <hyperlink ref="C4:F4" location="'SDG3'!A1" display="SDG 3" xr:uid="{6CB513D8-158F-4C6B-A73E-88A96DB13868}"/>
    <hyperlink ref="C5:F5" location="'SDG4'!A1" display="SDG 4" xr:uid="{AF50D4AD-E9AD-478A-98F8-8381E5C08CDB}"/>
    <hyperlink ref="C6:F6" location="'SDG5'!A1" display="SDG 5" xr:uid="{72188ACC-62DB-4927-9F07-6533EAFF73D7}"/>
    <hyperlink ref="C7:F7" location="'SDG6'!A1" display="SDG 6" xr:uid="{599E36DF-35E4-4008-9811-81B441030B7D}"/>
    <hyperlink ref="C8:F8" location="'SDG7'!A1" display="SDG 7" xr:uid="{3D09CABE-F1F6-4049-82A7-46210F3DF03D}"/>
    <hyperlink ref="C9:F9" location="'SDG8'!A1" display="SDG 8" xr:uid="{4DA9FA1D-A9F0-4498-AB23-03FD364846BD}"/>
    <hyperlink ref="C10:F10" location="'SDG9'!A1" display="SDG 9" xr:uid="{E2188C8E-34A5-44EE-AC3A-61F96C589193}"/>
    <hyperlink ref="C11:F11" location="'SDG10'!A1" display="SDG 10" xr:uid="{1E95A962-DC05-4136-A607-DA25098F5112}"/>
    <hyperlink ref="C12:F12" location="'SDG11'!A1" display="SDG 11" xr:uid="{C91F1B8A-83BF-469B-B39B-2941FDBF37D7}"/>
    <hyperlink ref="C13:F13" location="'SDG12'!A1" display="SDG 12" xr:uid="{5F87E993-F9BE-410C-A748-2F3FA6D8E3BB}"/>
    <hyperlink ref="C14:F14" location="'SDG13'!A1" display="SDG 13" xr:uid="{49AE10FD-518C-4283-BE44-66DA7F24F89C}"/>
    <hyperlink ref="C15:F15" location="'SDG14'!A1" display="SDG 14" xr:uid="{75FEE9F0-4477-4554-84B5-73C1BE8FABCC}"/>
    <hyperlink ref="C16:F16" location="'SDG15'!A1" display="SDG 15" xr:uid="{F8C74BD7-9B7D-4F5D-A6EA-E75751189A49}"/>
    <hyperlink ref="C17:F17" location="'SDG16'!A1" display="SDG 16" xr:uid="{BAF279F7-0B04-47C9-95A4-9D0DB07F2F0B}"/>
    <hyperlink ref="C18:F18" location="'SDG17'!A1" display="SDG 17" xr:uid="{A2C076D0-5CC2-4FA5-87E8-FBEA0F694958}"/>
    <hyperlink ref="C19:F19" location="'SDG1'!A1" display="SDG 1" xr:uid="{65ABDD25-2224-44FD-96B2-889157E01C4A}"/>
    <hyperlink ref="C20:F20" location="'SDG2'!A1" display="SDG 2" xr:uid="{AC7CF207-EE73-4887-AED6-0623FD1555AB}"/>
    <hyperlink ref="C21:F21" location="'SDG3'!A1" display="SDG 3" xr:uid="{6182D21A-B290-4A56-923B-FD014B9CB459}"/>
    <hyperlink ref="C22:F22" location="'SDG4'!A1" display="SDG 4" xr:uid="{F5F2AA04-875B-4233-B094-EEDD6AE74E18}"/>
    <hyperlink ref="C23:F23" location="'SDG5'!A1" display="SDG 5" xr:uid="{CCA0AF55-371C-4A8D-9784-4199D01A7024}"/>
    <hyperlink ref="C24:F24" location="'SDG6'!A1" display="SDG 6" xr:uid="{93846AF5-9400-4CC3-BF69-AAFD672C5957}"/>
    <hyperlink ref="C25:F25" location="'SDG7'!A1" display="SDG 7" xr:uid="{0157B2E7-FE0E-4920-8949-43CFC3BBFFE3}"/>
    <hyperlink ref="C26:F26" location="'SDG8'!A1" display="SDG 8" xr:uid="{93ADB4EE-216B-4BE8-8994-D50476218556}"/>
    <hyperlink ref="C27:F27" location="'SDG9'!A1" display="SDG 9" xr:uid="{9D89422D-315E-4D31-90FC-A33B93A230F7}"/>
    <hyperlink ref="C28:F28" location="'SDG10'!A1" display="SDG 10" xr:uid="{804E360D-0A3C-4F5E-9AF8-DF38163DB3F8}"/>
    <hyperlink ref="C29:F29" location="'SDG11'!A1" display="SDG 11" xr:uid="{9A996270-8B11-4C51-AB5A-FAE7A5158F74}"/>
    <hyperlink ref="C30:F30" location="'SDG12'!A1" display="SDG 12" xr:uid="{6749197C-6BEA-4913-A2C5-355101FDE660}"/>
    <hyperlink ref="C31:F31" location="'SDG13'!A1" display="SDG 13" xr:uid="{822B9A8A-B152-4157-B7E2-499325543039}"/>
    <hyperlink ref="C32:F32" location="'SDG14'!A1" display="SDG 14" xr:uid="{DE247A7C-6CFD-44CF-9F88-14844159829A}"/>
    <hyperlink ref="C33:F33" location="'SDG15'!A1" display="SDG 15" xr:uid="{93AD40F8-A628-433F-820B-D22F263FB848}"/>
    <hyperlink ref="C34:F34" location="'SDG16'!A1" display="SDG 16" xr:uid="{815354A7-E8C7-4622-9FBF-1F81FC4875BE}"/>
    <hyperlink ref="C35:F35" location="'SDG17'!A1" display="SDG 17" xr:uid="{F4624320-A0B8-4666-9F28-49C742875584}"/>
    <hyperlink ref="C36:F36" location="'SDG1'!A1" display="SDG 1" xr:uid="{00B4AF50-3978-45DB-B10D-72DA6653C67B}"/>
    <hyperlink ref="C37:F37" location="'SDG2'!A1" display="SDG 2" xr:uid="{18AAF65D-7D1B-4944-B058-2A99E21A7BCD}"/>
    <hyperlink ref="C38:F38" location="'SDG3'!A1" display="SDG 3" xr:uid="{F26EB5A1-8B6F-4B94-833C-55E2E3977878}"/>
    <hyperlink ref="C39:F39" location="'SDG4'!A1" display="SDG 4" xr:uid="{4FA3135D-4E67-4BAC-A51B-02A76F0EFAEA}"/>
    <hyperlink ref="C40:F40" location="'SDG5'!A1" display="SDG 5" xr:uid="{773FB604-D0F5-481D-B568-4B7BBA8293A7}"/>
    <hyperlink ref="C41:F41" location="'SDG6'!A1" display="SDG 6" xr:uid="{070E5265-01F6-4848-B333-4A72A6FB6721}"/>
    <hyperlink ref="C42:F42" location="'SDG7'!A1" display="SDG 7" xr:uid="{4BB49223-4CCE-4081-A975-3D38DD2E27FF}"/>
    <hyperlink ref="C43:F43" location="'SDG8'!A1" display="SDG 8" xr:uid="{A63237E3-866A-4E6F-8BCF-82390BF4E3EC}"/>
    <hyperlink ref="C44:F44" location="'SDG9'!A1" display="SDG 9" xr:uid="{448450FD-EF22-48DB-B8B4-E057965FB983}"/>
    <hyperlink ref="C45:F45" location="'SDG10'!A1" display="SDG 10" xr:uid="{5303D5B4-7D6B-46A3-92C4-5A31C82DC5EE}"/>
    <hyperlink ref="C46:F46" location="'SDG11'!A1" display="SDG 11" xr:uid="{D8E09D3F-5D70-4296-8A14-F93C8BFF6C40}"/>
    <hyperlink ref="C47:F47" location="'SDG12'!A1" display="SDG 12" xr:uid="{1A3EDF08-1798-4B1F-AE7E-1BBCA28654F5}"/>
    <hyperlink ref="C48:F48" location="'SDG13'!A1" display="SDG 13" xr:uid="{8C5A4546-70A5-4F57-B735-683A063E3C89}"/>
    <hyperlink ref="C49:F49" location="'SDG14'!A1" display="SDG 14" xr:uid="{57D5EBD9-789E-49A1-B829-325759767996}"/>
    <hyperlink ref="C50:F50" location="'SDG15'!A1" display="SDG 15" xr:uid="{85FD9313-0510-4483-8772-0E501A0C7A38}"/>
    <hyperlink ref="C51:F51" location="'SDG16'!A1" display="SDG 16" xr:uid="{BE6CF8AA-D9DB-4308-8741-33E3E3FDCC89}"/>
    <hyperlink ref="C52:F52" location="'SDG17'!A1" display="SDG 17" xr:uid="{E779DE6F-B7AC-4EE8-998A-A1119035553A}"/>
    <hyperlink ref="C53:F53" location="'SDG1'!A1" display="SDG 1" xr:uid="{AB1586B6-C7FE-44EE-8F70-A4FAF45D8C27}"/>
    <hyperlink ref="C54:F54" location="'SDG2'!A1" display="SDG 2" xr:uid="{57033611-7FE3-4C13-86FF-8AAF528D46A7}"/>
    <hyperlink ref="C55:F55" location="'SDG3'!A1" display="SDG 3" xr:uid="{9B3B7055-8D23-486E-81FB-1D3CA4D21D95}"/>
    <hyperlink ref="C56:F56" location="'SDG4'!A1" display="SDG 4" xr:uid="{F3271A37-94E0-41BD-A76E-60DE30E8E5F3}"/>
    <hyperlink ref="C57:F57" location="'SDG5'!A1" display="SDG 5" xr:uid="{CDB01608-1974-4AF3-87EE-C88989538317}"/>
    <hyperlink ref="C58:F58" location="'SDG6'!A1" display="SDG 6" xr:uid="{17DD1D88-521D-4897-A075-EA577C727575}"/>
    <hyperlink ref="C59:F59" location="'SDG7'!A1" display="SDG 7" xr:uid="{D20287B8-4FA8-4ED3-9D06-467C0EB93CE8}"/>
    <hyperlink ref="C60:F60" location="'SDG8'!A1" display="SDG 8" xr:uid="{4A106885-04A7-47F0-B3BA-09584114EA9C}"/>
    <hyperlink ref="C61:F61" location="'SDG9'!A1" display="SDG 9" xr:uid="{2AAD497C-CD8C-496D-B14A-0703215A7537}"/>
    <hyperlink ref="C62:F62" location="'SDG10'!A1" display="SDG 10" xr:uid="{3A4A368B-5785-459E-9601-CBA67C9393B0}"/>
    <hyperlink ref="C63:F63" location="'SDG11'!A1" display="SDG 11" xr:uid="{083F9FB7-3D8C-47F4-8F6C-578EB1F3C6C2}"/>
    <hyperlink ref="C64:F64" location="'SDG12'!A1" display="SDG 12" xr:uid="{A120BC64-3C6A-4F45-B0E9-8808E520F377}"/>
    <hyperlink ref="C65:F65" location="'SDG13'!A1" display="SDG 13" xr:uid="{566F7752-76B1-4649-BF4E-B6C14C3BBB40}"/>
    <hyperlink ref="C66:F66" location="'SDG14'!A1" display="SDG 14" xr:uid="{0BB08AC0-F9F7-4FBA-ACC5-9D01B0AFB2F9}"/>
    <hyperlink ref="C67:F67" location="'SDG15'!A1" display="SDG 15" xr:uid="{8B8385A9-B951-4C3C-8B0F-0A580B168907}"/>
    <hyperlink ref="C68:F68" location="'SDG16'!A1" display="SDG 16" xr:uid="{5889BB4A-5B41-4E35-8351-3856B7B8C656}"/>
    <hyperlink ref="C69:F69" location="'SDG17'!A1" display="SDG 17" xr:uid="{455E9AFF-A18D-4E07-83BA-60632E27346B}"/>
    <hyperlink ref="C70:F70" location="'SDG1'!A1" display="SDG 1" xr:uid="{BA6EF5BA-4BED-4BCC-85CF-94A646C67E03}"/>
    <hyperlink ref="C71:F71" location="'SDG2'!A1" display="SDG 2" xr:uid="{9C7AAF4E-BB7A-4F31-B36B-29B11D48F879}"/>
    <hyperlink ref="C72:F72" location="'SDG3'!A1" display="SDG 3" xr:uid="{3FF68D8B-1783-4F6C-80E5-ED56B7B200FB}"/>
    <hyperlink ref="C73:F73" location="'SDG4'!A1" display="SDG 4" xr:uid="{579465B3-34DB-4EF0-9D06-CFF275D91997}"/>
    <hyperlink ref="C74:F74" location="'SDG5'!A1" display="SDG 5" xr:uid="{C779E667-81BF-47EC-AE18-78EBE07D7DF2}"/>
    <hyperlink ref="C75:F75" location="'SDG6'!A1" display="SDG 6" xr:uid="{AE088A3D-7FCD-494F-BFC1-0302CD801722}"/>
    <hyperlink ref="C76:F76" location="'SDG7'!A1" display="SDG 7" xr:uid="{FE8B96B1-D6CC-49C0-83DB-11B0EF89BC5D}"/>
    <hyperlink ref="C77:F77" location="'SDG8'!A1" display="SDG 8" xr:uid="{4D12AD79-6D73-45D7-9530-28420C63873D}"/>
    <hyperlink ref="C78:F78" location="'SDG9'!A1" display="SDG 9" xr:uid="{72D0021C-846F-4111-BB23-243D4C0AAE31}"/>
    <hyperlink ref="C79:F79" location="'SDG10'!A1" display="SDG 10" xr:uid="{65FB36B4-C287-454A-9AC9-44E44D60E24F}"/>
    <hyperlink ref="C80:F80" location="'SDG11'!A1" display="SDG 11" xr:uid="{50A05247-C707-44AD-9770-255FEA228DBE}"/>
    <hyperlink ref="C81:F81" location="'SDG12'!A1" display="SDG 12" xr:uid="{0B264BD5-7CDE-4BF2-A9C3-A8AEB78BCF01}"/>
    <hyperlink ref="C82:F82" location="'SDG13'!A1" display="SDG 13" xr:uid="{E1F2FFD7-D10B-4E50-A5D7-20CB5760803C}"/>
    <hyperlink ref="C83:F83" location="'SDG14'!A1" display="SDG 14" xr:uid="{DE83DBC6-70EE-4469-9AF8-4C7A4AA9DBE3}"/>
    <hyperlink ref="C84:F84" location="'SDG15'!A1" display="SDG 15" xr:uid="{DB146100-412E-4A59-95B2-9BB739F8DFA3}"/>
    <hyperlink ref="C85:F85" location="'SDG16'!A1" display="SDG 16" xr:uid="{1602CEFA-2DA6-4AA2-92AA-508CB23CABB8}"/>
    <hyperlink ref="C86:F86" location="'SDG17'!A1" display="SDG 17" xr:uid="{18EA2F58-08E1-42B1-AB9D-5E43F6EE666A}"/>
    <hyperlink ref="C87:F87" location="'SDG1'!A1" display="SDG 1" xr:uid="{C3D91767-4C17-4766-92DA-CD354A1B9CFE}"/>
    <hyperlink ref="C88:F88" location="'SDG2'!A1" display="SDG 2" xr:uid="{4C2E2F3C-0158-4EF5-B3E7-C315DAE8BE5C}"/>
    <hyperlink ref="C89:F89" location="'SDG3'!A1" display="SDG 3" xr:uid="{B62B6F11-DA8D-4C58-8580-AE9FFAFB8A7E}"/>
    <hyperlink ref="C90:F90" location="'SDG4'!A1" display="SDG 4" xr:uid="{73922D5A-0CE7-44E9-A559-C35ED6AD1901}"/>
    <hyperlink ref="C91:F91" location="'SDG5'!A1" display="SDG 5" xr:uid="{1BD3A5E5-169E-43E0-BF26-2BE36026756C}"/>
    <hyperlink ref="C92:F92" location="'SDG6'!A1" display="SDG 6" xr:uid="{B952B8EC-DBAA-4B89-8F4C-F64917AB6656}"/>
    <hyperlink ref="C93:F93" location="'SDG7'!A1" display="SDG 7" xr:uid="{8898EA97-75DA-436E-AA85-F909FB3275D7}"/>
    <hyperlink ref="C94:F94" location="'SDG8'!A1" display="SDG 8" xr:uid="{284A4C04-9AA0-4910-B6E0-FCB9612B90E9}"/>
    <hyperlink ref="C95:F95" location="'SDG9'!A1" display="SDG 9" xr:uid="{5229EE09-C4BE-4D48-A610-A2071DC487EF}"/>
    <hyperlink ref="C96:F96" location="'SDG10'!A1" display="SDG 10" xr:uid="{E933C01E-9D58-47DC-B217-2C0E69FBA463}"/>
    <hyperlink ref="C97:F97" location="'SDG11'!A1" display="SDG 11" xr:uid="{1ACBD25B-8D60-4ABA-935B-40B30E326A14}"/>
    <hyperlink ref="C98:F98" location="'SDG12'!A1" display="SDG 12" xr:uid="{D138CD7B-0C1D-482F-A8C0-DDD79D280CD7}"/>
    <hyperlink ref="C99:F99" location="'SDG13'!A1" display="SDG 13" xr:uid="{5215F2AF-197B-46E4-9823-6B8B7CA365AB}"/>
    <hyperlink ref="C100:F100" location="'SDG14'!A1" display="SDG 14" xr:uid="{6A499FEF-0201-4601-BB54-596493F0602C}"/>
    <hyperlink ref="C101:F101" location="'SDG15'!A1" display="SDG 15" xr:uid="{9AC6F965-1E02-4030-A5DB-72513A752770}"/>
    <hyperlink ref="C102:F102" location="'SDG16'!A1" display="SDG 16" xr:uid="{42A4E292-339C-40E1-9D62-FF09FC3D19EC}"/>
    <hyperlink ref="C103:F103" location="'SDG17'!A1" display="SDG 17" xr:uid="{80EE4E0D-8C34-4B34-B177-A0AE503FD1C9}"/>
    <hyperlink ref="C104:F104" location="'SDG1'!A1" display="SDG 1" xr:uid="{7FA17393-87A2-42A0-9A4A-4BFECD184D65}"/>
    <hyperlink ref="C105:F105" location="'SDG2'!A1" display="SDG 2" xr:uid="{F90F3AB5-4CB6-4EA9-B6DB-4D0C2C9EF15F}"/>
    <hyperlink ref="C106:F106" location="'SDG3'!A1" display="SDG 3" xr:uid="{EC0A424F-BBCE-4C8F-8A41-EBA0732528A2}"/>
    <hyperlink ref="C107:F107" location="'SDG4'!A1" display="SDG 4" xr:uid="{C41226CF-3EFA-4DE5-BD1B-C202B8B735EA}"/>
    <hyperlink ref="C108:F108" location="'SDG5'!A1" display="SDG 5" xr:uid="{25050E12-845C-41B8-AAA4-1E4549ED899E}"/>
    <hyperlink ref="C109:F109" location="'SDG6'!A1" display="SDG 6" xr:uid="{2F5D1246-D073-4AE3-B936-3F8FD3CDFD0C}"/>
    <hyperlink ref="C110:F110" location="'SDG7'!A1" display="SDG 7" xr:uid="{287148D7-FCD6-4664-AD67-B47E63B73BA4}"/>
    <hyperlink ref="C111:F111" location="'SDG8'!A1" display="SDG 8" xr:uid="{60C044F0-97C1-4210-A0D2-BCE89D9DF2C9}"/>
    <hyperlink ref="C112:F112" location="'SDG9'!A1" display="SDG 9" xr:uid="{186A7C7C-BC27-48AC-885D-EB06061D52B6}"/>
    <hyperlink ref="C113:F113" location="'SDG10'!A1" display="SDG 10" xr:uid="{388EA32A-804C-4715-ABE1-151BF6D3189A}"/>
    <hyperlink ref="C114:F114" location="'SDG11'!A1" display="SDG 11" xr:uid="{04D8E83E-7472-419E-B8A7-22C15415FDDF}"/>
    <hyperlink ref="C115:F115" location="'SDG12'!A1" display="SDG 12" xr:uid="{66924A6E-021E-4D40-AE2C-23147C3B3865}"/>
    <hyperlink ref="C116:F116" location="'SDG13'!A1" display="SDG 13" xr:uid="{8A4A7ACD-A546-4DA8-BB59-851E230271AA}"/>
    <hyperlink ref="C117:F117" location="'SDG14'!A1" display="SDG 14" xr:uid="{E086202B-BBD8-456F-98B6-B895C1D8D5FE}"/>
    <hyperlink ref="C118:F118" location="'SDG15'!A1" display="SDG 15" xr:uid="{3FF6C92E-1E49-4AC9-9330-75F75C04F76D}"/>
    <hyperlink ref="C119:F119" location="'SDG16'!A1" display="SDG 16" xr:uid="{BF507911-E742-4AF7-A5D2-2166E5FFFCC6}"/>
    <hyperlink ref="C120:F120" location="'SDG17'!A1" display="SDG 17" xr:uid="{F54158B1-D180-4A54-9CB9-5D6ED410EA4E}"/>
    <hyperlink ref="C121:F121" location="'SDG1'!A1" display="SDG 1" xr:uid="{D01FB1DF-B5DB-4D20-9C24-B906D84E327F}"/>
    <hyperlink ref="C122:F122" location="'SDG2'!A1" display="SDG 2" xr:uid="{C632A1B2-F9AA-4459-921D-9AA2866C22DB}"/>
    <hyperlink ref="C123:F123" location="'SDG3'!A1" display="SDG 3" xr:uid="{C5E630ED-1A1F-4962-B531-A8BE521B1123}"/>
    <hyperlink ref="C124:F124" location="'SDG4'!A1" display="SDG 4" xr:uid="{C0B4B43D-2E24-4A00-8EC2-917143C9083C}"/>
    <hyperlink ref="C125:F125" location="'SDG5'!A1" display="SDG 5" xr:uid="{634B8550-80B0-4B23-BE97-567CE0B70F47}"/>
    <hyperlink ref="C126:F126" location="'SDG6'!A1" display="SDG 6" xr:uid="{C7329976-96D2-447A-9FD8-8F0FD3EE9523}"/>
    <hyperlink ref="C127:F127" location="'SDG7'!A1" display="SDG 7" xr:uid="{F37654E5-ACED-4F04-B683-707851BAAF25}"/>
    <hyperlink ref="C128:F128" location="'SDG8'!A1" display="SDG 8" xr:uid="{AE0DD626-0448-4E2A-8911-E93A0E561FB9}"/>
    <hyperlink ref="C129:F129" location="'SDG9'!A1" display="SDG 9" xr:uid="{0E0F49BB-7675-42CB-8C9F-7619CA0C9443}"/>
    <hyperlink ref="C130:F130" location="'SDG10'!A1" display="SDG 10" xr:uid="{07900AC9-9104-41DE-81A7-5644D5B62F3D}"/>
    <hyperlink ref="C131:F131" location="'SDG11'!A1" display="SDG 11" xr:uid="{0B17BCE1-DD33-4F4C-9F7F-3EC7E8CE45A5}"/>
    <hyperlink ref="C132:F132" location="'SDG12'!A1" display="SDG 12" xr:uid="{7BEA77C0-F6FA-4A4C-8079-F1EE2ABAD9C0}"/>
    <hyperlink ref="C133:F133" location="'SDG13'!A1" display="SDG 13" xr:uid="{64699229-9C0F-487B-95E5-CECEAEEF3C21}"/>
    <hyperlink ref="C134:F134" location="'SDG14'!A1" display="SDG 14" xr:uid="{03C38466-CB55-467A-8C78-5C7E9935758F}"/>
    <hyperlink ref="C135:F135" location="'SDG15'!A1" display="SDG 15" xr:uid="{F5040C27-479C-4164-90E7-6937882D0706}"/>
    <hyperlink ref="C136:F136" location="'SDG16'!A1" display="SDG 16" xr:uid="{B258AE4D-C61B-40F3-963B-82A7AB7C4271}"/>
    <hyperlink ref="C137:F137" location="'SDG17'!A1" display="SDG 17" xr:uid="{52E5799E-6B2A-4836-9C67-0EE2A71D78CB}"/>
    <hyperlink ref="C138:F138" location="'SDG1'!A1" display="SDG 1" xr:uid="{FAFF6227-4DC9-4DD7-83C5-04AC0B734E75}"/>
    <hyperlink ref="C139:F139" location="'SDG2'!A1" display="SDG 2" xr:uid="{8AE9E5B1-DC05-4E04-B52B-7377B2B0F0EE}"/>
    <hyperlink ref="C140:F140" location="'SDG3'!A1" display="SDG 3" xr:uid="{5CB0BD98-2BA2-4DD8-9224-BE1F660CE128}"/>
    <hyperlink ref="C141:F141" location="'SDG4'!A1" display="SDG 4" xr:uid="{5423BB76-AEAE-4605-BCB6-85E36931A869}"/>
    <hyperlink ref="C142:F142" location="'SDG5'!A1" display="SDG 5" xr:uid="{6F3AECD1-E80E-457D-AD63-D5C0658957C8}"/>
    <hyperlink ref="C143:F143" location="'SDG6'!A1" display="SDG 6" xr:uid="{FED2082F-ABFF-4847-9174-4773510A6870}"/>
    <hyperlink ref="C144:F144" location="'SDG7'!A1" display="SDG 7" xr:uid="{BA05086F-8221-42D6-97C2-3DAACE2C047C}"/>
    <hyperlink ref="C145:F145" location="'SDG8'!A1" display="SDG 8" xr:uid="{E7A6248A-B89B-4E9E-8D97-E35979231C92}"/>
    <hyperlink ref="C146:F146" location="'SDG9'!A1" display="SDG 9" xr:uid="{A4AA7129-8166-4038-A002-244FF244B726}"/>
    <hyperlink ref="C147:F147" location="'SDG10'!A1" display="SDG 10" xr:uid="{FBDC8239-AD7A-4EEB-BCB8-03254680F9CA}"/>
    <hyperlink ref="C148:F148" location="'SDG11'!A1" display="SDG 11" xr:uid="{1230739F-0A57-4D80-984F-6471BAFD0A33}"/>
    <hyperlink ref="C149:F149" location="'SDG12'!A1" display="SDG 12" xr:uid="{C1D60988-634A-470E-B268-416116473B53}"/>
    <hyperlink ref="C150:F150" location="'SDG13'!A1" display="SDG 13" xr:uid="{F99FCF70-4FF2-44AA-98C6-446980165BF7}"/>
    <hyperlink ref="C151:F151" location="'SDG14'!A1" display="SDG 14" xr:uid="{DA2110C8-A2C8-49F5-988B-97B9C37CBF01}"/>
    <hyperlink ref="C152:F152" location="'SDG15'!A1" display="SDG 15" xr:uid="{84CBD6E3-ABB5-46A5-80EB-89A01F330C46}"/>
    <hyperlink ref="C153:F153" location="'SDG16'!A1" display="SDG 16" xr:uid="{B808D069-9944-4364-8CF9-6054810975D5}"/>
    <hyperlink ref="C154:F154" location="'SDG17'!A1" display="SDG 17" xr:uid="{0644E5AF-5288-4BB9-B949-C9FE650A40FA}"/>
    <hyperlink ref="C155:F155" location="'SDG1'!A1" display="SDG 1" xr:uid="{D916F7E5-0C51-4693-9444-A1888B26E558}"/>
    <hyperlink ref="C156:F156" location="'SDG2'!A1" display="SDG 2" xr:uid="{4078449A-95EF-492E-B26F-CFA543F9BD20}"/>
    <hyperlink ref="C157:F157" location="'SDG3'!A1" display="SDG 3" xr:uid="{606D7A0E-9ED1-4CCE-91B1-70FCCED460F4}"/>
    <hyperlink ref="C158:F158" location="'SDG4'!A1" display="SDG 4" xr:uid="{90238E9C-A27F-4707-AE63-DAC3BA4B0B3E}"/>
    <hyperlink ref="C159:F159" location="'SDG5'!A1" display="SDG 5" xr:uid="{08765AAB-2750-436C-891D-0579CF611617}"/>
    <hyperlink ref="C160:F160" location="'SDG6'!A1" display="SDG 6" xr:uid="{0214644F-8966-4458-98E1-D8A467A8C902}"/>
    <hyperlink ref="C161:F161" location="'SDG7'!A1" display="SDG 7" xr:uid="{C48F3460-75F4-4722-94BD-94430A744853}"/>
    <hyperlink ref="C162:F162" location="'SDG8'!A1" display="SDG 8" xr:uid="{99086C16-A942-4121-A90B-C1C33F51D10C}"/>
    <hyperlink ref="C163:F163" location="'SDG9'!A1" display="SDG 9" xr:uid="{CAA37CF6-DFBA-4ADB-BD4C-059AE00876A1}"/>
    <hyperlink ref="C164:F164" location="'SDG10'!A1" display="SDG 10" xr:uid="{D4F80151-4351-4D97-90C0-447168645EB3}"/>
    <hyperlink ref="C165:F165" location="'SDG11'!A1" display="SDG 11" xr:uid="{5A71FB35-08B7-4A34-B247-6D20B53AD00F}"/>
    <hyperlink ref="C166:F166" location="'SDG12'!A1" display="SDG 12" xr:uid="{452C26FD-7C89-4C57-BCDF-457DF870D6B6}"/>
    <hyperlink ref="C167:F167" location="'SDG13'!A1" display="SDG 13" xr:uid="{7F962378-9AA1-4B4B-8080-10189DC90642}"/>
    <hyperlink ref="C168:F168" location="'SDG14'!A1" display="SDG 14" xr:uid="{0F6B2E7F-A8FC-4660-A2CE-98FFB2643997}"/>
    <hyperlink ref="C169:F169" location="'SDG15'!A1" display="SDG 15" xr:uid="{020A5626-1C4C-4CCC-8C9C-B4E527390F23}"/>
    <hyperlink ref="C170:F170" location="'SDG16'!A1" display="SDG 16" xr:uid="{3C6E71BA-C428-4039-A11F-AA2DBB8EA798}"/>
    <hyperlink ref="C171:F171" location="'SDG17'!A1" display="SDG 17" xr:uid="{B5339EF8-B1F4-40CB-8729-F50C8787EBF7}"/>
    <hyperlink ref="C172:F172" location="'SDG1'!A1" display="SDG 1" xr:uid="{211CAA2F-D13B-4764-8D71-B76390B8DF60}"/>
    <hyperlink ref="C173:F173" location="'SDG2'!A1" display="SDG 2" xr:uid="{B923A001-1C03-4391-8DDC-9AA00DC5296E}"/>
    <hyperlink ref="C174:F174" location="'SDG3'!A1" display="SDG 3" xr:uid="{ACC62E38-A129-4CA9-919F-3D8B2A36BABB}"/>
    <hyperlink ref="C175:F175" location="'SDG4'!A1" display="SDG 4" xr:uid="{D978883A-D9F7-430B-BC3D-9100BDFEF579}"/>
    <hyperlink ref="C176:F176" location="'SDG5'!A1" display="SDG 5" xr:uid="{B6692296-3C2F-4F71-AC0F-8AC9767A7B93}"/>
    <hyperlink ref="C177:F177" location="'SDG6'!A1" display="SDG 6" xr:uid="{D3245FBB-4FC7-4D80-8D0D-B0C6C3B25EB0}"/>
    <hyperlink ref="C178:F178" location="'SDG7'!A1" display="SDG 7" xr:uid="{3EDC7E6C-991F-41B4-BB7F-520638518469}"/>
    <hyperlink ref="C179:F179" location="'SDG8'!A1" display="SDG 8" xr:uid="{7E302BBD-C677-4F63-AE56-476BAD740506}"/>
    <hyperlink ref="C180:F180" location="'SDG9'!A1" display="SDG 9" xr:uid="{EEC2EF53-DDDF-4DDA-9623-0EE732556BC1}"/>
    <hyperlink ref="C181:F181" location="'SDG10'!A1" display="SDG 10" xr:uid="{AE0817F6-FA41-4CF3-A53C-7E5DE3EA2A68}"/>
    <hyperlink ref="C182:F182" location="'SDG11'!A1" display="SDG 11" xr:uid="{94D6F891-EFB6-4BE7-BFB2-3622864FE823}"/>
    <hyperlink ref="C183:F183" location="'SDG12'!A1" display="SDG 12" xr:uid="{BC7589F4-F188-44CA-81D7-43DD560EAE60}"/>
    <hyperlink ref="C184:F184" location="'SDG13'!A1" display="SDG 13" xr:uid="{776D2B8E-E524-473E-8696-5F1145845A00}"/>
    <hyperlink ref="C185:F185" location="'SDG14'!A1" display="SDG 14" xr:uid="{01226BA0-57DF-4003-8202-E47622FE8E4D}"/>
    <hyperlink ref="C186:F186" location="'SDG15'!A1" display="SDG 15" xr:uid="{3F235B51-737D-4C1E-8F29-1F4E2AF1AF1C}"/>
    <hyperlink ref="C187:F187" location="'SDG16'!A1" display="SDG 16" xr:uid="{B21F62E7-5AE8-4AF0-B918-CAD0AB938129}"/>
    <hyperlink ref="C188:F188" location="'SDG17'!A1" display="SDG 17" xr:uid="{4E8B5A3E-286F-4256-9D62-8A6A42678246}"/>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65FE-37EA-4EA7-81F5-92738C131C0C}">
  <dimension ref="A1:M61"/>
  <sheetViews>
    <sheetView showGridLines="0" topLeftCell="B1" workbookViewId="0">
      <selection activeCell="C24" sqref="C24"/>
    </sheetView>
  </sheetViews>
  <sheetFormatPr defaultRowHeight="15" x14ac:dyDescent="0.25"/>
  <cols>
    <col min="1" max="1" width="14.28515625" bestFit="1" customWidth="1"/>
    <col min="2" max="2" width="15.42578125" bestFit="1" customWidth="1"/>
    <col min="3" max="3" width="17.85546875" customWidth="1"/>
    <col min="4" max="4" width="5.28515625" customWidth="1"/>
    <col min="5" max="5" width="18.85546875" style="394" customWidth="1"/>
  </cols>
  <sheetData>
    <row r="1" spans="1:13" ht="25.9" x14ac:dyDescent="0.25">
      <c r="A1" s="469" t="s">
        <v>786</v>
      </c>
      <c r="B1" s="468" t="s">
        <v>722</v>
      </c>
      <c r="C1" s="468" t="s">
        <v>20</v>
      </c>
    </row>
    <row r="2" spans="1:13" ht="25.9" x14ac:dyDescent="0.25">
      <c r="A2" s="80" t="s">
        <v>0</v>
      </c>
      <c r="B2" s="81" t="s">
        <v>138</v>
      </c>
      <c r="C2" s="99">
        <f>LOOKUP(2,1/('SDG1'!J:J&lt;&gt;""),'SDG1'!J:J)</f>
        <v>100</v>
      </c>
      <c r="E2" s="395"/>
    </row>
    <row r="3" spans="1:13" ht="25.9" x14ac:dyDescent="0.25">
      <c r="A3" s="398" t="s">
        <v>85</v>
      </c>
      <c r="B3" s="399" t="s">
        <v>139</v>
      </c>
      <c r="C3" s="100">
        <f>LOOKUP(2,1/('SDG2'!J:J&lt;&gt;""),'SDG2'!J:J)</f>
        <v>100</v>
      </c>
      <c r="E3" s="395"/>
    </row>
    <row r="4" spans="1:13" ht="25.9" x14ac:dyDescent="0.25">
      <c r="A4" s="400" t="s">
        <v>86</v>
      </c>
      <c r="B4" s="401" t="s">
        <v>140</v>
      </c>
      <c r="C4" s="101">
        <f>LOOKUP(2,1/('SDG3'!J:J&lt;&gt;""),'SDG3'!J:J)</f>
        <v>91</v>
      </c>
      <c r="E4" s="395"/>
    </row>
    <row r="5" spans="1:13" ht="25.9" x14ac:dyDescent="0.25">
      <c r="A5" s="402" t="s">
        <v>87</v>
      </c>
      <c r="B5" s="403" t="s">
        <v>141</v>
      </c>
      <c r="C5" s="102">
        <f>LOOKUP(2,1/('SDG4'!J:J&lt;&gt;""),'SDG4'!J:J)</f>
        <v>100</v>
      </c>
      <c r="E5" s="395"/>
    </row>
    <row r="6" spans="1:13" ht="25.9" x14ac:dyDescent="0.25">
      <c r="A6" s="404" t="s">
        <v>88</v>
      </c>
      <c r="B6" s="405" t="s">
        <v>142</v>
      </c>
      <c r="C6" s="103">
        <f>LOOKUP(2,1/('SDG5'!J:J&lt;&gt;""),'SDG5'!J:J)</f>
        <v>100</v>
      </c>
      <c r="E6" s="395"/>
    </row>
    <row r="7" spans="1:13" ht="25.9" x14ac:dyDescent="0.25">
      <c r="A7" s="406" t="s">
        <v>89</v>
      </c>
      <c r="B7" s="407" t="s">
        <v>143</v>
      </c>
      <c r="C7" s="104">
        <f>LOOKUP(2,1/('SDG6'!J:J&lt;&gt;""),'SDG6'!J:J)</f>
        <v>100</v>
      </c>
      <c r="E7" s="395"/>
      <c r="M7" s="441"/>
    </row>
    <row r="8" spans="1:13" ht="25.9" x14ac:dyDescent="0.25">
      <c r="A8" s="408" t="s">
        <v>90</v>
      </c>
      <c r="B8" s="409" t="s">
        <v>144</v>
      </c>
      <c r="C8" s="105">
        <f>LOOKUP(2,1/('SDG7'!J:J&lt;&gt;""),'SDG7'!J:J)</f>
        <v>100</v>
      </c>
      <c r="E8" s="395"/>
    </row>
    <row r="9" spans="1:13" ht="25.9" x14ac:dyDescent="0.25">
      <c r="A9" s="410" t="s">
        <v>91</v>
      </c>
      <c r="B9" s="411" t="s">
        <v>145</v>
      </c>
      <c r="C9" s="106">
        <f>LOOKUP(2,1/('SDG8'!J:J&lt;&gt;""),'SDG8'!J:J)</f>
        <v>100</v>
      </c>
      <c r="E9" s="395"/>
    </row>
    <row r="10" spans="1:13" ht="25.9" x14ac:dyDescent="0.25">
      <c r="A10" s="412" t="s">
        <v>129</v>
      </c>
      <c r="B10" s="413" t="s">
        <v>146</v>
      </c>
      <c r="C10" s="107">
        <f>LOOKUP(2,1/('SDG9'!J:J&lt;&gt;""),'SDG9'!J:J)</f>
        <v>100</v>
      </c>
      <c r="E10" s="395"/>
    </row>
    <row r="11" spans="1:13" ht="25.9" x14ac:dyDescent="0.25">
      <c r="A11" s="414" t="s">
        <v>130</v>
      </c>
      <c r="B11" s="415" t="s">
        <v>147</v>
      </c>
      <c r="C11" s="108">
        <f>LOOKUP(2,1/('SDG10'!J:J&lt;&gt;""),'SDG10'!J:J)</f>
        <v>100</v>
      </c>
      <c r="E11" s="395"/>
    </row>
    <row r="12" spans="1:13" ht="25.9" x14ac:dyDescent="0.25">
      <c r="A12" s="416" t="s">
        <v>131</v>
      </c>
      <c r="B12" s="417" t="s">
        <v>148</v>
      </c>
      <c r="C12" s="109">
        <f>LOOKUP(2,1/('SDG11'!J:J&lt;&gt;""),'SDG11'!J:J)</f>
        <v>100</v>
      </c>
      <c r="E12" s="395"/>
    </row>
    <row r="13" spans="1:13" ht="25.9" x14ac:dyDescent="0.25">
      <c r="A13" s="418" t="s">
        <v>132</v>
      </c>
      <c r="B13" s="419" t="s">
        <v>149</v>
      </c>
      <c r="C13" s="110">
        <f>LOOKUP(2,1/('SDG12'!J:J&lt;&gt;""),'SDG12'!J:J)</f>
        <v>100</v>
      </c>
      <c r="E13" s="395"/>
    </row>
    <row r="14" spans="1:13" ht="25.9" x14ac:dyDescent="0.25">
      <c r="A14" s="420" t="s">
        <v>133</v>
      </c>
      <c r="B14" s="421" t="s">
        <v>150</v>
      </c>
      <c r="C14" s="111">
        <f>LOOKUP(2,1/('SDG13'!J:J&lt;&gt;""),'SDG13'!J:J)</f>
        <v>100</v>
      </c>
      <c r="E14" s="395"/>
    </row>
    <row r="15" spans="1:13" ht="25.9" x14ac:dyDescent="0.25">
      <c r="A15" s="422" t="s">
        <v>134</v>
      </c>
      <c r="B15" s="423" t="s">
        <v>151</v>
      </c>
      <c r="C15" s="112">
        <f>LOOKUP(2,1/('SDG14'!J:J&lt;&gt;""),'SDG14'!J:J)</f>
        <v>100</v>
      </c>
      <c r="E15" s="395"/>
    </row>
    <row r="16" spans="1:13" ht="25.9" x14ac:dyDescent="0.25">
      <c r="A16" s="424" t="s">
        <v>135</v>
      </c>
      <c r="B16" s="425" t="s">
        <v>152</v>
      </c>
      <c r="C16" s="113">
        <f>LOOKUP(2,1/('SDG15'!J:J&lt;&gt;""),'SDG15'!J:J)</f>
        <v>100</v>
      </c>
      <c r="E16" s="395"/>
    </row>
    <row r="17" spans="1:5" ht="25.9" x14ac:dyDescent="0.25">
      <c r="A17" s="426" t="s">
        <v>136</v>
      </c>
      <c r="B17" s="427" t="s">
        <v>153</v>
      </c>
      <c r="C17" s="114">
        <f>LOOKUP(2,1/('SDG16'!J:J&lt;&gt;""),'SDG16'!J:J)</f>
        <v>100</v>
      </c>
      <c r="E17" s="395"/>
    </row>
    <row r="18" spans="1:5" ht="25.9" x14ac:dyDescent="0.25">
      <c r="A18" s="428" t="s">
        <v>137</v>
      </c>
      <c r="B18" s="429" t="s">
        <v>154</v>
      </c>
      <c r="C18" s="98">
        <f>LOOKUP(2,1/('SDG17'!J:J&lt;&gt;""),'SDG17'!J:J)</f>
        <v>100</v>
      </c>
      <c r="E18" s="395"/>
    </row>
    <row r="19" spans="1:5" ht="25.9" x14ac:dyDescent="0.25">
      <c r="A19" s="79"/>
      <c r="B19" s="97" t="s">
        <v>787</v>
      </c>
      <c r="C19" s="397">
        <f>AVERAGE(C2:C18)</f>
        <v>99.470588235294116</v>
      </c>
      <c r="E19" s="396"/>
    </row>
    <row r="43" spans="1:2" x14ac:dyDescent="0.25">
      <c r="A43" s="3" t="s">
        <v>22</v>
      </c>
      <c r="B43" t="s">
        <v>723</v>
      </c>
    </row>
    <row r="44" spans="1:2" x14ac:dyDescent="0.25">
      <c r="A44" s="4" t="s">
        <v>0</v>
      </c>
      <c r="B44">
        <v>100</v>
      </c>
    </row>
    <row r="45" spans="1:2" x14ac:dyDescent="0.25">
      <c r="A45" s="4" t="s">
        <v>85</v>
      </c>
      <c r="B45">
        <v>100</v>
      </c>
    </row>
    <row r="46" spans="1:2" x14ac:dyDescent="0.25">
      <c r="A46" s="4" t="s">
        <v>86</v>
      </c>
      <c r="B46">
        <v>100</v>
      </c>
    </row>
    <row r="47" spans="1:2" x14ac:dyDescent="0.25">
      <c r="A47" s="4" t="s">
        <v>87</v>
      </c>
      <c r="B47">
        <v>100</v>
      </c>
    </row>
    <row r="48" spans="1:2" x14ac:dyDescent="0.25">
      <c r="A48" s="4" t="s">
        <v>88</v>
      </c>
      <c r="B48">
        <v>100</v>
      </c>
    </row>
    <row r="49" spans="1:2" x14ac:dyDescent="0.25">
      <c r="A49" s="4" t="s">
        <v>89</v>
      </c>
      <c r="B49">
        <v>100</v>
      </c>
    </row>
    <row r="50" spans="1:2" x14ac:dyDescent="0.25">
      <c r="A50" s="4" t="s">
        <v>90</v>
      </c>
      <c r="B50">
        <v>100</v>
      </c>
    </row>
    <row r="51" spans="1:2" x14ac:dyDescent="0.25">
      <c r="A51" s="4" t="s">
        <v>91</v>
      </c>
      <c r="B51">
        <v>100</v>
      </c>
    </row>
    <row r="52" spans="1:2" x14ac:dyDescent="0.25">
      <c r="A52" s="4" t="s">
        <v>129</v>
      </c>
      <c r="B52">
        <v>100</v>
      </c>
    </row>
    <row r="53" spans="1:2" x14ac:dyDescent="0.25">
      <c r="A53" s="4" t="s">
        <v>130</v>
      </c>
      <c r="B53">
        <v>100</v>
      </c>
    </row>
    <row r="54" spans="1:2" x14ac:dyDescent="0.25">
      <c r="A54" s="4" t="s">
        <v>131</v>
      </c>
      <c r="B54">
        <v>100</v>
      </c>
    </row>
    <row r="55" spans="1:2" x14ac:dyDescent="0.25">
      <c r="A55" s="4" t="s">
        <v>132</v>
      </c>
      <c r="B55">
        <v>100</v>
      </c>
    </row>
    <row r="56" spans="1:2" x14ac:dyDescent="0.25">
      <c r="A56" s="4" t="s">
        <v>133</v>
      </c>
      <c r="B56">
        <v>100</v>
      </c>
    </row>
    <row r="57" spans="1:2" x14ac:dyDescent="0.25">
      <c r="A57" s="4" t="s">
        <v>134</v>
      </c>
      <c r="B57">
        <v>100</v>
      </c>
    </row>
    <row r="58" spans="1:2" x14ac:dyDescent="0.25">
      <c r="A58" s="4" t="s">
        <v>135</v>
      </c>
      <c r="B58">
        <v>100</v>
      </c>
    </row>
    <row r="59" spans="1:2" x14ac:dyDescent="0.25">
      <c r="A59" s="4" t="s">
        <v>136</v>
      </c>
      <c r="B59">
        <v>100</v>
      </c>
    </row>
    <row r="60" spans="1:2" x14ac:dyDescent="0.25">
      <c r="A60" s="4" t="s">
        <v>137</v>
      </c>
      <c r="B60">
        <v>100</v>
      </c>
    </row>
    <row r="61" spans="1:2" x14ac:dyDescent="0.25">
      <c r="A61" s="4" t="s">
        <v>21</v>
      </c>
      <c r="B61">
        <v>1700</v>
      </c>
    </row>
  </sheetData>
  <sheetProtection algorithmName="SHA-512" hashValue="WubF4MvXWY8OO0MSC2GvGm8yEQilRpl/R26Y9fQ6/h9apul3ofoyZ/73077tBgLbgXbN6OZC1Op5LoDLnWyWKA==" saltValue="vMhjBLyP8tXxCmp9w9gNug==" spinCount="100000" sheet="1" objects="1" scenarios="1"/>
  <phoneticPr fontId="1" type="noConversion"/>
  <hyperlinks>
    <hyperlink ref="A2:B2" location="'SDG1'!A1" display="SDG 1" xr:uid="{D408DF1D-A89C-4D52-A734-49C6C2475A22}"/>
    <hyperlink ref="A3:B3" location="'SDG2'!A1" display="SDG 2" xr:uid="{4E414419-E286-4BDB-8A7A-0DB9B3E0B85B}"/>
    <hyperlink ref="A4:B4" location="'SDG3'!A1" display="SDG 3" xr:uid="{885051FE-41F9-4E19-8727-6312C19553CF}"/>
    <hyperlink ref="A5:B5" location="'SDG4'!A1" display="SDG 4" xr:uid="{61967AB6-0015-4CEA-BE68-14F2EB1E532A}"/>
    <hyperlink ref="A6:B6" location="'SDG5'!A1" display="SDG 5" xr:uid="{764764FF-8432-4DCB-AE5E-9CDB89F1D0E0}"/>
    <hyperlink ref="A7:B7" location="'SDG6'!A1" display="SDG 6" xr:uid="{C7E9C6AA-7EC4-45E3-BB2F-C0BA0D9A349F}"/>
    <hyperlink ref="A8:B8" location="'SDG7'!A1" display="SDG 7" xr:uid="{CBEC3482-021F-482A-BD25-C69E6B625CC2}"/>
    <hyperlink ref="A9:B9" location="'SDG8'!A1" display="SDG 8" xr:uid="{72AFCF7B-6EBD-44FA-AA2F-BC1F9CA5D44A}"/>
    <hyperlink ref="A10:B10" location="'SDG9'!A1" display="SDG 9" xr:uid="{A41A2AB2-9AE7-44AB-85D6-F817DEBABBDF}"/>
    <hyperlink ref="A11:B11" location="'SDG10'!A1" display="SDG 10" xr:uid="{F70AA895-2E3E-487E-8000-B1077EB577A5}"/>
    <hyperlink ref="A12:B12" location="'SDG11'!A1" display="SDG 11" xr:uid="{EB2724B4-4EB8-4FFD-BD90-24C9214077C0}"/>
    <hyperlink ref="A13:B13" location="'SDG12'!A1" display="SDG 12" xr:uid="{60E6DAEF-208C-452B-90D1-EAAE29CA3FFF}"/>
    <hyperlink ref="A14:B14" location="'SDG13'!A1" display="SDG 13" xr:uid="{33B7DC09-9D3E-4AD6-B42A-CC0E6EB5F49B}"/>
    <hyperlink ref="A15:B15" location="'SDG14'!A1" display="SDG 14" xr:uid="{7477ABD8-4ED2-46EA-A5F8-996C2A01924D}"/>
    <hyperlink ref="A16:B16" location="'SDG15'!A1" display="SDG 15" xr:uid="{1272FD71-974F-4DE3-9E69-52AB24E6CF69}"/>
    <hyperlink ref="A17:B17" location="'SDG16'!A1" display="SDG 16" xr:uid="{18FCA056-AE55-4EB5-ADCA-08F9D5F7A396}"/>
    <hyperlink ref="A18:B18" location="'SDG17'!A1" display="SDG 17" xr:uid="{EC27F8B3-77A0-40D4-8961-1F85C9FA7F94}"/>
  </hyperlinks>
  <pageMargins left="0.7" right="0.7" top="0.75" bottom="0.75" header="0.3" footer="0.3"/>
  <pageSetup orientation="portrait" horizontalDpi="0"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82546-E48F-439B-B428-AFBB3300EC9F}">
  <sheetPr>
    <tabColor rgb="FFE5243B"/>
    <pageSetUpPr autoPageBreaks="0"/>
  </sheetPr>
  <dimension ref="A1:M288"/>
  <sheetViews>
    <sheetView showGridLines="0" tabSelected="1" zoomScaleNormal="100" workbookViewId="0">
      <pane ySplit="1" topLeftCell="A2" activePane="bottomLeft" state="frozen"/>
      <selection activeCell="H4" sqref="H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11.7109375" style="53" customWidth="1"/>
    <col min="13" max="13" width="13.7109375" style="30" customWidth="1"/>
  </cols>
  <sheetData>
    <row r="1" spans="1:13" s="86" customFormat="1" ht="45.6" x14ac:dyDescent="0.7">
      <c r="A1" s="83" t="s">
        <v>0</v>
      </c>
      <c r="B1" s="83" t="s">
        <v>44</v>
      </c>
      <c r="C1" s="84" t="s">
        <v>111</v>
      </c>
      <c r="D1" s="83" t="s">
        <v>112</v>
      </c>
      <c r="E1" s="83" t="s">
        <v>73</v>
      </c>
      <c r="F1" s="83" t="s">
        <v>92</v>
      </c>
      <c r="G1" s="85"/>
      <c r="H1" s="85"/>
      <c r="I1" s="124" t="s">
        <v>46</v>
      </c>
      <c r="J1" s="124" t="s">
        <v>181</v>
      </c>
      <c r="K1" s="119" t="s">
        <v>110</v>
      </c>
      <c r="L1" s="120" t="s">
        <v>172</v>
      </c>
      <c r="M1" s="116" t="s">
        <v>177</v>
      </c>
    </row>
    <row r="2" spans="1:13" x14ac:dyDescent="0.25">
      <c r="A2" s="46" t="s">
        <v>0</v>
      </c>
      <c r="B2" s="47" t="s">
        <v>1</v>
      </c>
      <c r="C2" s="48">
        <v>1.1000000000000001</v>
      </c>
      <c r="D2" s="47" t="s">
        <v>2</v>
      </c>
      <c r="E2" s="47" t="s">
        <v>74</v>
      </c>
      <c r="F2" s="47" t="s">
        <v>2</v>
      </c>
      <c r="G2" s="49" t="s">
        <v>107</v>
      </c>
      <c r="H2" s="450">
        <v>2</v>
      </c>
      <c r="I2" s="122"/>
      <c r="J2" s="482">
        <f>I3</f>
        <v>25</v>
      </c>
      <c r="K2" s="52"/>
    </row>
    <row r="3" spans="1:13" x14ac:dyDescent="0.25">
      <c r="A3" s="43"/>
      <c r="B3" s="44"/>
      <c r="C3" s="45"/>
      <c r="D3" s="44"/>
      <c r="E3" s="44"/>
      <c r="F3" s="44"/>
      <c r="G3" s="50" t="s">
        <v>117</v>
      </c>
      <c r="H3" s="450">
        <v>1</v>
      </c>
      <c r="I3" s="128">
        <f>IF(AND(H2&gt;=2,H3&gt;=1),25,IF(AND(H2&gt;0,H3&gt;0),10,IF(AND(H2=1,H3=1),10,IF(AND(H2=1,H3=0),10,IF(AND(H2=0,H3=1),10,IF(AND(H2=0,H3=0),0,IF(AND(H2=0,H3&gt;1),25,IF(AND(H2&gt;1,H3&gt;=0),20))))))))</f>
        <v>25</v>
      </c>
      <c r="J3" s="483"/>
      <c r="K3" s="53">
        <v>25</v>
      </c>
      <c r="L3">
        <v>25</v>
      </c>
    </row>
    <row r="4" spans="1:13" x14ac:dyDescent="0.25">
      <c r="A4" s="32" t="s">
        <v>0</v>
      </c>
      <c r="B4" s="33" t="s">
        <v>1</v>
      </c>
      <c r="C4" s="34">
        <v>1.2</v>
      </c>
      <c r="D4" s="33" t="s">
        <v>26</v>
      </c>
      <c r="E4" s="33" t="s">
        <v>75</v>
      </c>
      <c r="F4" s="33" t="s">
        <v>105</v>
      </c>
      <c r="G4" s="35" t="s">
        <v>40</v>
      </c>
      <c r="H4" s="450">
        <v>3199</v>
      </c>
      <c r="I4" s="125">
        <f>IF(M5&gt;=5%,4,0)</f>
        <v>4</v>
      </c>
      <c r="J4" s="487">
        <f>SUM(I4:I8)</f>
        <v>25</v>
      </c>
      <c r="M4" s="87">
        <f>SUM(H4:H7)</f>
        <v>11215</v>
      </c>
    </row>
    <row r="5" spans="1:13" x14ac:dyDescent="0.25">
      <c r="A5" s="36"/>
      <c r="B5" s="37"/>
      <c r="C5" s="38"/>
      <c r="D5" s="37"/>
      <c r="E5" s="37"/>
      <c r="F5" s="37"/>
      <c r="G5" s="39" t="s">
        <v>41</v>
      </c>
      <c r="H5" s="450">
        <v>6854</v>
      </c>
      <c r="I5" s="126">
        <f>IF(M6&gt;=60%,L6,0)</f>
        <v>10</v>
      </c>
      <c r="J5" s="482"/>
      <c r="L5" s="69">
        <v>4</v>
      </c>
      <c r="M5" s="31">
        <f>H4/$M$4</f>
        <v>0.2852429781542577</v>
      </c>
    </row>
    <row r="6" spans="1:13" x14ac:dyDescent="0.25">
      <c r="A6" s="36"/>
      <c r="B6" s="37"/>
      <c r="C6" s="38"/>
      <c r="D6" s="37"/>
      <c r="E6" s="37"/>
      <c r="F6" s="37"/>
      <c r="G6" s="39" t="s">
        <v>42</v>
      </c>
      <c r="H6" s="450">
        <v>601</v>
      </c>
      <c r="I6" s="126">
        <f>IF(M7&gt;=5%,L7,0)</f>
        <v>4</v>
      </c>
      <c r="J6" s="482"/>
      <c r="L6" s="69">
        <v>10</v>
      </c>
      <c r="M6" s="31">
        <f>H5/$M$4</f>
        <v>0.61114578689255461</v>
      </c>
    </row>
    <row r="7" spans="1:13" x14ac:dyDescent="0.25">
      <c r="A7" s="40"/>
      <c r="B7" s="41"/>
      <c r="C7" s="42"/>
      <c r="D7" s="41"/>
      <c r="E7" s="41"/>
      <c r="F7" s="41"/>
      <c r="G7" s="68" t="s">
        <v>43</v>
      </c>
      <c r="H7" s="450">
        <v>561</v>
      </c>
      <c r="I7" s="127">
        <f>IF(M8&gt;=5%,L8,0)</f>
        <v>2</v>
      </c>
      <c r="J7" s="482"/>
      <c r="L7" s="69">
        <v>4</v>
      </c>
      <c r="M7" s="31">
        <f>H6/$M$4</f>
        <v>5.3588943379402586E-2</v>
      </c>
    </row>
    <row r="8" spans="1:13" x14ac:dyDescent="0.25">
      <c r="A8" s="64" t="s">
        <v>0</v>
      </c>
      <c r="B8" s="65" t="s">
        <v>1</v>
      </c>
      <c r="C8" s="66">
        <v>1.2</v>
      </c>
      <c r="D8" s="65" t="s">
        <v>26</v>
      </c>
      <c r="E8" s="65" t="s">
        <v>76</v>
      </c>
      <c r="F8" s="65" t="s">
        <v>77</v>
      </c>
      <c r="G8" s="67" t="s">
        <v>843</v>
      </c>
      <c r="H8" s="451">
        <v>0</v>
      </c>
      <c r="I8" s="484">
        <f>IF(OR(H8=1,H9=1,H10=1,H11=1),5,0)</f>
        <v>5</v>
      </c>
      <c r="J8" s="482"/>
      <c r="L8" s="69">
        <v>2</v>
      </c>
      <c r="M8" s="31">
        <f>H7/$M$4</f>
        <v>5.0022291573785106E-2</v>
      </c>
    </row>
    <row r="9" spans="1:13" x14ac:dyDescent="0.25">
      <c r="A9" s="64"/>
      <c r="B9" s="65"/>
      <c r="C9" s="66"/>
      <c r="D9" s="65"/>
      <c r="E9" s="65"/>
      <c r="F9" s="33"/>
      <c r="G9" s="35" t="s">
        <v>841</v>
      </c>
      <c r="H9" s="451">
        <v>1</v>
      </c>
      <c r="I9" s="485"/>
      <c r="J9" s="482"/>
      <c r="L9" s="69"/>
      <c r="M9" s="31"/>
    </row>
    <row r="10" spans="1:13" x14ac:dyDescent="0.25">
      <c r="A10" s="64"/>
      <c r="B10" s="65"/>
      <c r="C10" s="66"/>
      <c r="D10" s="65"/>
      <c r="E10" s="65"/>
      <c r="F10" s="33"/>
      <c r="G10" s="35" t="s">
        <v>842</v>
      </c>
      <c r="H10" s="451">
        <v>0</v>
      </c>
      <c r="I10" s="485"/>
      <c r="J10" s="482"/>
      <c r="L10" s="69"/>
      <c r="M10" s="31"/>
    </row>
    <row r="11" spans="1:13" x14ac:dyDescent="0.25">
      <c r="A11" s="64" t="s">
        <v>0</v>
      </c>
      <c r="B11" s="65" t="s">
        <v>1</v>
      </c>
      <c r="C11" s="66">
        <v>1.2</v>
      </c>
      <c r="D11" s="65" t="s">
        <v>26</v>
      </c>
      <c r="E11" s="65" t="s">
        <v>76</v>
      </c>
      <c r="F11" s="33" t="s">
        <v>788</v>
      </c>
      <c r="G11" s="35" t="s">
        <v>788</v>
      </c>
      <c r="H11" s="451">
        <v>0</v>
      </c>
      <c r="I11" s="486"/>
      <c r="J11" s="483"/>
      <c r="L11" s="69"/>
      <c r="M11" s="31"/>
    </row>
    <row r="12" spans="1:13" ht="13.9" x14ac:dyDescent="0.25">
      <c r="A12" s="46" t="s">
        <v>0</v>
      </c>
      <c r="B12" s="47" t="s">
        <v>1</v>
      </c>
      <c r="C12" s="48">
        <v>1.3</v>
      </c>
      <c r="D12" s="47" t="s">
        <v>47</v>
      </c>
      <c r="E12" s="47" t="s">
        <v>65</v>
      </c>
      <c r="F12" s="47" t="s">
        <v>67</v>
      </c>
      <c r="G12" s="49" t="s">
        <v>109</v>
      </c>
      <c r="H12" s="450">
        <v>73867</v>
      </c>
      <c r="I12" s="122"/>
      <c r="K12" s="53">
        <v>5</v>
      </c>
      <c r="L12" s="471">
        <v>0.2</v>
      </c>
      <c r="M12" s="470">
        <f>H13/H12</f>
        <v>0.21660552073320968</v>
      </c>
    </row>
    <row r="13" spans="1:13" ht="13.9" x14ac:dyDescent="0.25">
      <c r="A13" s="43"/>
      <c r="B13" s="44"/>
      <c r="C13" s="45"/>
      <c r="D13" s="44"/>
      <c r="E13" s="44"/>
      <c r="F13" s="44"/>
      <c r="G13" s="50" t="s">
        <v>789</v>
      </c>
      <c r="H13" s="450">
        <v>16000</v>
      </c>
      <c r="I13" s="128">
        <f>IF(M13&gt;=K12,K12,M13)</f>
        <v>5</v>
      </c>
      <c r="J13" s="151"/>
      <c r="L13" s="29"/>
      <c r="M13" s="192">
        <f>M12/L12*K12</f>
        <v>5.415138018330242</v>
      </c>
    </row>
    <row r="14" spans="1:13" ht="13.9" x14ac:dyDescent="0.25">
      <c r="A14" s="46" t="s">
        <v>0</v>
      </c>
      <c r="B14" s="47" t="s">
        <v>1</v>
      </c>
      <c r="C14" s="48">
        <v>1.3</v>
      </c>
      <c r="D14" s="47" t="s">
        <v>47</v>
      </c>
      <c r="E14" s="47" t="s">
        <v>66</v>
      </c>
      <c r="F14" s="47" t="s">
        <v>68</v>
      </c>
      <c r="G14" s="49" t="s">
        <v>113</v>
      </c>
      <c r="H14" s="450">
        <v>60558</v>
      </c>
      <c r="I14" s="122"/>
      <c r="J14" s="151"/>
    </row>
    <row r="15" spans="1:13" ht="13.9" x14ac:dyDescent="0.25">
      <c r="A15" s="43"/>
      <c r="B15" s="44"/>
      <c r="C15" s="45"/>
      <c r="D15" s="44"/>
      <c r="E15" s="44"/>
      <c r="F15" s="44"/>
      <c r="G15" s="50" t="s">
        <v>790</v>
      </c>
      <c r="H15" s="450">
        <v>48500</v>
      </c>
      <c r="I15" s="128">
        <f>IF(M19&gt;=K19,K19,M19)</f>
        <v>5</v>
      </c>
      <c r="J15" s="151"/>
      <c r="M15" s="31">
        <f>H13/H12</f>
        <v>0.21660552073320968</v>
      </c>
    </row>
    <row r="16" spans="1:13" ht="13.9" x14ac:dyDescent="0.25">
      <c r="A16" s="55" t="s">
        <v>0</v>
      </c>
      <c r="B16" s="56" t="s">
        <v>1</v>
      </c>
      <c r="C16" s="57">
        <v>1.3</v>
      </c>
      <c r="D16" s="56" t="s">
        <v>47</v>
      </c>
      <c r="E16" s="56" t="s">
        <v>78</v>
      </c>
      <c r="F16" s="56" t="s">
        <v>84</v>
      </c>
      <c r="G16" s="58" t="s">
        <v>114</v>
      </c>
      <c r="H16" s="451">
        <v>4</v>
      </c>
      <c r="I16" s="59">
        <f>H16/4*L21</f>
        <v>5</v>
      </c>
      <c r="J16" s="151"/>
      <c r="K16" s="53">
        <v>5</v>
      </c>
      <c r="L16" s="53">
        <v>5</v>
      </c>
      <c r="M16" s="30">
        <f>M15/20%*5</f>
        <v>5.415138018330242</v>
      </c>
    </row>
    <row r="17" spans="1:13" ht="13.9" x14ac:dyDescent="0.25">
      <c r="A17" s="46" t="s">
        <v>0</v>
      </c>
      <c r="B17" s="47" t="s">
        <v>1</v>
      </c>
      <c r="C17" s="48">
        <v>1.3</v>
      </c>
      <c r="D17" s="47" t="s">
        <v>47</v>
      </c>
      <c r="E17" s="47" t="s">
        <v>79</v>
      </c>
      <c r="F17" s="47" t="s">
        <v>83</v>
      </c>
      <c r="G17" s="49" t="s">
        <v>115</v>
      </c>
      <c r="H17" s="450">
        <v>354</v>
      </c>
      <c r="I17" s="122"/>
      <c r="J17" s="151"/>
      <c r="L17" s="53"/>
    </row>
    <row r="18" spans="1:13" ht="13.9" x14ac:dyDescent="0.25">
      <c r="A18" s="43"/>
      <c r="B18" s="44"/>
      <c r="C18" s="45"/>
      <c r="D18" s="44"/>
      <c r="E18" s="44"/>
      <c r="F18" s="44"/>
      <c r="G18" s="50" t="s">
        <v>116</v>
      </c>
      <c r="H18" s="450">
        <v>75</v>
      </c>
      <c r="I18" s="128">
        <f>IF(M24&gt;=K24,K24,M24)</f>
        <v>5</v>
      </c>
      <c r="J18" s="151"/>
      <c r="L18" s="53"/>
      <c r="M18" s="51">
        <f>H15/H14</f>
        <v>0.80088510188579543</v>
      </c>
    </row>
    <row r="19" spans="1:13" ht="13.9" x14ac:dyDescent="0.25">
      <c r="A19" s="55" t="s">
        <v>0</v>
      </c>
      <c r="B19" s="56" t="s">
        <v>1</v>
      </c>
      <c r="C19" s="57">
        <v>1.3</v>
      </c>
      <c r="D19" s="56" t="s">
        <v>47</v>
      </c>
      <c r="E19" s="56" t="s">
        <v>80</v>
      </c>
      <c r="F19" s="56" t="s">
        <v>82</v>
      </c>
      <c r="G19" s="58" t="s">
        <v>118</v>
      </c>
      <c r="H19" s="450">
        <v>2</v>
      </c>
      <c r="I19" s="59">
        <f>IF(H19&gt;=2,2,H19)</f>
        <v>2</v>
      </c>
      <c r="K19" s="53">
        <v>5</v>
      </c>
      <c r="L19" s="471">
        <v>0.8</v>
      </c>
      <c r="M19" s="30">
        <f>M18/80%*5</f>
        <v>5.0055318867862209</v>
      </c>
    </row>
    <row r="20" spans="1:13" ht="30" x14ac:dyDescent="0.25">
      <c r="A20" s="70" t="s">
        <v>0</v>
      </c>
      <c r="B20" s="71" t="s">
        <v>1</v>
      </c>
      <c r="C20" s="72">
        <v>1.3</v>
      </c>
      <c r="D20" s="71" t="s">
        <v>47</v>
      </c>
      <c r="E20" s="71" t="s">
        <v>81</v>
      </c>
      <c r="F20" s="71" t="s">
        <v>82</v>
      </c>
      <c r="G20" s="73" t="s">
        <v>119</v>
      </c>
      <c r="H20" s="452">
        <v>1</v>
      </c>
      <c r="I20" s="149">
        <f>IF(H19=0,0,IF(H20&gt;=1,L28,0))</f>
        <v>3</v>
      </c>
      <c r="J20" s="152">
        <f>SUM(I12:I20)</f>
        <v>25</v>
      </c>
      <c r="L20" s="53"/>
    </row>
    <row r="21" spans="1:13" ht="13.9" x14ac:dyDescent="0.25">
      <c r="A21" s="55" t="s">
        <v>0</v>
      </c>
      <c r="B21" s="56" t="s">
        <v>1</v>
      </c>
      <c r="C21" s="57">
        <v>1.4</v>
      </c>
      <c r="D21" s="56" t="s">
        <v>103</v>
      </c>
      <c r="E21" s="56" t="s">
        <v>94</v>
      </c>
      <c r="F21" s="56" t="s">
        <v>95</v>
      </c>
      <c r="G21" s="58" t="s">
        <v>114</v>
      </c>
      <c r="H21" s="451">
        <v>12</v>
      </c>
      <c r="I21" s="59">
        <f>IF(H21&gt;=5,5,H21)</f>
        <v>5</v>
      </c>
      <c r="J21" s="151"/>
      <c r="K21" s="53">
        <v>5</v>
      </c>
      <c r="L21" s="53">
        <v>5</v>
      </c>
    </row>
    <row r="22" spans="1:13" ht="13.9" x14ac:dyDescent="0.25">
      <c r="A22" s="55" t="s">
        <v>0</v>
      </c>
      <c r="B22" s="56" t="s">
        <v>1</v>
      </c>
      <c r="C22" s="57">
        <v>1.4</v>
      </c>
      <c r="D22" s="56" t="s">
        <v>103</v>
      </c>
      <c r="E22" s="56" t="s">
        <v>98</v>
      </c>
      <c r="F22" s="56" t="s">
        <v>97</v>
      </c>
      <c r="G22" s="58" t="s">
        <v>114</v>
      </c>
      <c r="H22" s="451">
        <v>6</v>
      </c>
      <c r="I22" s="59">
        <f>IF(H22&gt;=5,5,H22)</f>
        <v>5</v>
      </c>
      <c r="J22" s="151"/>
    </row>
    <row r="23" spans="1:13" ht="13.9" x14ac:dyDescent="0.25">
      <c r="A23" s="55" t="s">
        <v>0</v>
      </c>
      <c r="B23" s="56" t="s">
        <v>1</v>
      </c>
      <c r="C23" s="57">
        <v>1.4</v>
      </c>
      <c r="D23" s="56" t="s">
        <v>103</v>
      </c>
      <c r="E23" s="56" t="s">
        <v>99</v>
      </c>
      <c r="F23" s="56" t="s">
        <v>100</v>
      </c>
      <c r="G23" s="58" t="s">
        <v>114</v>
      </c>
      <c r="H23" s="451">
        <v>10</v>
      </c>
      <c r="I23" s="59">
        <f>IF(H23&gt;=L34,K34,H23)</f>
        <v>5</v>
      </c>
      <c r="J23" s="151"/>
      <c r="M23" s="31">
        <f>H18/H17</f>
        <v>0.21186440677966101</v>
      </c>
    </row>
    <row r="24" spans="1:13" x14ac:dyDescent="0.25">
      <c r="A24" s="32" t="s">
        <v>0</v>
      </c>
      <c r="B24" s="33" t="s">
        <v>1</v>
      </c>
      <c r="C24" s="34">
        <v>1.5</v>
      </c>
      <c r="D24" s="33" t="s">
        <v>104</v>
      </c>
      <c r="E24" s="33" t="s">
        <v>102</v>
      </c>
      <c r="F24" s="33" t="s">
        <v>101</v>
      </c>
      <c r="G24" s="35" t="s">
        <v>120</v>
      </c>
      <c r="H24" s="450">
        <v>1</v>
      </c>
      <c r="I24" s="479">
        <f>IF(L40&gt;=10,10,L40)</f>
        <v>10</v>
      </c>
      <c r="J24" s="151"/>
      <c r="K24" s="53">
        <v>5</v>
      </c>
      <c r="L24" s="15">
        <v>0.2</v>
      </c>
      <c r="M24" s="370">
        <f>M23/L24*K24</f>
        <v>5.2966101694915242</v>
      </c>
    </row>
    <row r="25" spans="1:13" x14ac:dyDescent="0.25">
      <c r="A25" s="36"/>
      <c r="B25" s="37"/>
      <c r="C25" s="38"/>
      <c r="D25" s="37"/>
      <c r="E25" s="37"/>
      <c r="F25" s="37"/>
      <c r="G25" s="39" t="s">
        <v>121</v>
      </c>
      <c r="H25" s="450">
        <v>1</v>
      </c>
      <c r="I25" s="480"/>
    </row>
    <row r="26" spans="1:13" x14ac:dyDescent="0.25">
      <c r="A26" s="36"/>
      <c r="B26" s="37"/>
      <c r="C26" s="38"/>
      <c r="D26" s="37"/>
      <c r="E26" s="37"/>
      <c r="F26" s="37"/>
      <c r="G26" s="39" t="s">
        <v>122</v>
      </c>
      <c r="H26" s="450">
        <v>1</v>
      </c>
      <c r="I26" s="480"/>
      <c r="J26" s="130"/>
      <c r="K26" s="53">
        <v>2</v>
      </c>
      <c r="L26">
        <v>2</v>
      </c>
    </row>
    <row r="27" spans="1:13" x14ac:dyDescent="0.25">
      <c r="A27" s="40"/>
      <c r="B27" s="41"/>
      <c r="C27" s="42"/>
      <c r="D27" s="41"/>
      <c r="E27" s="41"/>
      <c r="F27" s="41"/>
      <c r="G27" s="68" t="s">
        <v>123</v>
      </c>
      <c r="H27" s="450">
        <v>1</v>
      </c>
      <c r="I27" s="481"/>
      <c r="J27" s="152">
        <f>SUM(I21:I27)</f>
        <v>25</v>
      </c>
    </row>
    <row r="28" spans="1:13" s="74" customFormat="1" ht="17.45" x14ac:dyDescent="0.25">
      <c r="A28" s="88"/>
      <c r="B28" s="88"/>
      <c r="C28" s="89"/>
      <c r="D28" s="88"/>
      <c r="E28" s="88"/>
      <c r="F28" s="88"/>
      <c r="G28" s="90"/>
      <c r="H28" s="91"/>
      <c r="I28" s="129" t="s">
        <v>158</v>
      </c>
      <c r="J28" s="132">
        <f>J27+J20+J4+I3</f>
        <v>100</v>
      </c>
      <c r="K28" s="53">
        <v>25</v>
      </c>
      <c r="L28">
        <v>3</v>
      </c>
      <c r="M28" s="75"/>
    </row>
    <row r="29" spans="1:13" ht="13.9" x14ac:dyDescent="0.25">
      <c r="G29" s="13"/>
      <c r="J29" s="151"/>
    </row>
    <row r="30" spans="1:13" ht="13.9" x14ac:dyDescent="0.25">
      <c r="G30" s="13"/>
      <c r="J30" s="151"/>
      <c r="K30" s="53">
        <v>5</v>
      </c>
      <c r="L30">
        <v>5</v>
      </c>
    </row>
    <row r="31" spans="1:13" ht="13.9" x14ac:dyDescent="0.25">
      <c r="G31" s="13"/>
      <c r="J31" s="151"/>
    </row>
    <row r="32" spans="1:13" ht="13.9" x14ac:dyDescent="0.25">
      <c r="G32" s="13"/>
      <c r="J32" s="151"/>
      <c r="K32" s="53">
        <v>5</v>
      </c>
      <c r="L32">
        <v>5</v>
      </c>
    </row>
    <row r="33" spans="7:12" ht="13.9" x14ac:dyDescent="0.25">
      <c r="G33" s="13"/>
      <c r="J33" s="151"/>
    </row>
    <row r="34" spans="7:12" ht="13.9" x14ac:dyDescent="0.25">
      <c r="G34" s="13"/>
      <c r="J34" s="151"/>
      <c r="K34" s="53">
        <v>5</v>
      </c>
      <c r="L34">
        <v>5</v>
      </c>
    </row>
    <row r="35" spans="7:12" ht="13.9" x14ac:dyDescent="0.25">
      <c r="G35" s="13"/>
      <c r="J35" s="151"/>
    </row>
    <row r="36" spans="7:12" ht="13.9" x14ac:dyDescent="0.25">
      <c r="G36" s="22"/>
      <c r="K36" s="53">
        <v>1</v>
      </c>
      <c r="L36" s="76">
        <f>H24*1</f>
        <v>1</v>
      </c>
    </row>
    <row r="37" spans="7:12" ht="13.9" x14ac:dyDescent="0.25">
      <c r="G37" s="13"/>
      <c r="K37" s="53">
        <v>2</v>
      </c>
      <c r="L37" s="76">
        <f>H25*2</f>
        <v>2</v>
      </c>
    </row>
    <row r="38" spans="7:12" ht="13.9" x14ac:dyDescent="0.25">
      <c r="G38" s="13"/>
      <c r="K38" s="53">
        <v>3</v>
      </c>
      <c r="L38" s="76">
        <f>H26*3</f>
        <v>3</v>
      </c>
    </row>
    <row r="39" spans="7:12" ht="13.9" x14ac:dyDescent="0.25">
      <c r="G39" s="13"/>
      <c r="K39" s="53">
        <v>4</v>
      </c>
      <c r="L39" s="76">
        <f>H27*4</f>
        <v>4</v>
      </c>
    </row>
    <row r="40" spans="7:12" ht="13.9" x14ac:dyDescent="0.25">
      <c r="G40" s="13"/>
      <c r="L40" s="77">
        <f>SUM(L36:L39)</f>
        <v>10</v>
      </c>
    </row>
    <row r="41" spans="7:12" ht="13.9" x14ac:dyDescent="0.25">
      <c r="G41" s="13"/>
    </row>
    <row r="42" spans="7:12" x14ac:dyDescent="0.25">
      <c r="G42" s="13"/>
    </row>
    <row r="43" spans="7:12" x14ac:dyDescent="0.25">
      <c r="G43" s="13"/>
    </row>
    <row r="44" spans="7:12" x14ac:dyDescent="0.25">
      <c r="G44" s="13"/>
    </row>
    <row r="45" spans="7:12" x14ac:dyDescent="0.25">
      <c r="G45" s="13"/>
    </row>
    <row r="46" spans="7:12" x14ac:dyDescent="0.25">
      <c r="G46" s="13"/>
    </row>
    <row r="47" spans="7:12" x14ac:dyDescent="0.25">
      <c r="G47" s="13"/>
    </row>
    <row r="48" spans="7:12"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row r="116" spans="7:7" x14ac:dyDescent="0.25">
      <c r="G116" s="13"/>
    </row>
    <row r="117" spans="7:7" x14ac:dyDescent="0.25">
      <c r="G117" s="13"/>
    </row>
    <row r="118" spans="7:7" x14ac:dyDescent="0.25">
      <c r="G118" s="13"/>
    </row>
    <row r="119" spans="7:7" x14ac:dyDescent="0.25">
      <c r="G119" s="13"/>
    </row>
    <row r="120" spans="7:7" x14ac:dyDescent="0.25">
      <c r="G120" s="13"/>
    </row>
    <row r="121" spans="7:7" x14ac:dyDescent="0.25">
      <c r="G121" s="13"/>
    </row>
    <row r="122" spans="7:7" x14ac:dyDescent="0.25">
      <c r="G122" s="13"/>
    </row>
    <row r="123" spans="7:7" x14ac:dyDescent="0.25">
      <c r="G123" s="13"/>
    </row>
    <row r="124" spans="7:7" x14ac:dyDescent="0.25">
      <c r="G124" s="13"/>
    </row>
    <row r="125" spans="7:7" x14ac:dyDescent="0.25">
      <c r="G125" s="13"/>
    </row>
    <row r="126" spans="7:7" x14ac:dyDescent="0.25">
      <c r="G126" s="13"/>
    </row>
    <row r="127" spans="7:7" x14ac:dyDescent="0.25">
      <c r="G127" s="13"/>
    </row>
    <row r="128" spans="7:7" x14ac:dyDescent="0.25">
      <c r="G128" s="13"/>
    </row>
    <row r="129" spans="7:7" x14ac:dyDescent="0.25">
      <c r="G129" s="13"/>
    </row>
    <row r="130" spans="7:7" x14ac:dyDescent="0.25">
      <c r="G130" s="13"/>
    </row>
    <row r="131" spans="7:7" x14ac:dyDescent="0.25">
      <c r="G131" s="13"/>
    </row>
    <row r="132" spans="7:7" x14ac:dyDescent="0.25">
      <c r="G132" s="13"/>
    </row>
    <row r="133" spans="7:7" x14ac:dyDescent="0.25">
      <c r="G133" s="13"/>
    </row>
    <row r="134" spans="7:7" x14ac:dyDescent="0.25">
      <c r="G134" s="13"/>
    </row>
    <row r="135" spans="7:7" x14ac:dyDescent="0.25">
      <c r="G135" s="13"/>
    </row>
    <row r="136" spans="7:7" x14ac:dyDescent="0.25">
      <c r="G136" s="13"/>
    </row>
    <row r="137" spans="7:7" x14ac:dyDescent="0.25">
      <c r="G137" s="13"/>
    </row>
    <row r="138" spans="7:7" x14ac:dyDescent="0.25">
      <c r="G138" s="13"/>
    </row>
    <row r="139" spans="7:7" x14ac:dyDescent="0.25">
      <c r="G139" s="13"/>
    </row>
    <row r="140" spans="7:7" x14ac:dyDescent="0.25">
      <c r="G140" s="13"/>
    </row>
    <row r="141" spans="7:7" x14ac:dyDescent="0.25">
      <c r="G141" s="13"/>
    </row>
    <row r="142" spans="7:7" x14ac:dyDescent="0.25">
      <c r="G142" s="13"/>
    </row>
    <row r="143" spans="7:7" x14ac:dyDescent="0.25">
      <c r="G143" s="13"/>
    </row>
    <row r="144" spans="7:7" x14ac:dyDescent="0.25">
      <c r="G144" s="13"/>
    </row>
    <row r="145" spans="7:7" x14ac:dyDescent="0.25">
      <c r="G145" s="13"/>
    </row>
    <row r="146" spans="7:7" x14ac:dyDescent="0.25">
      <c r="G146" s="13"/>
    </row>
    <row r="147" spans="7:7" x14ac:dyDescent="0.25">
      <c r="G147" s="13"/>
    </row>
    <row r="148" spans="7:7" x14ac:dyDescent="0.25">
      <c r="G148" s="13"/>
    </row>
    <row r="149" spans="7:7" x14ac:dyDescent="0.25">
      <c r="G149" s="13"/>
    </row>
    <row r="150" spans="7:7" x14ac:dyDescent="0.25">
      <c r="G150" s="13"/>
    </row>
    <row r="151" spans="7:7" x14ac:dyDescent="0.25">
      <c r="G151" s="13"/>
    </row>
    <row r="152" spans="7:7" x14ac:dyDescent="0.25">
      <c r="G152" s="13"/>
    </row>
    <row r="153" spans="7:7" x14ac:dyDescent="0.25">
      <c r="G153" s="13"/>
    </row>
    <row r="154" spans="7:7" x14ac:dyDescent="0.25">
      <c r="G154" s="13"/>
    </row>
    <row r="155" spans="7:7" x14ac:dyDescent="0.25">
      <c r="G155" s="13"/>
    </row>
    <row r="156" spans="7:7" x14ac:dyDescent="0.25">
      <c r="G156" s="13"/>
    </row>
    <row r="157" spans="7:7" x14ac:dyDescent="0.25">
      <c r="G157" s="13"/>
    </row>
    <row r="158" spans="7:7" x14ac:dyDescent="0.25">
      <c r="G158" s="13"/>
    </row>
    <row r="159" spans="7:7" x14ac:dyDescent="0.25">
      <c r="G159" s="13"/>
    </row>
    <row r="160" spans="7:7" x14ac:dyDescent="0.25">
      <c r="G160" s="13"/>
    </row>
    <row r="161" spans="7:7" x14ac:dyDescent="0.25">
      <c r="G161" s="13"/>
    </row>
    <row r="162" spans="7:7" x14ac:dyDescent="0.25">
      <c r="G162" s="13"/>
    </row>
    <row r="163" spans="7:7" x14ac:dyDescent="0.25">
      <c r="G163" s="13"/>
    </row>
    <row r="164" spans="7:7" x14ac:dyDescent="0.25">
      <c r="G164" s="13"/>
    </row>
    <row r="165" spans="7:7" x14ac:dyDescent="0.25">
      <c r="G165" s="13"/>
    </row>
    <row r="166" spans="7:7" x14ac:dyDescent="0.25">
      <c r="G166" s="13"/>
    </row>
    <row r="167" spans="7:7" x14ac:dyDescent="0.25">
      <c r="G167" s="13"/>
    </row>
    <row r="168" spans="7:7" x14ac:dyDescent="0.25">
      <c r="G168" s="13"/>
    </row>
    <row r="169" spans="7:7" x14ac:dyDescent="0.25">
      <c r="G169" s="13"/>
    </row>
    <row r="170" spans="7:7" x14ac:dyDescent="0.25">
      <c r="G170" s="13"/>
    </row>
    <row r="171" spans="7:7" x14ac:dyDescent="0.25">
      <c r="G171" s="13"/>
    </row>
    <row r="172" spans="7:7" x14ac:dyDescent="0.25">
      <c r="G172" s="13"/>
    </row>
    <row r="173" spans="7:7" x14ac:dyDescent="0.25">
      <c r="G173" s="13"/>
    </row>
    <row r="174" spans="7:7" x14ac:dyDescent="0.25">
      <c r="G174" s="13"/>
    </row>
    <row r="175" spans="7:7" x14ac:dyDescent="0.25">
      <c r="G175" s="13"/>
    </row>
    <row r="176" spans="7:7" x14ac:dyDescent="0.25">
      <c r="G176" s="13"/>
    </row>
    <row r="177" spans="7:7" x14ac:dyDescent="0.25">
      <c r="G177" s="13"/>
    </row>
    <row r="178" spans="7:7" x14ac:dyDescent="0.25">
      <c r="G178" s="13"/>
    </row>
    <row r="179" spans="7:7" x14ac:dyDescent="0.25">
      <c r="G179" s="13"/>
    </row>
    <row r="180" spans="7:7" x14ac:dyDescent="0.25">
      <c r="G180" s="13"/>
    </row>
    <row r="181" spans="7:7" x14ac:dyDescent="0.25">
      <c r="G181" s="13"/>
    </row>
    <row r="182" spans="7:7" x14ac:dyDescent="0.25">
      <c r="G182" s="13"/>
    </row>
    <row r="183" spans="7:7" x14ac:dyDescent="0.25">
      <c r="G183" s="13"/>
    </row>
    <row r="184" spans="7:7" x14ac:dyDescent="0.25">
      <c r="G184" s="13"/>
    </row>
    <row r="185" spans="7:7" x14ac:dyDescent="0.25">
      <c r="G185" s="13"/>
    </row>
    <row r="186" spans="7:7" x14ac:dyDescent="0.25">
      <c r="G186" s="13"/>
    </row>
    <row r="187" spans="7:7" x14ac:dyDescent="0.25">
      <c r="G187" s="13"/>
    </row>
    <row r="188" spans="7:7" x14ac:dyDescent="0.25">
      <c r="G188" s="13"/>
    </row>
    <row r="189" spans="7:7" x14ac:dyDescent="0.25">
      <c r="G189" s="13"/>
    </row>
    <row r="190" spans="7:7" x14ac:dyDescent="0.25">
      <c r="G190" s="13"/>
    </row>
    <row r="191" spans="7:7" x14ac:dyDescent="0.25">
      <c r="G191" s="13"/>
    </row>
    <row r="192" spans="7:7" x14ac:dyDescent="0.25">
      <c r="G192" s="13"/>
    </row>
    <row r="193" spans="7:7" x14ac:dyDescent="0.25">
      <c r="G193" s="13"/>
    </row>
    <row r="194" spans="7:7" x14ac:dyDescent="0.25">
      <c r="G194" s="13"/>
    </row>
    <row r="195" spans="7:7" x14ac:dyDescent="0.25">
      <c r="G195" s="13"/>
    </row>
    <row r="196" spans="7:7" x14ac:dyDescent="0.25">
      <c r="G196" s="13"/>
    </row>
    <row r="197" spans="7:7" x14ac:dyDescent="0.25">
      <c r="G197" s="13"/>
    </row>
    <row r="198" spans="7:7" x14ac:dyDescent="0.25">
      <c r="G198" s="13"/>
    </row>
    <row r="199" spans="7:7" x14ac:dyDescent="0.25">
      <c r="G199" s="13"/>
    </row>
    <row r="200" spans="7:7" x14ac:dyDescent="0.25">
      <c r="G200" s="13"/>
    </row>
    <row r="201" spans="7:7" x14ac:dyDescent="0.25">
      <c r="G201" s="13"/>
    </row>
    <row r="202" spans="7:7" x14ac:dyDescent="0.25">
      <c r="G202" s="13"/>
    </row>
    <row r="203" spans="7:7" x14ac:dyDescent="0.25">
      <c r="G203" s="13"/>
    </row>
    <row r="204" spans="7:7" x14ac:dyDescent="0.25">
      <c r="G204" s="13"/>
    </row>
    <row r="205" spans="7:7" x14ac:dyDescent="0.25">
      <c r="G205" s="13"/>
    </row>
    <row r="206" spans="7:7" x14ac:dyDescent="0.25">
      <c r="G206" s="13"/>
    </row>
    <row r="207" spans="7:7" x14ac:dyDescent="0.25">
      <c r="G207" s="13"/>
    </row>
    <row r="208" spans="7:7" x14ac:dyDescent="0.25">
      <c r="G208" s="13"/>
    </row>
    <row r="209" spans="7:7" x14ac:dyDescent="0.25">
      <c r="G209" s="13"/>
    </row>
    <row r="210" spans="7:7" x14ac:dyDescent="0.25">
      <c r="G210" s="13"/>
    </row>
    <row r="211" spans="7:7" x14ac:dyDescent="0.25">
      <c r="G211" s="13"/>
    </row>
    <row r="212" spans="7:7" x14ac:dyDescent="0.25">
      <c r="G212" s="13"/>
    </row>
    <row r="213" spans="7:7" x14ac:dyDescent="0.25">
      <c r="G213" s="13"/>
    </row>
    <row r="214" spans="7:7" x14ac:dyDescent="0.25">
      <c r="G214" s="13"/>
    </row>
    <row r="215" spans="7:7" x14ac:dyDescent="0.25">
      <c r="G215" s="13"/>
    </row>
    <row r="216" spans="7:7" x14ac:dyDescent="0.25">
      <c r="G216" s="13"/>
    </row>
    <row r="217" spans="7:7" x14ac:dyDescent="0.25">
      <c r="G217" s="13"/>
    </row>
    <row r="218" spans="7:7" x14ac:dyDescent="0.25">
      <c r="G218" s="13"/>
    </row>
    <row r="219" spans="7:7" x14ac:dyDescent="0.25">
      <c r="G219" s="13"/>
    </row>
    <row r="220" spans="7:7" x14ac:dyDescent="0.25">
      <c r="G220" s="13"/>
    </row>
    <row r="221" spans="7:7" x14ac:dyDescent="0.25">
      <c r="G221" s="13"/>
    </row>
    <row r="222" spans="7:7" x14ac:dyDescent="0.25">
      <c r="G222" s="13"/>
    </row>
    <row r="223" spans="7:7" x14ac:dyDescent="0.25">
      <c r="G223" s="13"/>
    </row>
    <row r="224" spans="7:7" x14ac:dyDescent="0.25">
      <c r="G224" s="13"/>
    </row>
    <row r="225" spans="7:7" x14ac:dyDescent="0.25">
      <c r="G225" s="13"/>
    </row>
    <row r="226" spans="7:7" x14ac:dyDescent="0.25">
      <c r="G226" s="13"/>
    </row>
    <row r="227" spans="7:7" x14ac:dyDescent="0.25">
      <c r="G227" s="13"/>
    </row>
    <row r="228" spans="7:7" x14ac:dyDescent="0.25">
      <c r="G228" s="13"/>
    </row>
    <row r="229" spans="7:7" x14ac:dyDescent="0.25">
      <c r="G229" s="13"/>
    </row>
    <row r="230" spans="7:7" x14ac:dyDescent="0.25">
      <c r="G230" s="13"/>
    </row>
    <row r="231" spans="7:7" x14ac:dyDescent="0.25">
      <c r="G231" s="13"/>
    </row>
    <row r="232" spans="7:7" x14ac:dyDescent="0.25">
      <c r="G232" s="13"/>
    </row>
    <row r="233" spans="7:7" x14ac:dyDescent="0.25">
      <c r="G233" s="13"/>
    </row>
    <row r="234" spans="7:7" x14ac:dyDescent="0.25">
      <c r="G234" s="13"/>
    </row>
    <row r="235" spans="7:7" x14ac:dyDescent="0.25">
      <c r="G235" s="13"/>
    </row>
    <row r="236" spans="7:7" x14ac:dyDescent="0.25">
      <c r="G236" s="13"/>
    </row>
    <row r="237" spans="7:7" x14ac:dyDescent="0.25">
      <c r="G237" s="13"/>
    </row>
    <row r="238" spans="7:7" x14ac:dyDescent="0.25">
      <c r="G238" s="13"/>
    </row>
    <row r="239" spans="7:7" x14ac:dyDescent="0.25">
      <c r="G239" s="13"/>
    </row>
    <row r="240" spans="7:7" x14ac:dyDescent="0.25">
      <c r="G240" s="13"/>
    </row>
    <row r="241" spans="7:7" x14ac:dyDescent="0.25">
      <c r="G241" s="13"/>
    </row>
    <row r="242" spans="7:7" x14ac:dyDescent="0.25">
      <c r="G242" s="13"/>
    </row>
    <row r="243" spans="7:7" x14ac:dyDescent="0.25">
      <c r="G243" s="13"/>
    </row>
    <row r="244" spans="7:7" x14ac:dyDescent="0.25">
      <c r="G244" s="13"/>
    </row>
    <row r="245" spans="7:7" x14ac:dyDescent="0.25">
      <c r="G245" s="13"/>
    </row>
    <row r="246" spans="7:7" x14ac:dyDescent="0.25">
      <c r="G246" s="13"/>
    </row>
    <row r="247" spans="7:7" x14ac:dyDescent="0.25">
      <c r="G247" s="13"/>
    </row>
    <row r="248" spans="7:7" x14ac:dyDescent="0.25">
      <c r="G248" s="13"/>
    </row>
    <row r="249" spans="7:7" x14ac:dyDescent="0.25">
      <c r="G249" s="13"/>
    </row>
    <row r="250" spans="7:7" x14ac:dyDescent="0.25">
      <c r="G250" s="13"/>
    </row>
    <row r="251" spans="7:7" x14ac:dyDescent="0.25">
      <c r="G251" s="13"/>
    </row>
    <row r="252" spans="7:7" x14ac:dyDescent="0.25">
      <c r="G252" s="13"/>
    </row>
    <row r="253" spans="7:7" x14ac:dyDescent="0.25">
      <c r="G253" s="13"/>
    </row>
    <row r="254" spans="7:7" x14ac:dyDescent="0.25">
      <c r="G254" s="13"/>
    </row>
    <row r="255" spans="7:7" x14ac:dyDescent="0.25">
      <c r="G255" s="13"/>
    </row>
    <row r="256" spans="7:7" x14ac:dyDescent="0.25">
      <c r="G256" s="13"/>
    </row>
    <row r="257" spans="7:7" x14ac:dyDescent="0.25">
      <c r="G257" s="13"/>
    </row>
    <row r="258" spans="7:7" x14ac:dyDescent="0.25">
      <c r="G258" s="13"/>
    </row>
    <row r="259" spans="7:7" x14ac:dyDescent="0.25">
      <c r="G259" s="13"/>
    </row>
    <row r="260" spans="7:7" x14ac:dyDescent="0.25">
      <c r="G260" s="13"/>
    </row>
    <row r="261" spans="7:7" x14ac:dyDescent="0.25">
      <c r="G261" s="13"/>
    </row>
    <row r="262" spans="7:7" x14ac:dyDescent="0.25">
      <c r="G262" s="13"/>
    </row>
    <row r="263" spans="7:7" x14ac:dyDescent="0.25">
      <c r="G263" s="13"/>
    </row>
    <row r="264" spans="7:7" x14ac:dyDescent="0.25">
      <c r="G264" s="13"/>
    </row>
    <row r="265" spans="7:7" x14ac:dyDescent="0.25">
      <c r="G265" s="13"/>
    </row>
    <row r="266" spans="7:7" x14ac:dyDescent="0.25">
      <c r="G266" s="13"/>
    </row>
    <row r="267" spans="7:7" x14ac:dyDescent="0.25">
      <c r="G267" s="13"/>
    </row>
    <row r="268" spans="7:7" x14ac:dyDescent="0.25">
      <c r="G268" s="13"/>
    </row>
    <row r="269" spans="7:7" x14ac:dyDescent="0.25">
      <c r="G269" s="13"/>
    </row>
    <row r="270" spans="7:7" x14ac:dyDescent="0.25">
      <c r="G270" s="13"/>
    </row>
    <row r="271" spans="7:7" x14ac:dyDescent="0.25">
      <c r="G271" s="13"/>
    </row>
    <row r="272" spans="7:7" x14ac:dyDescent="0.25">
      <c r="G272" s="13"/>
    </row>
    <row r="273" spans="7:7" x14ac:dyDescent="0.25">
      <c r="G273" s="13"/>
    </row>
    <row r="274" spans="7:7" x14ac:dyDescent="0.25">
      <c r="G274" s="13"/>
    </row>
    <row r="275" spans="7:7" x14ac:dyDescent="0.25">
      <c r="G275" s="13"/>
    </row>
    <row r="276" spans="7:7" x14ac:dyDescent="0.25">
      <c r="G276" s="13"/>
    </row>
    <row r="277" spans="7:7" x14ac:dyDescent="0.25">
      <c r="G277" s="13"/>
    </row>
    <row r="278" spans="7:7" x14ac:dyDescent="0.25">
      <c r="G278" s="13"/>
    </row>
    <row r="279" spans="7:7" x14ac:dyDescent="0.25">
      <c r="G279" s="13"/>
    </row>
    <row r="280" spans="7:7" x14ac:dyDescent="0.25">
      <c r="G280" s="13"/>
    </row>
    <row r="281" spans="7:7" x14ac:dyDescent="0.25">
      <c r="G281" s="13"/>
    </row>
    <row r="282" spans="7:7" x14ac:dyDescent="0.25">
      <c r="G282" s="13"/>
    </row>
    <row r="283" spans="7:7" x14ac:dyDescent="0.25">
      <c r="G283" s="13"/>
    </row>
    <row r="284" spans="7:7" x14ac:dyDescent="0.25">
      <c r="G284" s="13"/>
    </row>
    <row r="285" spans="7:7" x14ac:dyDescent="0.25">
      <c r="G285" s="13"/>
    </row>
    <row r="286" spans="7:7" x14ac:dyDescent="0.25">
      <c r="G286" s="13"/>
    </row>
    <row r="287" spans="7:7" x14ac:dyDescent="0.25">
      <c r="G287" s="13"/>
    </row>
    <row r="288" spans="7:7" x14ac:dyDescent="0.25">
      <c r="G288" s="13"/>
    </row>
  </sheetData>
  <sheetProtection algorithmName="SHA-512" hashValue="kmNrhssNa/0EoMaKBDSV6RuyIDeQu2d/lDy+Fa2AclkL5YUROVxmBkUv2xdk5QlwJsfe9MXHKUt+CQHtWwx7uw==" saltValue="d01uB8Sb1E39iBN3A6+Jkg==" spinCount="100000" sheet="1" objects="1" scenarios="1" selectLockedCells="1"/>
  <mergeCells count="4">
    <mergeCell ref="I24:I27"/>
    <mergeCell ref="J2:J3"/>
    <mergeCell ref="I8:I11"/>
    <mergeCell ref="J4:J11"/>
  </mergeCells>
  <dataValidations count="1">
    <dataValidation showInputMessage="1" showErrorMessage="1" sqref="H8:H11" xr:uid="{E7E12228-1978-4CFE-8DE2-733AA8D550EA}"/>
  </dataValidations>
  <pageMargins left="0.7" right="0.7" top="0.75" bottom="0.75" header="0.3" footer="0.3"/>
  <pageSetup paperSize="14"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2D1D4-C007-43A7-A82C-95EB0A6AD126}">
  <sheetPr>
    <tabColor rgb="FFDDA63A"/>
    <pageSetUpPr autoPageBreaks="0"/>
  </sheetPr>
  <dimension ref="A1:N115"/>
  <sheetViews>
    <sheetView showGridLines="0" zoomScale="105" zoomScaleNormal="105" workbookViewId="0">
      <pane ySplit="1" topLeftCell="A2" activePane="bottomLeft" state="frozen"/>
      <selection activeCell="C34" sqref="C34"/>
      <selection pane="bottomLeft" activeCell="H2" sqref="H2"/>
    </sheetView>
  </sheetViews>
  <sheetFormatPr defaultRowHeight="15" x14ac:dyDescent="0.25"/>
  <cols>
    <col min="1" max="1" width="7.7109375" customWidth="1"/>
    <col min="2" max="2" width="30.85546875" customWidth="1"/>
    <col min="3" max="3" width="10.140625" style="5" customWidth="1"/>
    <col min="4" max="4" width="46.28515625" customWidth="1"/>
    <col min="5" max="5" width="7.85546875" customWidth="1"/>
    <col min="6" max="6" width="54.28515625" customWidth="1"/>
    <col min="7" max="7" width="52" customWidth="1"/>
    <col min="8" max="8" width="15.5703125" customWidth="1"/>
    <col min="9" max="9" width="16.140625" style="123" customWidth="1"/>
    <col min="10" max="10" width="13" style="123" customWidth="1"/>
    <col min="11" max="11" width="8.140625" style="53" customWidth="1"/>
    <col min="12" max="12" width="8.140625" customWidth="1"/>
    <col min="13" max="13" width="10.85546875" style="30" bestFit="1" customWidth="1"/>
  </cols>
  <sheetData>
    <row r="1" spans="1:14" s="93" customFormat="1" ht="45.6" x14ac:dyDescent="0.7">
      <c r="A1" s="94" t="s">
        <v>85</v>
      </c>
      <c r="B1" s="94" t="s">
        <v>44</v>
      </c>
      <c r="C1" s="95" t="s">
        <v>111</v>
      </c>
      <c r="D1" s="94" t="s">
        <v>112</v>
      </c>
      <c r="E1" s="94" t="s">
        <v>73</v>
      </c>
      <c r="F1" s="94" t="s">
        <v>92</v>
      </c>
      <c r="G1" s="96"/>
      <c r="H1" s="96"/>
      <c r="I1" s="121" t="s">
        <v>46</v>
      </c>
      <c r="J1" s="121" t="s">
        <v>181</v>
      </c>
      <c r="K1" s="92" t="s">
        <v>110</v>
      </c>
      <c r="L1" s="115" t="s">
        <v>172</v>
      </c>
      <c r="M1" s="116" t="s">
        <v>177</v>
      </c>
    </row>
    <row r="2" spans="1:14" x14ac:dyDescent="0.25">
      <c r="A2" s="46" t="s">
        <v>85</v>
      </c>
      <c r="B2" s="47" t="s">
        <v>124</v>
      </c>
      <c r="C2" s="48">
        <v>2.1</v>
      </c>
      <c r="D2" s="47" t="s">
        <v>125</v>
      </c>
      <c r="E2" s="47" t="s">
        <v>126</v>
      </c>
      <c r="F2" s="47" t="s">
        <v>2</v>
      </c>
      <c r="G2" s="49" t="s">
        <v>128</v>
      </c>
      <c r="H2" s="450">
        <v>1</v>
      </c>
      <c r="I2" s="122"/>
      <c r="J2" s="482">
        <f>I3</f>
        <v>25</v>
      </c>
      <c r="K2" s="52"/>
      <c r="L2">
        <v>25</v>
      </c>
      <c r="M2" s="78">
        <f>H2*L2</f>
        <v>25</v>
      </c>
    </row>
    <row r="3" spans="1:14" x14ac:dyDescent="0.25">
      <c r="A3" s="43"/>
      <c r="B3" s="44"/>
      <c r="C3" s="45"/>
      <c r="D3" s="44"/>
      <c r="E3" s="44"/>
      <c r="F3" s="44"/>
      <c r="G3" s="50" t="s">
        <v>127</v>
      </c>
      <c r="H3" s="450">
        <v>1</v>
      </c>
      <c r="I3" s="128">
        <f>IF(M4&gt;=25,25,M4)</f>
        <v>25</v>
      </c>
      <c r="J3" s="483"/>
      <c r="K3" s="53">
        <v>25</v>
      </c>
      <c r="L3">
        <v>10</v>
      </c>
      <c r="M3" s="78">
        <f>H3*L3</f>
        <v>10</v>
      </c>
    </row>
    <row r="4" spans="1:14" x14ac:dyDescent="0.25">
      <c r="A4" s="46" t="s">
        <v>85</v>
      </c>
      <c r="B4" s="47" t="s">
        <v>124</v>
      </c>
      <c r="C4" s="48">
        <v>2.2000000000000002</v>
      </c>
      <c r="D4" s="47" t="s">
        <v>155</v>
      </c>
      <c r="E4" s="47" t="s">
        <v>159</v>
      </c>
      <c r="F4" s="47" t="s">
        <v>160</v>
      </c>
      <c r="G4" s="49" t="s">
        <v>156</v>
      </c>
      <c r="H4" s="82">
        <f>'SDG1'!H12</f>
        <v>73867</v>
      </c>
      <c r="I4" s="122"/>
      <c r="J4" s="482">
        <f>I5</f>
        <v>25</v>
      </c>
      <c r="M4" s="78">
        <f>SUM(M2:M3)</f>
        <v>35</v>
      </c>
    </row>
    <row r="5" spans="1:14" x14ac:dyDescent="0.25">
      <c r="A5" s="43"/>
      <c r="B5" s="44"/>
      <c r="C5" s="45"/>
      <c r="D5" s="44"/>
      <c r="E5" s="44"/>
      <c r="F5" s="44"/>
      <c r="G5" s="50" t="s">
        <v>157</v>
      </c>
      <c r="H5" s="453">
        <v>0.4</v>
      </c>
      <c r="I5" s="128">
        <f>IF(H5&lt;=0.4,25,IF(H5&lt;=0.5,20,IF(H5&lt;=0.6,15,IF(H5&lt;0.8,10,IF(H5&gt;=0.8,0)))))</f>
        <v>25</v>
      </c>
      <c r="J5" s="483"/>
      <c r="K5" s="63"/>
    </row>
    <row r="6" spans="1:14" x14ac:dyDescent="0.25">
      <c r="A6" s="55" t="s">
        <v>85</v>
      </c>
      <c r="B6" s="56" t="s">
        <v>124</v>
      </c>
      <c r="C6" s="57">
        <v>2.2999999999999998</v>
      </c>
      <c r="D6" s="56" t="s">
        <v>163</v>
      </c>
      <c r="E6" s="56" t="s">
        <v>161</v>
      </c>
      <c r="F6" s="56" t="s">
        <v>162</v>
      </c>
      <c r="G6" s="58" t="s">
        <v>164</v>
      </c>
      <c r="H6" s="450">
        <v>100</v>
      </c>
      <c r="I6" s="59">
        <f>IF(M8&gt;=K8,K8,M8)</f>
        <v>5</v>
      </c>
      <c r="J6" s="487">
        <f>SUM(I6:I10)</f>
        <v>25</v>
      </c>
    </row>
    <row r="7" spans="1:14" x14ac:dyDescent="0.25">
      <c r="A7" s="55" t="s">
        <v>85</v>
      </c>
      <c r="B7" s="56" t="s">
        <v>124</v>
      </c>
      <c r="C7" s="57">
        <v>2.2999999999999998</v>
      </c>
      <c r="D7" s="56" t="s">
        <v>163</v>
      </c>
      <c r="E7" s="56" t="s">
        <v>165</v>
      </c>
      <c r="F7" s="56" t="s">
        <v>166</v>
      </c>
      <c r="G7" s="58" t="s">
        <v>176</v>
      </c>
      <c r="H7" s="450">
        <v>3</v>
      </c>
      <c r="I7" s="59">
        <f>IF(M10&gt;=5,5,M10)</f>
        <v>5</v>
      </c>
      <c r="J7" s="482"/>
    </row>
    <row r="8" spans="1:14" x14ac:dyDescent="0.25">
      <c r="A8" s="55" t="s">
        <v>85</v>
      </c>
      <c r="B8" s="56" t="s">
        <v>124</v>
      </c>
      <c r="C8" s="57">
        <v>2.2999999999999998</v>
      </c>
      <c r="D8" s="56" t="s">
        <v>163</v>
      </c>
      <c r="E8" s="56" t="s">
        <v>167</v>
      </c>
      <c r="F8" s="56" t="s">
        <v>168</v>
      </c>
      <c r="G8" s="58" t="s">
        <v>169</v>
      </c>
      <c r="H8" s="450">
        <v>2</v>
      </c>
      <c r="I8" s="59">
        <f>(IF(H8&lt;=2,K12,2/H8*5))</f>
        <v>5</v>
      </c>
      <c r="J8" s="482"/>
      <c r="K8" s="53">
        <v>5</v>
      </c>
      <c r="L8">
        <v>100</v>
      </c>
      <c r="M8">
        <f>IF(H6&lt;=L8,K8,L8/H6*K8)</f>
        <v>5</v>
      </c>
      <c r="N8" t="s">
        <v>170</v>
      </c>
    </row>
    <row r="9" spans="1:14" x14ac:dyDescent="0.25">
      <c r="A9" s="55" t="s">
        <v>85</v>
      </c>
      <c r="B9" s="56" t="s">
        <v>124</v>
      </c>
      <c r="C9" s="57">
        <v>2.2999999999999998</v>
      </c>
      <c r="D9" s="56" t="s">
        <v>163</v>
      </c>
      <c r="E9" s="56" t="s">
        <v>173</v>
      </c>
      <c r="F9" s="56" t="s">
        <v>174</v>
      </c>
      <c r="G9" s="58" t="s">
        <v>175</v>
      </c>
      <c r="H9" s="450">
        <v>4</v>
      </c>
      <c r="I9" s="59">
        <f>(IF(M14&gt;=5,K14,H9/4*5))</f>
        <v>5</v>
      </c>
      <c r="J9" s="482"/>
      <c r="M9"/>
    </row>
    <row r="10" spans="1:14" x14ac:dyDescent="0.25">
      <c r="A10" s="55" t="s">
        <v>85</v>
      </c>
      <c r="B10" s="56" t="s">
        <v>124</v>
      </c>
      <c r="C10" s="57">
        <v>2.2999999999999998</v>
      </c>
      <c r="D10" s="56" t="s">
        <v>163</v>
      </c>
      <c r="E10" s="56" t="s">
        <v>178</v>
      </c>
      <c r="F10" s="56" t="s">
        <v>179</v>
      </c>
      <c r="G10" s="58" t="s">
        <v>180</v>
      </c>
      <c r="H10" s="450">
        <v>4</v>
      </c>
      <c r="I10" s="59">
        <f>(IF(M16&gt;=5,K16,H10/4*5))</f>
        <v>5</v>
      </c>
      <c r="J10" s="483"/>
      <c r="K10" s="53">
        <v>5</v>
      </c>
      <c r="L10">
        <v>3</v>
      </c>
      <c r="M10" s="25">
        <f>H7/3*5</f>
        <v>5</v>
      </c>
    </row>
    <row r="11" spans="1:14" x14ac:dyDescent="0.25">
      <c r="A11" s="55" t="s">
        <v>85</v>
      </c>
      <c r="B11" s="56" t="s">
        <v>124</v>
      </c>
      <c r="C11" s="57">
        <v>2.4</v>
      </c>
      <c r="D11" s="56" t="s">
        <v>182</v>
      </c>
      <c r="E11" s="56" t="s">
        <v>183</v>
      </c>
      <c r="F11" s="56" t="s">
        <v>184</v>
      </c>
      <c r="G11" s="58" t="s">
        <v>185</v>
      </c>
      <c r="H11" s="450">
        <v>4</v>
      </c>
      <c r="I11" s="59">
        <f>(IF(M18&gt;=5,K18,H11/4*5))</f>
        <v>5</v>
      </c>
      <c r="J11" s="488">
        <f>SUM(I11:I14)</f>
        <v>25</v>
      </c>
      <c r="M11"/>
    </row>
    <row r="12" spans="1:14" x14ac:dyDescent="0.25">
      <c r="A12" s="55" t="s">
        <v>85</v>
      </c>
      <c r="B12" s="56" t="s">
        <v>124</v>
      </c>
      <c r="C12" s="57">
        <v>2.4</v>
      </c>
      <c r="D12" s="56" t="s">
        <v>182</v>
      </c>
      <c r="E12" s="56" t="s">
        <v>186</v>
      </c>
      <c r="F12" s="56" t="s">
        <v>187</v>
      </c>
      <c r="G12" s="58" t="s">
        <v>188</v>
      </c>
      <c r="H12" s="450">
        <v>2</v>
      </c>
      <c r="I12" s="59">
        <f>IF(M20&gt;2.5,K20,H12/2*5)</f>
        <v>5</v>
      </c>
      <c r="J12" s="489"/>
      <c r="K12" s="53">
        <v>5</v>
      </c>
      <c r="L12">
        <v>2</v>
      </c>
      <c r="M12" s="23">
        <f>IF(H8&lt;=2,K12,2/H8*5)</f>
        <v>5</v>
      </c>
      <c r="N12" t="s">
        <v>171</v>
      </c>
    </row>
    <row r="13" spans="1:14" x14ac:dyDescent="0.25">
      <c r="A13" s="55" t="s">
        <v>85</v>
      </c>
      <c r="B13" s="56" t="s">
        <v>124</v>
      </c>
      <c r="C13" s="57">
        <v>2.4</v>
      </c>
      <c r="D13" s="56" t="s">
        <v>182</v>
      </c>
      <c r="E13" s="56" t="s">
        <v>189</v>
      </c>
      <c r="F13" s="56" t="s">
        <v>190</v>
      </c>
      <c r="G13" s="58" t="s">
        <v>191</v>
      </c>
      <c r="H13" s="450">
        <v>11</v>
      </c>
      <c r="I13" s="59">
        <f>IF(M22&gt;=K22,K22,H13/10*5)</f>
        <v>5</v>
      </c>
      <c r="J13" s="489"/>
    </row>
    <row r="14" spans="1:14" x14ac:dyDescent="0.25">
      <c r="A14" s="55" t="s">
        <v>85</v>
      </c>
      <c r="B14" s="56" t="s">
        <v>124</v>
      </c>
      <c r="C14" s="57">
        <v>2.4</v>
      </c>
      <c r="D14" s="56" t="s">
        <v>182</v>
      </c>
      <c r="E14" s="56" t="s">
        <v>192</v>
      </c>
      <c r="F14" s="56" t="s">
        <v>193</v>
      </c>
      <c r="G14" s="58" t="s">
        <v>194</v>
      </c>
      <c r="H14" s="450">
        <v>12</v>
      </c>
      <c r="I14" s="59">
        <f>ROUND(IF(M24&gt;=K24,K24,H14/10*10),0)</f>
        <v>10</v>
      </c>
      <c r="J14" s="490"/>
      <c r="K14" s="53">
        <v>5</v>
      </c>
      <c r="L14">
        <v>4</v>
      </c>
      <c r="M14" s="118">
        <f>H9/4*5</f>
        <v>5</v>
      </c>
    </row>
    <row r="15" spans="1:14" ht="17.45" x14ac:dyDescent="0.25">
      <c r="A15" s="133"/>
      <c r="B15" s="133"/>
      <c r="C15" s="134"/>
      <c r="D15" s="133"/>
      <c r="E15" s="133"/>
      <c r="F15" s="133"/>
      <c r="G15" s="135"/>
      <c r="H15" s="136"/>
      <c r="I15" s="137" t="s">
        <v>201</v>
      </c>
      <c r="J15" s="138">
        <f>SUM(J2:J14)</f>
        <v>100</v>
      </c>
    </row>
    <row r="16" spans="1:14" ht="13.9" x14ac:dyDescent="0.25">
      <c r="G16" s="13"/>
      <c r="K16" s="53">
        <v>5</v>
      </c>
      <c r="L16">
        <v>4</v>
      </c>
      <c r="M16" s="118">
        <f>H10/4*5</f>
        <v>5</v>
      </c>
    </row>
    <row r="17" spans="7:14" ht="13.9" x14ac:dyDescent="0.25">
      <c r="G17" s="13"/>
    </row>
    <row r="18" spans="7:14" ht="13.9" x14ac:dyDescent="0.25">
      <c r="G18" s="13"/>
      <c r="K18" s="53">
        <v>5</v>
      </c>
      <c r="L18">
        <v>4</v>
      </c>
      <c r="M18" s="118">
        <f>H11/4*5</f>
        <v>5</v>
      </c>
    </row>
    <row r="19" spans="7:14" ht="13.9" x14ac:dyDescent="0.25">
      <c r="G19" s="13"/>
    </row>
    <row r="20" spans="7:14" ht="13.9" x14ac:dyDescent="0.25">
      <c r="G20" s="13"/>
      <c r="K20" s="53">
        <v>5</v>
      </c>
      <c r="L20">
        <v>4</v>
      </c>
      <c r="M20" s="118">
        <f>H12/2*5</f>
        <v>5</v>
      </c>
    </row>
    <row r="21" spans="7:14" ht="13.9" x14ac:dyDescent="0.25">
      <c r="G21" s="13"/>
    </row>
    <row r="22" spans="7:14" ht="13.9" x14ac:dyDescent="0.25">
      <c r="G22" s="13"/>
      <c r="K22" s="53">
        <v>5</v>
      </c>
      <c r="L22">
        <v>4</v>
      </c>
      <c r="M22" s="118">
        <f>H13/10*5</f>
        <v>5.5</v>
      </c>
    </row>
    <row r="23" spans="7:14" ht="13.9" x14ac:dyDescent="0.25">
      <c r="G23" s="13"/>
    </row>
    <row r="24" spans="7:14" ht="13.9" x14ac:dyDescent="0.25">
      <c r="G24" s="13"/>
      <c r="K24" s="53">
        <v>10</v>
      </c>
      <c r="L24">
        <v>4</v>
      </c>
      <c r="M24" s="118">
        <f>H14/K24*10</f>
        <v>12</v>
      </c>
    </row>
    <row r="25" spans="7:14" ht="13.9" x14ac:dyDescent="0.25">
      <c r="G25" s="13"/>
    </row>
    <row r="26" spans="7:14" ht="13.9" x14ac:dyDescent="0.25">
      <c r="G26" s="13"/>
      <c r="L26" s="123" t="s">
        <v>756</v>
      </c>
      <c r="M26" s="117"/>
    </row>
    <row r="27" spans="7:14" ht="13.9" x14ac:dyDescent="0.25">
      <c r="G27" s="13"/>
      <c r="L27" s="123">
        <v>0</v>
      </c>
    </row>
    <row r="28" spans="7:14" ht="13.9" x14ac:dyDescent="0.25">
      <c r="G28" s="13"/>
    </row>
    <row r="29" spans="7:14" ht="13.9" x14ac:dyDescent="0.25">
      <c r="G29" s="13"/>
      <c r="K29" s="123" t="s">
        <v>755</v>
      </c>
      <c r="L29" s="53" t="s">
        <v>757</v>
      </c>
      <c r="M29" t="s">
        <v>758</v>
      </c>
      <c r="N29" s="30"/>
    </row>
    <row r="30" spans="7:14" ht="13.9" x14ac:dyDescent="0.25">
      <c r="G30" s="13"/>
      <c r="K30" s="123">
        <v>5</v>
      </c>
      <c r="L30" s="53">
        <v>98</v>
      </c>
      <c r="M30" s="25"/>
      <c r="N30" s="30" t="s">
        <v>759</v>
      </c>
    </row>
    <row r="31" spans="7:14" ht="13.9" x14ac:dyDescent="0.25">
      <c r="G31" s="13"/>
      <c r="K31" s="123"/>
      <c r="L31" s="53"/>
      <c r="M31" t="e">
        <f>L30/L27*K30</f>
        <v>#DIV/0!</v>
      </c>
      <c r="N31" s="30" t="s">
        <v>760</v>
      </c>
    </row>
    <row r="32" spans="7:14" ht="13.9" x14ac:dyDescent="0.25">
      <c r="G32" s="13"/>
      <c r="K32" s="123"/>
      <c r="L32" s="53"/>
      <c r="M32"/>
      <c r="N32" s="30"/>
    </row>
    <row r="33" spans="7:7" ht="13.9" x14ac:dyDescent="0.25">
      <c r="G33" s="13"/>
    </row>
    <row r="34" spans="7:7" ht="13.9" x14ac:dyDescent="0.25">
      <c r="G34" s="13"/>
    </row>
    <row r="35" spans="7:7" ht="13.9" x14ac:dyDescent="0.25">
      <c r="G35" s="13"/>
    </row>
    <row r="36" spans="7:7" ht="13.9" x14ac:dyDescent="0.25">
      <c r="G36" s="13"/>
    </row>
    <row r="37" spans="7:7" ht="13.9" x14ac:dyDescent="0.25">
      <c r="G37" s="13"/>
    </row>
    <row r="38" spans="7:7" ht="13.9" x14ac:dyDescent="0.25">
      <c r="G38" s="13"/>
    </row>
    <row r="39" spans="7:7" ht="13.9" x14ac:dyDescent="0.25">
      <c r="G39" s="13"/>
    </row>
    <row r="40" spans="7:7" ht="13.9" x14ac:dyDescent="0.25">
      <c r="G40" s="13"/>
    </row>
    <row r="41" spans="7:7" ht="13.9" x14ac:dyDescent="0.25">
      <c r="G41" s="13"/>
    </row>
    <row r="42" spans="7:7" x14ac:dyDescent="0.25">
      <c r="G42" s="13"/>
    </row>
    <row r="43" spans="7:7" x14ac:dyDescent="0.25">
      <c r="G43" s="13"/>
    </row>
    <row r="44" spans="7:7" x14ac:dyDescent="0.25">
      <c r="G44" s="13"/>
    </row>
    <row r="45" spans="7:7" x14ac:dyDescent="0.25">
      <c r="G45" s="13"/>
    </row>
    <row r="46" spans="7:7" x14ac:dyDescent="0.25">
      <c r="G46" s="13"/>
    </row>
    <row r="47" spans="7:7" x14ac:dyDescent="0.25">
      <c r="G47" s="13"/>
    </row>
    <row r="48" spans="7:7" x14ac:dyDescent="0.25">
      <c r="G48" s="13"/>
    </row>
    <row r="49" spans="7:7" x14ac:dyDescent="0.25">
      <c r="G49" s="13"/>
    </row>
    <row r="50" spans="7:7" x14ac:dyDescent="0.25">
      <c r="G50" s="13"/>
    </row>
    <row r="51" spans="7:7" x14ac:dyDescent="0.25">
      <c r="G51" s="13"/>
    </row>
    <row r="52" spans="7:7" x14ac:dyDescent="0.25">
      <c r="G52" s="13"/>
    </row>
    <row r="53" spans="7:7" x14ac:dyDescent="0.25">
      <c r="G53" s="13"/>
    </row>
    <row r="54" spans="7:7" x14ac:dyDescent="0.25">
      <c r="G54" s="13"/>
    </row>
    <row r="55" spans="7:7" x14ac:dyDescent="0.25">
      <c r="G55" s="13"/>
    </row>
    <row r="56" spans="7:7" x14ac:dyDescent="0.25">
      <c r="G56" s="13"/>
    </row>
    <row r="57" spans="7:7" x14ac:dyDescent="0.25">
      <c r="G57" s="13"/>
    </row>
    <row r="58" spans="7:7" x14ac:dyDescent="0.25">
      <c r="G58" s="13"/>
    </row>
    <row r="59" spans="7:7" x14ac:dyDescent="0.25">
      <c r="G59" s="13"/>
    </row>
    <row r="60" spans="7:7" x14ac:dyDescent="0.25">
      <c r="G60" s="13"/>
    </row>
    <row r="61" spans="7:7" x14ac:dyDescent="0.25">
      <c r="G61" s="13"/>
    </row>
    <row r="62" spans="7:7" x14ac:dyDescent="0.25">
      <c r="G62" s="13"/>
    </row>
    <row r="63" spans="7:7" x14ac:dyDescent="0.25">
      <c r="G63" s="13"/>
    </row>
    <row r="64" spans="7:7" x14ac:dyDescent="0.25">
      <c r="G64" s="13"/>
    </row>
    <row r="65" spans="7:7" x14ac:dyDescent="0.25">
      <c r="G65" s="13"/>
    </row>
    <row r="66" spans="7:7" x14ac:dyDescent="0.25">
      <c r="G66" s="13"/>
    </row>
    <row r="67" spans="7:7" x14ac:dyDescent="0.25">
      <c r="G67" s="13"/>
    </row>
    <row r="68" spans="7:7" x14ac:dyDescent="0.25">
      <c r="G68" s="13"/>
    </row>
    <row r="69" spans="7:7" x14ac:dyDescent="0.25">
      <c r="G69" s="13"/>
    </row>
    <row r="70" spans="7:7" x14ac:dyDescent="0.25">
      <c r="G70" s="13"/>
    </row>
    <row r="71" spans="7:7" x14ac:dyDescent="0.25">
      <c r="G71" s="13"/>
    </row>
    <row r="72" spans="7:7" x14ac:dyDescent="0.25">
      <c r="G72" s="13"/>
    </row>
    <row r="73" spans="7:7" x14ac:dyDescent="0.25">
      <c r="G73" s="13"/>
    </row>
    <row r="74" spans="7:7" x14ac:dyDescent="0.25">
      <c r="G74" s="13"/>
    </row>
    <row r="75" spans="7:7" x14ac:dyDescent="0.25">
      <c r="G75" s="13"/>
    </row>
    <row r="76" spans="7:7" x14ac:dyDescent="0.25">
      <c r="G76" s="13"/>
    </row>
    <row r="77" spans="7:7" x14ac:dyDescent="0.25">
      <c r="G77" s="13"/>
    </row>
    <row r="78" spans="7:7" x14ac:dyDescent="0.25">
      <c r="G78" s="13"/>
    </row>
    <row r="79" spans="7:7" x14ac:dyDescent="0.25">
      <c r="G79" s="13"/>
    </row>
    <row r="80" spans="7:7" x14ac:dyDescent="0.25">
      <c r="G80" s="13"/>
    </row>
    <row r="81" spans="7:7" x14ac:dyDescent="0.25">
      <c r="G81" s="13"/>
    </row>
    <row r="82" spans="7:7" x14ac:dyDescent="0.25">
      <c r="G82" s="13"/>
    </row>
    <row r="83" spans="7:7" x14ac:dyDescent="0.25">
      <c r="G83" s="13"/>
    </row>
    <row r="84" spans="7:7" x14ac:dyDescent="0.25">
      <c r="G84" s="13"/>
    </row>
    <row r="85" spans="7:7" x14ac:dyDescent="0.25">
      <c r="G85" s="13"/>
    </row>
    <row r="86" spans="7:7" x14ac:dyDescent="0.25">
      <c r="G86" s="13"/>
    </row>
    <row r="87" spans="7:7" x14ac:dyDescent="0.25">
      <c r="G87" s="13"/>
    </row>
    <row r="88" spans="7:7" x14ac:dyDescent="0.25">
      <c r="G88" s="13"/>
    </row>
    <row r="89" spans="7:7" x14ac:dyDescent="0.25">
      <c r="G89" s="13"/>
    </row>
    <row r="90" spans="7:7" x14ac:dyDescent="0.25">
      <c r="G90" s="13"/>
    </row>
    <row r="91" spans="7:7" x14ac:dyDescent="0.25">
      <c r="G91" s="13"/>
    </row>
    <row r="92" spans="7:7" x14ac:dyDescent="0.25">
      <c r="G92" s="13"/>
    </row>
    <row r="93" spans="7:7" x14ac:dyDescent="0.25">
      <c r="G93" s="13"/>
    </row>
    <row r="94" spans="7:7" x14ac:dyDescent="0.25">
      <c r="G94" s="13"/>
    </row>
    <row r="95" spans="7:7" x14ac:dyDescent="0.25">
      <c r="G95" s="13"/>
    </row>
    <row r="96" spans="7:7" x14ac:dyDescent="0.25">
      <c r="G96" s="13"/>
    </row>
    <row r="97" spans="7:7" x14ac:dyDescent="0.25">
      <c r="G97" s="13"/>
    </row>
    <row r="98" spans="7:7" x14ac:dyDescent="0.25">
      <c r="G98" s="13"/>
    </row>
    <row r="99" spans="7:7" x14ac:dyDescent="0.25">
      <c r="G99" s="13"/>
    </row>
    <row r="100" spans="7:7" x14ac:dyDescent="0.25">
      <c r="G100" s="13"/>
    </row>
    <row r="101" spans="7:7" x14ac:dyDescent="0.25">
      <c r="G101" s="13"/>
    </row>
    <row r="102" spans="7:7" x14ac:dyDescent="0.25">
      <c r="G102" s="13"/>
    </row>
    <row r="103" spans="7:7" x14ac:dyDescent="0.25">
      <c r="G103" s="13"/>
    </row>
    <row r="104" spans="7:7" x14ac:dyDescent="0.25">
      <c r="G104" s="13"/>
    </row>
    <row r="105" spans="7:7" x14ac:dyDescent="0.25">
      <c r="G105" s="13"/>
    </row>
    <row r="106" spans="7:7" x14ac:dyDescent="0.25">
      <c r="G106" s="13"/>
    </row>
    <row r="107" spans="7:7" x14ac:dyDescent="0.25">
      <c r="G107" s="13"/>
    </row>
    <row r="108" spans="7:7" x14ac:dyDescent="0.25">
      <c r="G108" s="13"/>
    </row>
    <row r="109" spans="7:7" x14ac:dyDescent="0.25">
      <c r="G109" s="13"/>
    </row>
    <row r="110" spans="7:7" x14ac:dyDescent="0.25">
      <c r="G110" s="13"/>
    </row>
    <row r="111" spans="7:7" x14ac:dyDescent="0.25">
      <c r="G111" s="13"/>
    </row>
    <row r="112" spans="7:7" x14ac:dyDescent="0.25">
      <c r="G112" s="13"/>
    </row>
    <row r="113" spans="7:7" x14ac:dyDescent="0.25">
      <c r="G113" s="13"/>
    </row>
    <row r="114" spans="7:7" x14ac:dyDescent="0.25">
      <c r="G114" s="13"/>
    </row>
    <row r="115" spans="7:7" x14ac:dyDescent="0.25">
      <c r="G115" s="13"/>
    </row>
  </sheetData>
  <sheetProtection algorithmName="SHA-512" hashValue="a6qm0yh9cz9CRAdGrqPIkD6yIebS6K4akYg7BKlGiWRXIjxgLceOvvknL4ll1SDmvNKqIqKcnP9GBKFf90SBvQ==" saltValue="rD0y/s0QsCC9QlfPqD8kng==" spinCount="100000" sheet="1" objects="1" scenarios="1" selectLockedCells="1"/>
  <mergeCells count="4">
    <mergeCell ref="J2:J3"/>
    <mergeCell ref="J4:J5"/>
    <mergeCell ref="J11:J14"/>
    <mergeCell ref="J6:J10"/>
  </mergeCells>
  <pageMargins left="0.7" right="0.7" top="0.75" bottom="0.75" header="0.3" footer="0.3"/>
  <pageSetup paperSize="14"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 S D G   1 < / s t r i n g > < / k e y > < v a l u e > < i n t > 7 5 < / i n t > < / v a l u e > < / i t e m > < i t e m > < k e y > < s t r i n g > S D G   T i t l e < / s t r i n g > < / k e y > < v a l u e > < i n t > 9 3 < / i n t > < / v a l u e > < / i t e m > < i t e m > < k e y > < s t r i n g > S D G   S e c t i o n < / s t r i n g > < / k e y > < v a l u e > < i n t > 1 1 1 < / i n t > < / v a l u e > < / i t e m > < i t e m > < k e y > < s t r i n g > C o l u m n 1 < / s t r i n g > < / k e y > < v a l u e > < i n t > 8 7 < / i n t > < / v a l u e > < / i t e m > < i t e m > < k e y > < s t r i n g > C o n t e n t   N o . < / s t r i n g > < / k e y > < v a l u e > < i n t > 1 0 7 < / i n t > < / v a l u e > < / i t e m > < i t e m > < k e y > < s t r i n g > S D G   S e c t i o n   C o n t e n t < / s t r i n g > < / k e y > < v a l u e > < i n t > 1 6 1 < / i n t > < / v a l u e > < / i t e m > < i t e m > < k e y > < s t r i n g > T o t a l P o i n t s S e t < / s t r i n g > < / k e y > < v a l u e > < i n t > 1 1 9 < / i n t > < / v a l u e > < / i t e m > < i t e m > < k e y > < s t r i n g > P o i n t s G a i n e d   ( S c o r e ) < / s t r i n g > < / k e y > < v a l u e > < i n t > 1 6 0 < / i n t > < / v a l u e > < / i t e m > < / C o l u m n W i d t h s > < C o l u m n D i s p l a y I n d e x > < i t e m > < k e y > < s t r i n g > S D G   1 < / s t r i n g > < / k e y > < v a l u e > < i n t > 0 < / i n t > < / v a l u e > < / i t e m > < i t e m > < k e y > < s t r i n g > S D G   T i t l e < / s t r i n g > < / k e y > < v a l u e > < i n t > 1 < / i n t > < / v a l u e > < / i t e m > < i t e m > < k e y > < s t r i n g > S D G   S e c t i o n < / s t r i n g > < / k e y > < v a l u e > < i n t > 2 < / i n t > < / v a l u e > < / i t e m > < i t e m > < k e y > < s t r i n g > C o l u m n 1 < / s t r i n g > < / k e y > < v a l u e > < i n t > 3 < / i n t > < / v a l u e > < / i t e m > < i t e m > < k e y > < s t r i n g > C o n t e n t   N o . < / s t r i n g > < / k e y > < v a l u e > < i n t > 4 < / i n t > < / v a l u e > < / i t e m > < i t e m > < k e y > < s t r i n g > S D G   S e c t i o n   C o n t e n t < / s t r i n g > < / k e y > < v a l u e > < i n t > 5 < / i n t > < / v a l u e > < / i t e m > < i t e m > < k e y > < s t r i n g > T o t a l P o i n t s S e t < / s t r i n g > < / k e y > < v a l u e > < i n t > 6 < / i n t > < / v a l u e > < / i t e m > < i t e m > < k e y > < s t r i n g > P o i n t s G a i n e d   ( S c o r e ) < / 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T a b l e 9 ] ] > < / 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 C a m p u s < / s t r i n g > < / k e y > < v a l u e > < i n t > 8 3 < / i n t > < / v a l u e > < / i t e m > < i t e m > < k e y > < s t r i n g > S D G < / s t r i n g > < / k e y > < v a l u e > < i n t > 6 4 < / i n t > < / v a l u e > < / i t e m > < i t e m > < k e y > < s t r i n g > S D G   2 < / s t r i n g > < / k e y > < v a l u e > < i n t > 7 5 < / i n t > < / v a l u e > < / i t e m > < i t e m > < k e y > < s t r i n g > S D G   3 < / s t r i n g > < / k e y > < v a l u e > < i n t > 7 5 < / i n t > < / v a l u e > < / i t e m > < i t e m > < k e y > < s t r i n g > I N D I C A T O R < / s t r i n g > < / k e y > < v a l u e > < i n t > 1 1 6 < / i n t > < / v a l u e > < / i t e m > < i t e m > < k e y > < s t r i n g > S C O R E < / s t r i n g > < / k e y > < v a l u e > < i n t > 8 3 < / i n t > < / v a l u e > < / i t e m > < i t e m > < k e y > < s t r i n g > T o p   4 < / s t r i n g > < / k e y > < v a l u e > < i n t > 6 8 < / i n t > < / v a l u e > < / i t e m > < i t e m > < k e y > < s t r i n g > T a r g e t < / s t r i n g > < / k e y > < v a l u e > < i n t > 7 3 < / i n t > < / v a l u e > < / i t e m > < / C o l u m n W i d t h s > < C o l u m n D i s p l a y I n d e x > < i t e m > < k e y > < s t r i n g > C a m p u s < / s t r i n g > < / k e y > < v a l u e > < i n t > 0 < / i n t > < / v a l u e > < / i t e m > < i t e m > < k e y > < s t r i n g > S D G < / s t r i n g > < / k e y > < v a l u e > < i n t > 1 < / i n t > < / v a l u e > < / i t e m > < i t e m > < k e y > < s t r i n g > S D G   2 < / s t r i n g > < / k e y > < v a l u e > < i n t > 2 < / i n t > < / v a l u e > < / i t e m > < i t e m > < k e y > < s t r i n g > S D G   3 < / s t r i n g > < / k e y > < v a l u e > < i n t > 3 < / i n t > < / v a l u e > < / i t e m > < i t e m > < k e y > < s t r i n g > I N D I C A T O R < / s t r i n g > < / k e y > < v a l u e > < i n t > 4 < / i n t > < / v a l u e > < / i t e m > < i t e m > < k e y > < s t r i n g > S C O R E < / s t r i n g > < / k e y > < v a l u e > < i n t > 5 < / i n t > < / v a l u e > < / i t e m > < i t e m > < k e y > < s t r i n g > T o p   4 < / s t r i n g > < / k e y > < v a l u e > < i n t > 6 < / i n t > < / v a l u e > < / i t e m > < i t e m > < k e y > < s t r i n g > T a r g e t < / 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R a n g e , T a b l e 6 , T a b l e 9 ] ] > < / 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 T a b l e 9 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 2 0 2 3 - 0 6 - 1 7 T 0 8 : 0 8 : 0 2 . 7 4 3 9 + 0 8 : 0 0 < / L a s t P r o c e s s e d T i m e > < / D a t a M o d e l i n g S a n d b o x . S e r i a l i z e d S a n d b o x E r r o r C a c h e > ] ] > < / C u s t o m C o n t e n t > < / G e m i n i > 
</file>

<file path=customXml/item17.xml>��< ? x m l   v e r s i o n = " 1 . 0 "   e n c o d i n g = " U T F - 1 6 " ? > < G e m i n i   x m l n s = " h t t p : / / g e m i n i / p i v o t c u s t o m i z a t i o n / S a n d b o x N o n E m p t y " > < C u s t o m C o n t e n t > < ! [ C D A T A [ 1 ] ] > < / 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 C o l u m n s \ S D G   1 < / K e y > < / a : K e y > < a : V a l u e   i : t y p e = " T a b l e W i d g e t B a s e V i e w S t a t e " / > < / a : K e y V a l u e O f D i a g r a m O b j e c t K e y a n y T y p e z b w N T n L X > < a : K e y V a l u e O f D i a g r a m O b j e c t K e y a n y T y p e z b w N T n L X > < a : K e y > < K e y > C o l u m n s \ S D G   T i t l e < / K e y > < / a : K e y > < a : V a l u e   i : t y p e = " T a b l e W i d g e t B a s e V i e w S t a t e " / > < / a : K e y V a l u e O f D i a g r a m O b j e c t K e y a n y T y p e z b w N T n L X > < a : K e y V a l u e O f D i a g r a m O b j e c t K e y a n y T y p e z b w N T n L X > < a : K e y > < K e y > C o l u m n s \ S D G   S e c t i o n < / 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 C o l u m n s \ C o n t e n t   N o . < / K e y > < / a : K e y > < a : V a l u e   i : t y p e = " T a b l e W i d g e t B a s e V i e w S t a t e " / > < / a : K e y V a l u e O f D i a g r a m O b j e c t K e y a n y T y p e z b w N T n L X > < a : K e y V a l u e O f D i a g r a m O b j e c t K e y a n y T y p e z b w N T n L X > < a : K e y > < K e y > C o l u m n s \ S D G   S e c t i o n   C o n t e n t < / K e y > < / a : K e y > < a : V a l u e   i : t y p e = " T a b l e W i d g e t B a s e V i e w S t a t e " / > < / a : K e y V a l u e O f D i a g r a m O b j e c t K e y a n y T y p e z b w N T n L X > < a : K e y V a l u e O f D i a g r a m O b j e c t K e y a n y T y p e z b w N T n L X > < a : K e y > < K e y > C o l u m n s \ T o t a l P o i n t s S e t < / K e y > < / a : K e y > < a : V a l u e   i : t y p e = " T a b l e W i d g e t B a s e V i e w S t a t e " / > < / a : K e y V a l u e O f D i a g r a m O b j e c t K e y a n y T y p e z b w N T n L X > < a : K e y V a l u e O f D i a g r a m O b j e c t K e y a n y T y p e z b w N T n L X > < a : K e y > < K e y > C o l u m n s \ P o i n t s G a i n e d   ( S c o r e ) 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 C o l u m n s \ A L L   S D G s < / K e y > < / a : K e y > < a : V a l u e   i : t y p e = " T a b l e W i d g e t B a s e V i e w S t a t e " / > < / a : K e y V a l u e O f D i a g r a m O b j e c t K e y a n y T y p e z b w N T n L X > < a : K e y V a l u e O f D i a g r a m O b j e c t K e y a n y T y p e z b w N T n L X > < a : K e y > < K e y > C o l u m n s \ S D G 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1 0 7 5 ] ] > < / 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 C o l u m n s \ S D G   1 < / K e y > < / D i a g r a m O b j e c t K e y > < D i a g r a m O b j e c t K e y > < K e y > C o l u m n s \ S D G   T i t l e < / K e y > < / D i a g r a m O b j e c t K e y > < D i a g r a m O b j e c t K e y > < K e y > C o l u m n s \ S D G   S e c t i o n < / K e y > < / D i a g r a m O b j e c t K e y > < D i a g r a m O b j e c t K e y > < K e y > C o l u m n s \ C o l u m n 1 < / K e y > < / D i a g r a m O b j e c t K e y > < D i a g r a m O b j e c t K e y > < K e y > C o l u m n s \ C o n t e n t   N o . < / K e y > < / D i a g r a m O b j e c t K e y > < D i a g r a m O b j e c t K e y > < K e y > C o l u m n s \ S D G   S e c t i o n   C o n t e n t < / K e y > < / D i a g r a m O b j e c t K e y > < D i a g r a m O b j e c t K e y > < K e y > C o l u m n s \ T o t a l P o i n t s S e t < / K e y > < / D i a g r a m O b j e c t K e y > < D i a g r a m O b j e c t K e y > < K e y > C o l u m n s \ P o i n t s G a i n e d   ( S c o r e ) 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 C o l u m n s \ S D G   1 < / K e y > < / a : K e y > < a : V a l u e   i : t y p e = " M e a s u r e G r i d N o d e V i e w S t a t e " > < L a y e d O u t > t r u e < / L a y e d O u t > < / a : V a l u e > < / a : K e y V a l u e O f D i a g r a m O b j e c t K e y a n y T y p e z b w N T n L X > < a : K e y V a l u e O f D i a g r a m O b j e c t K e y a n y T y p e z b w N T n L X > < a : K e y > < K e y > C o l u m n s \ S D G   T i t l e < / K e y > < / a : K e y > < a : V a l u e   i : t y p e = " M e a s u r e G r i d N o d e V i e w S t a t e " > < C o l u m n > 1 < / C o l u m n > < L a y e d O u t > t r u e < / L a y e d O u t > < / a : V a l u e > < / a : K e y V a l u e O f D i a g r a m O b j e c t K e y a n y T y p e z b w N T n L X > < a : K e y V a l u e O f D i a g r a m O b j e c t K e y a n y T y p e z b w N T n L X > < a : K e y > < K e y > C o l u m n s \ S D G   S e c t i o n < / K e y > < / a : K e y > < a : V a l u e   i : t y p e = " M e a s u r e G r i d N o d e V i e w S t a t e " > < C o l u m n > 2 < / C o l u m n > < L a y e d O u t > t r u e < / L a y e d O u t > < / a : V a l u e > < / a : K e y V a l u e O f D i a g r a m O b j e c t K e y a n y T y p e z b w N T n L X > < a : K e y V a l u e O f D i a g r a m O b j e c t K e y a n y T y p e z b w N T n L X > < a : K e y > < K e y > C o l u m n s \ C o l u m n 1 < / K e y > < / a : K e y > < a : V a l u e   i : t y p e = " M e a s u r e G r i d N o d e V i e w S t a t e " > < C o l u m n > 3 < / C o l u m n > < L a y e d O u t > t r u e < / L a y e d O u t > < / a : V a l u e > < / a : K e y V a l u e O f D i a g r a m O b j e c t K e y a n y T y p e z b w N T n L X > < a : K e y V a l u e O f D i a g r a m O b j e c t K e y a n y T y p e z b w N T n L X > < a : K e y > < K e y > C o l u m n s \ C o n t e n t   N o . < / K e y > < / a : K e y > < a : V a l u e   i : t y p e = " M e a s u r e G r i d N o d e V i e w S t a t e " > < C o l u m n > 4 < / C o l u m n > < L a y e d O u t > t r u e < / L a y e d O u t > < / a : V a l u e > < / a : K e y V a l u e O f D i a g r a m O b j e c t K e y a n y T y p e z b w N T n L X > < a : K e y V a l u e O f D i a g r a m O b j e c t K e y a n y T y p e z b w N T n L X > < a : K e y > < K e y > C o l u m n s \ S D G   S e c t i o n   C o n t e n t < / K e y > < / a : K e y > < a : V a l u e   i : t y p e = " M e a s u r e G r i d N o d e V i e w S t a t e " > < C o l u m n > 5 < / C o l u m n > < L a y e d O u t > t r u e < / L a y e d O u t > < / a : V a l u e > < / a : K e y V a l u e O f D i a g r a m O b j e c t K e y a n y T y p e z b w N T n L X > < a : K e y V a l u e O f D i a g r a m O b j e c t K e y a n y T y p e z b w N T n L X > < a : K e y > < K e y > C o l u m n s \ T o t a l P o i n t s S e t < / K e y > < / a : K e y > < a : V a l u e   i : t y p e = " M e a s u r e G r i d N o d e V i e w S t a t e " > < C o l u m n > 6 < / C o l u m n > < L a y e d O u t > t r u e < / L a y e d O u t > < / a : V a l u e > < / a : K e y V a l u e O f D i a g r a m O b j e c t K e y a n y T y p e z b w N T n L X > < a : K e y V a l u e O f D i a g r a m O b j e c t K e y a n y T y p e z b w N T n L X > < a : K e y > < K e y > C o l u m n s \ P o i n t s G a i n e d   ( S c o r e ) < / K e y > < / a : K e y > < a : V a l u e   i : t y p e = " M e a s u r e G r i d N o d e V i e w S t a t e " > < C o l u m n > 7 < / C o l u m n > < L a y e d O u t > t r u e < / L a y e d O u t > < / a : V a l u e > < / a : K e y V a l u e O f D i a g r a m O b j e c t K e y a n y T y p e z b w N T n L X > < / V i e w S t a t e s > < / D i a g r a m M a n a g e r . S e r i a l i z a b l e D i a g r a m > < D i a g r a m M a n a g e r . S e r i a l i z a b l e D i a g r a m > < A d a p t e r   i : t y p e = " M e a s u r e D i a g r a m S a n d b o x A d a p t e r " > < T a b l e N a m e > T a b l e 9 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 C o l u m n s \ A L L   S D G s < / K e y > < / D i a g r a m O b j e c t K e y > < D i a g r a m O b j e c t K e y > < K e y > C o l u m n s \ S D G   S c o r e 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 C o l u m n s \ A L L   S D G s < / K e y > < / a : K e y > < a : V a l u e   i : t y p e = " M e a s u r e G r i d N o d e V i e w S t a t e " > < L a y e d O u t > t r u e < / L a y e d O u t > < / a : V a l u e > < / a : K e y V a l u e O f D i a g r a m O b j e c t K e y a n y T y p e z b w N T n L X > < a : K e y V a l u e O f D i a g r a m O b j e c t K e y a n y T y p e z b w N T n L X > < a : K e y > < K e y > C o l u m n s \ S D G   S c o r e 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 T a g s \ T a b l e s \ & l t ; T a b l e s \ T a b l e 6 & g t ; < / K e y > < / D i a g r a m O b j e c t K e y > < D i a g r a m O b j e c t K e y > < K e y > D y n a m i c   T a g s \ T a b l e s \ & l t ; T a b l e s \ T a b l e 9 & g t ; < / K e y > < / D i a g r a m O b j e c t K e y > < D i a g r a m O b j e c t K e y > < K e y > T a b l e s \ R a n g e < / K e y > < / D i a g r a m O b j e c t K e y > < D i a g r a m O b j e c t K e y > < K e y > T a b l e s \ R a n g e \ C o l u m n s \ S D G   1 < / K e y > < / D i a g r a m O b j e c t K e y > < D i a g r a m O b j e c t K e y > < K e y > T a b l e s \ R a n g e \ C o l u m n s \ S D G   T i t l e < / K e y > < / D i a g r a m O b j e c t K e y > < D i a g r a m O b j e c t K e y > < K e y > T a b l e s \ R a n g e \ C o l u m n s \ S D G   S e c t i o n < / K e y > < / D i a g r a m O b j e c t K e y > < D i a g r a m O b j e c t K e y > < K e y > T a b l e s \ R a n g e \ C o l u m n s \ C o l u m n 1 < / K e y > < / D i a g r a m O b j e c t K e y > < D i a g r a m O b j e c t K e y > < K e y > T a b l e s \ R a n g e \ C o l u m n s \ C o n t e n t   N o . < / K e y > < / D i a g r a m O b j e c t K e y > < D i a g r a m O b j e c t K e y > < K e y > T a b l e s \ R a n g e \ C o l u m n s \ S D G   S e c t i o n   C o n t e n t < / K e y > < / D i a g r a m O b j e c t K e y > < D i a g r a m O b j e c t K e y > < K e y > T a b l e s \ R a n g e \ C o l u m n s \ T o t a l P o i n t s S e t < / K e y > < / D i a g r a m O b j e c t K e y > < D i a g r a m O b j e c t K e y > < K e y > T a b l e s \ R a n g e \ C o l u m n s \ P o i n t s G a i n e d   ( S c o r e ) < / K e y > < / D i a g r a m O b j e c t K e y > < D i a g r a m O b j e c t K e y > < K e y > T a b l e s \ T a b l e 6 < / K e y > < / D i a g r a m O b j e c t K e y > < D i a g r a m O b j e c t K e y > < K e y > T a b l e s \ T a b l e 6 \ C o l u m n s \ C a m p u s < / K e y > < / D i a g r a m O b j e c t K e y > < D i a g r a m O b j e c t K e y > < K e y > T a b l e s \ T a b l e 6 \ C o l u m n s \ S D G < / K e y > < / D i a g r a m O b j e c t K e y > < D i a g r a m O b j e c t K e y > < K e y > T a b l e s \ T a b l e 6 \ C o l u m n s \ S D G   2 < / K e y > < / D i a g r a m O b j e c t K e y > < D i a g r a m O b j e c t K e y > < K e y > T a b l e s \ T a b l e 6 \ C o l u m n s \ S D G   3 < / K e y > < / D i a g r a m O b j e c t K e y > < D i a g r a m O b j e c t K e y > < K e y > T a b l e s \ T a b l e 6 \ C o l u m n s \ I N D I C A T O R < / K e y > < / D i a g r a m O b j e c t K e y > < D i a g r a m O b j e c t K e y > < K e y > T a b l e s \ T a b l e 6 \ C o l u m n s \ S C O R E < / K e y > < / D i a g r a m O b j e c t K e y > < D i a g r a m O b j e c t K e y > < K e y > T a b l e s \ T a b l e 6 \ C o l u m n s \ T o p   4 < / K e y > < / D i a g r a m O b j e c t K e y > < D i a g r a m O b j e c t K e y > < K e y > T a b l e s \ T a b l e 6 \ C o l u m n s \ T a r g e t < / K e y > < / D i a g r a m O b j e c t K e y > < D i a g r a m O b j e c t K e y > < K e y > T a b l e s \ T a b l e 6 \ M e a s u r e s \ S u m   o f   S C O R E   2 < / K e y > < / D i a g r a m O b j e c t K e y > < D i a g r a m O b j e c t K e y > < K e y > T a b l e s \ T a b l e 6 \ S u m   o f   S C O R E   2 \ A d d i t i o n a l   I n f o \ I m p l i c i t   M e a s u r e < / K e y > < / D i a g r a m O b j e c t K e y > < D i a g r a m O b j e c t K e y > < K e y > T a b l e s \ T a b l e 6 \ M e a s u r e s \ A v e r a g e   o f   S C O R E < / K e y > < / D i a g r a m O b j e c t K e y > < D i a g r a m O b j e c t K e y > < K e y > T a b l e s \ T a b l e 6 \ A v e r a g e   o f   S C O R E \ A d d i t i o n a l   I n f o \ I m p l i c i t   M e a s u r e < / K e y > < / D i a g r a m O b j e c t K e y > < D i a g r a m O b j e c t K e y > < K e y > T a b l e s \ T a b l e 6 \ M e a s u r e s \ S u m   o f   S D G < / K e y > < / D i a g r a m O b j e c t K e y > < D i a g r a m O b j e c t K e y > < K e y > T a b l e s \ T a b l e 6 \ S u m   o f   S D G \ A d d i t i o n a l   I n f o \ I m p l i c i t   M e a s u r e < / K e y > < / D i a g r a m O b j e c t K e y > < D i a g r a m O b j e c t K e y > < K e y > T a b l e s \ T a b l e 6 \ M e a s u r e s \ S u m   o f   T o p   4 < / K e y > < / D i a g r a m O b j e c t K e y > < D i a g r a m O b j e c t K e y > < K e y > T a b l e s \ T a b l e 6 \ S u m   o f   T o p   4 \ A d d i t i o n a l   I n f o \ I m p l i c i t   M e a s u r e < / K e y > < / D i a g r a m O b j e c t K e y > < D i a g r a m O b j e c t K e y > < K e y > T a b l e s \ T a b l e 6 \ M e a s u r e s \ A v e r a g e   o f   T o p   4 < / K e y > < / D i a g r a m O b j e c t K e y > < D i a g r a m O b j e c t K e y > < K e y > T a b l e s \ T a b l e 6 \ A v e r a g e   o f   T o p   4 \ A d d i t i o n a l   I n f o \ I m p l i c i t   M e a s u r e < / K e y > < / D i a g r a m O b j e c t K e y > < D i a g r a m O b j e c t K e y > < K e y > T a b l e s \ T a b l e 6 \ M e a s u r e s \ M a x   o f   S C O R E < / K e y > < / D i a g r a m O b j e c t K e y > < D i a g r a m O b j e c t K e y > < K e y > T a b l e s \ T a b l e 6 \ M a x   o f   S C O R E \ A d d i t i o n a l   I n f o \ I m p l i c i t   M e a s u r e < / K e y > < / D i a g r a m O b j e c t K e y > < D i a g r a m O b j e c t K e y > < K e y > T a b l e s \ T a b l e 6 \ M e a s u r e s \ S u m   o f   T a r g e t < / K e y > < / D i a g r a m O b j e c t K e y > < D i a g r a m O b j e c t K e y > < K e y > T a b l e s \ T a b l e 6 \ S u m   o f   T a r g e t \ A d d i t i o n a l   I n f o \ I m p l i c i t   M e a s u r e < / K e y > < / D i a g r a m O b j e c t K e y > < D i a g r a m O b j e c t K e y > < K e y > T a b l e s \ T a b l e 6 \ M e a s u r e s \ A v e r a g e   o f   T a r g e t < / K e y > < / D i a g r a m O b j e c t K e y > < D i a g r a m O b j e c t K e y > < K e y > T a b l e s \ T a b l e 6 \ A v e r a g e   o f   T a r g e t \ A d d i t i o n a l   I n f o \ I m p l i c i t   M e a s u r e < / K e y > < / D i a g r a m O b j e c t K e y > < D i a g r a m O b j e c t K e y > < K e y > T a b l e s \ T a b l e 6 \ M e a s u r e s \ C o u n t   o f   S D G < / K e y > < / D i a g r a m O b j e c t K e y > < D i a g r a m O b j e c t K e y > < K e y > T a b l e s \ T a b l e 6 \ C o u n t   o f   S D G \ A d d i t i o n a l   I n f o \ I m p l i c i t   M e a s u r e < / K e y > < / D i a g r a m O b j e c t K e y > < D i a g r a m O b j e c t K e y > < K e y > T a b l e s \ T a b l e 6 \ M e a s u r e s \ A v e r a g e   o f   S D G < / K e y > < / D i a g r a m O b j e c t K e y > < D i a g r a m O b j e c t K e y > < K e y > T a b l e s \ T a b l e 6 \ A v e r a g e   o f   S D G \ A d d i t i o n a l   I n f o \ I m p l i c i t   M e a s u r e < / K e y > < / D i a g r a m O b j e c t K e y > < D i a g r a m O b j e c t K e y > < K e y > T a b l e s \ T a b l e 9 < / K e y > < / D i a g r a m O b j e c t K e y > < D i a g r a m O b j e c t K e y > < K e y > T a b l e s \ T a b l e 9 \ C o l u m n s \ A L L   S D G s < / K e y > < / D i a g r a m O b j e c t K e y > < D i a g r a m O b j e c t K e y > < K e y > T a b l e s \ T a b l e 9 \ C o l u m n s \ S D G   S c o r e < / K e y > < / D i a g r a m O b j e c t K e y > < / A l l K e y s > < S e l e c t e d K e y s > < D i a g r a m O b j e c t K e y > < K e y > T a b l e s \ R a n g e 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 D y n a m i c   T a g s \ T a b l e s \ & l t ; T a b l e s \ T a b l e 9 & g t ; < / K e y > < / a : K e y > < a : V a l u e   i : t y p e = " D i a g r a m D i s p l a y T a g V i e w S t a t e " > < I s N o t F i l t e r e d O u t > t r u e < / I s N o t F i l t e r e d O u t > < / a : V a l u e > < / a : K e y V a l u e O f D i a g r a m O b j e c t K e y a n y T y p e z b w N T n L X > < a : K e y V a l u e O f D i a g r a m O b j e c t K e y a n y T y p e z b w N T n L X > < a : K e y > < K e y > T a b l e s \ R a n g e < / K e y > < / a : K e y > < a : V a l u e   i : t y p e = " D i a g r a m D i s p l a y N o d e V i e w S t a t e " > < H e i g h t > 3 2 7 < / H e i g h t > < I s E x p a n d e d > t r u e < / I s E x p a n d e d > < I s F o c u s e d > t r u e < / I s F o c u s e d > < L a y e d O u t > t r u e < / L a y e d O u t > < W i d t h > 2 0 0 < / W i d t h > < / a : V a l u e > < / a : K e y V a l u e O f D i a g r a m O b j e c t K e y a n y T y p e z b w N T n L X > < a : K e y V a l u e O f D i a g r a m O b j e c t K e y a n y T y p e z b w N T n L X > < a : K e y > < K e y > T a b l e s \ R a n g e \ C o l u m n s \ S D G   1 < / K e y > < / a : K e y > < a : V a l u e   i : t y p e = " D i a g r a m D i s p l a y N o d e V i e w S t a t e " > < H e i g h t > 1 5 0 < / H e i g h t > < I s E x p a n d e d > t r u e < / I s E x p a n d e d > < W i d t h > 2 0 0 < / W i d t h > < / a : V a l u e > < / a : K e y V a l u e O f D i a g r a m O b j e c t K e y a n y T y p e z b w N T n L X > < a : K e y V a l u e O f D i a g r a m O b j e c t K e y a n y T y p e z b w N T n L X > < a : K e y > < K e y > T a b l e s \ R a n g e \ C o l u m n s \ S D G   T i t l e < / K e y > < / a : K e y > < a : V a l u e   i : t y p e = " D i a g r a m D i s p l a y N o d e V i e w S t a t e " > < H e i g h t > 1 5 0 < / H e i g h t > < I s E x p a n d e d > t r u e < / I s E x p a n d e d > < W i d t h > 2 0 0 < / W i d t h > < / a : V a l u e > < / a : K e y V a l u e O f D i a g r a m O b j e c t K e y a n y T y p e z b w N T n L X > < a : K e y V a l u e O f D i a g r a m O b j e c t K e y a n y T y p e z b w N T n L X > < a : K e y > < K e y > T a b l e s \ R a n g e \ C o l u m n s \ S D G   S e c t i o n < / 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 T a b l e s \ R a n g e \ C o l u m n s \ C o n t e n t   N o . < / K e y > < / a : K e y > < a : V a l u e   i : t y p e = " D i a g r a m D i s p l a y N o d e V i e w S t a t e " > < H e i g h t > 1 5 0 < / H e i g h t > < I s E x p a n d e d > t r u e < / I s E x p a n d e d > < W i d t h > 2 0 0 < / W i d t h > < / a : V a l u e > < / a : K e y V a l u e O f D i a g r a m O b j e c t K e y a n y T y p e z b w N T n L X > < a : K e y V a l u e O f D i a g r a m O b j e c t K e y a n y T y p e z b w N T n L X > < a : K e y > < K e y > T a b l e s \ R a n g e \ C o l u m n s \ S D G   S e c t i o n   C o n t e n t < / K e y > < / a : K e y > < a : V a l u e   i : t y p e = " D i a g r a m D i s p l a y N o d e V i e w S t a t e " > < H e i g h t > 1 5 0 < / H e i g h t > < I s E x p a n d e d > t r u e < / I s E x p a n d e d > < W i d t h > 2 0 0 < / W i d t h > < / a : V a l u e > < / a : K e y V a l u e O f D i a g r a m O b j e c t K e y a n y T y p e z b w N T n L X > < a : K e y V a l u e O f D i a g r a m O b j e c t K e y a n y T y p e z b w N T n L X > < a : K e y > < K e y > T a b l e s \ R a n g e \ C o l u m n s \ T o t a l P o i n t s S e t < / K e y > < / a : K e y > < a : V a l u e   i : t y p e = " D i a g r a m D i s p l a y N o d e V i e w S t a t e " > < H e i g h t > 1 5 0 < / H e i g h t > < I s E x p a n d e d > t r u e < / I s E x p a n d e d > < W i d t h > 2 0 0 < / W i d t h > < / a : V a l u e > < / a : K e y V a l u e O f D i a g r a m O b j e c t K e y a n y T y p e z b w N T n L X > < a : K e y V a l u e O f D i a g r a m O b j e c t K e y a n y T y p e z b w N T n L X > < a : K e y > < K e y > T a b l e s \ R a n g e \ C o l u m n s \ P o i n t s G a i n e d   ( S c o r e ) < / K e y > < / a : K e y > < a : V a l u e   i : t y p e = " D i a g r a m D i s p l a y N o d e V i e w S t a t e " > < H e i g h t > 1 5 0 < / H e i g h t > < I s E x p a n d e d > t r u e < / I s E x p a n d e d > < W i d t h > 2 0 0 < / W i d t h > < / a : V a l u e > < / a : K e y V a l u e O f D i a g r a m O b j e c t K e y a n y T y p e z b w N T n L X > < a : K e y V a l u e O f D i a g r a m O b j e c t K e y a n y T y p e z b w N T n L X > < a : K e y > < K e y > T a b l e s \ T a b l e 6 < / K e y > < / a : K e y > < a : V a l u e   i : t y p e = " D i a g r a m D i s p l a y N o d e V i e w S t a t e " > < H e i g h t > 3 5 6 < / H e i g h t > < I s E x p a n d e d > t r u e < / I s E x p a n d e d > < L a y e d O u t > t r u e < / L a y e d O u t > < L e f t > 3 2 9 . 9 0 3 8 1 0 5 6 7 6 6 5 8 < / L e f t > < T a b I n d e x > 1 < / T a b I n d e x > < W i d t h > 2 0 0 < / W i d t h > < / a : V a l u e > < / a : K e y V a l u e O f D i a g r a m O b j e c t K e y a n y T y p e z b w N T n L X > < a : K e y V a l u e O f D i a g r a m O b j e c t K e y a n y T y p e z b w N T n L X > < a : K e y > < K e y > T a b l e s \ T a b l e 6 \ C o l u m n s \ C a m p u s < / K e y > < / a : K e y > < a : V a l u e   i : t y p e = " D i a g r a m D i s p l a y N o d e V i e w S t a t e " > < H e i g h t > 1 5 0 < / H e i g h t > < I s E x p a n d e d > t r u e < / I s E x p a n d e d > < W i d t h > 2 0 0 < / W i d t h > < / a : V a l u e > < / a : K e y V a l u e O f D i a g r a m O b j e c t K e y a n y T y p e z b w N T n L X > < a : K e y V a l u e O f D i a g r a m O b j e c t K e y a n y T y p e z b w N T n L X > < a : K e y > < K e y > T a b l e s \ T a b l e 6 \ C o l u m n s \ S D G < / K e y > < / a : K e y > < a : V a l u e   i : t y p e = " D i a g r a m D i s p l a y N o d e V i e w S t a t e " > < H e i g h t > 1 5 0 < / H e i g h t > < I s E x p a n d e d > t r u e < / I s E x p a n d e d > < W i d t h > 2 0 0 < / W i d t h > < / a : V a l u e > < / a : K e y V a l u e O f D i a g r a m O b j e c t K e y a n y T y p e z b w N T n L X > < a : K e y V a l u e O f D i a g r a m O b j e c t K e y a n y T y p e z b w N T n L X > < a : K e y > < K e y > T a b l e s \ T a b l e 6 \ C o l u m n s \ S D G   2 < / K e y > < / a : K e y > < a : V a l u e   i : t y p e = " D i a g r a m D i s p l a y N o d e V i e w S t a t e " > < H e i g h t > 1 5 0 < / H e i g h t > < I s E x p a n d e d > t r u e < / I s E x p a n d e d > < W i d t h > 2 0 0 < / W i d t h > < / a : V a l u e > < / a : K e y V a l u e O f D i a g r a m O b j e c t K e y a n y T y p e z b w N T n L X > < a : K e y V a l u e O f D i a g r a m O b j e c t K e y a n y T y p e z b w N T n L X > < a : K e y > < K e y > T a b l e s \ T a b l e 6 \ C o l u m n s \ S D G   3 < / K e y > < / a : K e y > < a : V a l u e   i : t y p e = " D i a g r a m D i s p l a y N o d e V i e w S t a t e " > < H e i g h t > 1 5 0 < / H e i g h t > < I s E x p a n d e d > t r u e < / I s E x p a n d e d > < W i d t h > 2 0 0 < / W i d t h > < / a : V a l u e > < / a : K e y V a l u e O f D i a g r a m O b j e c t K e y a n y T y p e z b w N T n L X > < a : K e y V a l u e O f D i a g r a m O b j e c t K e y a n y T y p e z b w N T n L X > < a : K e y > < K e y > T a b l e s \ T a b l e 6 \ C o l u m n s \ I N D I C A T O R < / K e y > < / a : K e y > < a : V a l u e   i : t y p e = " D i a g r a m D i s p l a y N o d e V i e w S t a t e " > < H e i g h t > 1 5 0 < / H e i g h t > < I s E x p a n d e d > t r u e < / I s E x p a n d e d > < W i d t h > 2 0 0 < / W i d t h > < / a : V a l u e > < / a : K e y V a l u e O f D i a g r a m O b j e c t K e y a n y T y p e z b w N T n L X > < a : K e y V a l u e O f D i a g r a m O b j e c t K e y a n y T y p e z b w N T n L X > < a : K e y > < K e y > T a b l e s \ T a b l e 6 \ C o l u m n s \ S C O R E < / K e y > < / a : K e y > < a : V a l u e   i : t y p e = " D i a g r a m D i s p l a y N o d e V i e w S t a t e " > < H e i g h t > 1 5 0 < / H e i g h t > < I s E x p a n d e d > t r u e < / I s E x p a n d e d > < W i d t h > 2 0 0 < / W i d t h > < / a : V a l u e > < / a : K e y V a l u e O f D i a g r a m O b j e c t K e y a n y T y p e z b w N T n L X > < a : K e y V a l u e O f D i a g r a m O b j e c t K e y a n y T y p e z b w N T n L X > < a : K e y > < K e y > T a b l e s \ T a b l e 6 \ C o l u m n s \ T o p   4 < / K e y > < / a : K e y > < a : V a l u e   i : t y p e = " D i a g r a m D i s p l a y N o d e V i e w S t a t e " > < H e i g h t > 1 5 0 < / H e i g h t > < I s E x p a n d e d > t r u e < / I s E x p a n d e d > < W i d t h > 2 0 0 < / W i d t h > < / a : V a l u e > < / a : K e y V a l u e O f D i a g r a m O b j e c t K e y a n y T y p e z b w N T n L X > < a : K e y V a l u e O f D i a g r a m O b j e c t K e y a n y T y p e z b w N T n L X > < a : K e y > < K e y > T a b l e s \ T a b l e 6 \ C o l u m n s \ T a r g e t < / K e y > < / a : K e y > < a : V a l u e   i : t y p e = " D i a g r a m D i s p l a y N o d e V i e w S t a t e " > < H e i g h t > 1 5 0 < / H e i g h t > < I s E x p a n d e d > t r u e < / I s E x p a n d e d > < W i d t h > 2 0 0 < / W i d t h > < / a : V a l u e > < / a : K e y V a l u e O f D i a g r a m O b j e c t K e y a n y T y p e z b w N T n L X > < a : K e y V a l u e O f D i a g r a m O b j e c t K e y a n y T y p e z b w N T n L X > < a : K e y > < K e y > T a b l e s \ T a b l e 6 \ M e a s u r e s \ S u m   o f   S C O R E   2 < / K e y > < / a : K e y > < a : V a l u e   i : t y p e = " D i a g r a m D i s p l a y N o d e V i e w S t a t e " > < H e i g h t > 1 5 0 < / H e i g h t > < I s E x p a n d e d > t r u e < / I s E x p a n d e d > < W i d t h > 2 0 0 < / W i d t h > < / a : V a l u e > < / a : K e y V a l u e O f D i a g r a m O b j e c t K e y a n y T y p e z b w N T n L X > < a : K e y V a l u e O f D i a g r a m O b j e c t K e y a n y T y p e z b w N T n L X > < a : K e y > < K e y > T a b l e s \ T a b l e 6 \ S u m   o f   S C O R E   2 \ A d d i t i o n a l   I n f o \ I m p l i c i t   M e a s u r e < / K e y > < / a : K e y > < a : V a l u e   i : t y p e = " D i a g r a m D i s p l a y V i e w S t a t e I D i a g r a m T a g A d d i t i o n a l I n f o " / > < / a : K e y V a l u e O f D i a g r a m O b j e c t K e y a n y T y p e z b w N T n L X > < a : K e y V a l u e O f D i a g r a m O b j e c t K e y a n y T y p e z b w N T n L X > < a : K e y > < K e y > T a b l e s \ T a b l e 6 \ M e a s u r e s \ A v e r a g e   o f   S C O R E < / K e y > < / a : K e y > < a : V a l u e   i : t y p e = " D i a g r a m D i s p l a y N o d e V i e w S t a t e " > < H e i g h t > 1 5 0 < / H e i g h t > < I s E x p a n d e d > t r u e < / I s E x p a n d e d > < W i d t h > 2 0 0 < / W i d t h > < / a : V a l u e > < / a : K e y V a l u e O f D i a g r a m O b j e c t K e y a n y T y p e z b w N T n L X > < a : K e y V a l u e O f D i a g r a m O b j e c t K e y a n y T y p e z b w N T n L X > < a : K e y > < K e y > T a b l e s \ T a b l e 6 \ A v e r a g e   o f   S C O R E \ A d d i t i o n a l   I n f o \ I m p l i c i t   M e a s u r e < / K e y > < / a : K e y > < a : V a l u e   i : t y p e = " D i a g r a m D i s p l a y V i e w S t a t e I D i a g r a m T a g A d d i t i o n a l I n f o " / > < / a : K e y V a l u e O f D i a g r a m O b j e c t K e y a n y T y p e z b w N T n L X > < a : K e y V a l u e O f D i a g r a m O b j e c t K e y a n y T y p e z b w N T n L X > < a : K e y > < K e y > T a b l e s \ T a b l e 6 \ M e a s u r e s \ S u m   o f   S D G < / K e y > < / a : K e y > < a : V a l u e   i : t y p e = " D i a g r a m D i s p l a y N o d e V i e w S t a t e " > < H e i g h t > 1 5 0 < / H e i g h t > < I s E x p a n d e d > t r u e < / I s E x p a n d e d > < W i d t h > 2 0 0 < / W i d t h > < / a : V a l u e > < / a : K e y V a l u e O f D i a g r a m O b j e c t K e y a n y T y p e z b w N T n L X > < a : K e y V a l u e O f D i a g r a m O b j e c t K e y a n y T y p e z b w N T n L X > < a : K e y > < K e y > T a b l e s \ T a b l e 6 \ S u m   o f   S D G \ A d d i t i o n a l   I n f o \ I m p l i c i t   M e a s u r e < / K e y > < / a : K e y > < a : V a l u e   i : t y p e = " D i a g r a m D i s p l a y V i e w S t a t e I D i a g r a m T a g A d d i t i o n a l I n f o " / > < / a : K e y V a l u e O f D i a g r a m O b j e c t K e y a n y T y p e z b w N T n L X > < a : K e y V a l u e O f D i a g r a m O b j e c t K e y a n y T y p e z b w N T n L X > < a : K e y > < K e y > T a b l e s \ T a b l e 6 \ M e a s u r e s \ S u m   o f   T o p   4 < / K e y > < / a : K e y > < a : V a l u e   i : t y p e = " D i a g r a m D i s p l a y N o d e V i e w S t a t e " > < H e i g h t > 1 5 0 < / H e i g h t > < I s E x p a n d e d > t r u e < / I s E x p a n d e d > < W i d t h > 2 0 0 < / W i d t h > < / a : V a l u e > < / a : K e y V a l u e O f D i a g r a m O b j e c t K e y a n y T y p e z b w N T n L X > < a : K e y V a l u e O f D i a g r a m O b j e c t K e y a n y T y p e z b w N T n L X > < a : K e y > < K e y > T a b l e s \ T a b l e 6 \ S u m   o f   T o p   4 \ A d d i t i o n a l   I n f o \ I m p l i c i t   M e a s u r e < / K e y > < / a : K e y > < a : V a l u e   i : t y p e = " D i a g r a m D i s p l a y V i e w S t a t e I D i a g r a m T a g A d d i t i o n a l I n f o " / > < / a : K e y V a l u e O f D i a g r a m O b j e c t K e y a n y T y p e z b w N T n L X > < a : K e y V a l u e O f D i a g r a m O b j e c t K e y a n y T y p e z b w N T n L X > < a : K e y > < K e y > T a b l e s \ T a b l e 6 \ M e a s u r e s \ A v e r a g e   o f   T o p   4 < / K e y > < / a : K e y > < a : V a l u e   i : t y p e = " D i a g r a m D i s p l a y N o d e V i e w S t a t e " > < H e i g h t > 1 5 0 < / H e i g h t > < I s E x p a n d e d > t r u e < / I s E x p a n d e d > < W i d t h > 2 0 0 < / W i d t h > < / a : V a l u e > < / a : K e y V a l u e O f D i a g r a m O b j e c t K e y a n y T y p e z b w N T n L X > < a : K e y V a l u e O f D i a g r a m O b j e c t K e y a n y T y p e z b w N T n L X > < a : K e y > < K e y > T a b l e s \ T a b l e 6 \ A v e r a g e   o f   T o p   4 \ A d d i t i o n a l   I n f o \ I m p l i c i t   M e a s u r e < / K e y > < / a : K e y > < a : V a l u e   i : t y p e = " D i a g r a m D i s p l a y V i e w S t a t e I D i a g r a m T a g A d d i t i o n a l I n f o " / > < / a : K e y V a l u e O f D i a g r a m O b j e c t K e y a n y T y p e z b w N T n L X > < a : K e y V a l u e O f D i a g r a m O b j e c t K e y a n y T y p e z b w N T n L X > < a : K e y > < K e y > T a b l e s \ T a b l e 6 \ M e a s u r e s \ M a x   o f   S C O R E < / K e y > < / a : K e y > < a : V a l u e   i : t y p e = " D i a g r a m D i s p l a y N o d e V i e w S t a t e " > < H e i g h t > 1 5 0 < / H e i g h t > < I s E x p a n d e d > t r u e < / I s E x p a n d e d > < W i d t h > 2 0 0 < / W i d t h > < / a : V a l u e > < / a : K e y V a l u e O f D i a g r a m O b j e c t K e y a n y T y p e z b w N T n L X > < a : K e y V a l u e O f D i a g r a m O b j e c t K e y a n y T y p e z b w N T n L X > < a : K e y > < K e y > T a b l e s \ T a b l e 6 \ M a x   o f   S C O R E \ A d d i t i o n a l   I n f o \ I m p l i c i t   M e a s u r e < / K e y > < / a : K e y > < a : V a l u e   i : t y p e = " D i a g r a m D i s p l a y V i e w S t a t e I D i a g r a m T a g A d d i t i o n a l I n f o " / > < / a : K e y V a l u e O f D i a g r a m O b j e c t K e y a n y T y p e z b w N T n L X > < a : K e y V a l u e O f D i a g r a m O b j e c t K e y a n y T y p e z b w N T n L X > < a : K e y > < K e y > T a b l e s \ T a b l e 6 \ M e a s u r e s \ S u m   o f   T a r g e t < / K e y > < / a : K e y > < a : V a l u e   i : t y p e = " D i a g r a m D i s p l a y N o d e V i e w S t a t e " > < H e i g h t > 1 5 0 < / H e i g h t > < I s E x p a n d e d > t r u e < / I s E x p a n d e d > < W i d t h > 2 0 0 < / W i d t h > < / a : V a l u e > < / a : K e y V a l u e O f D i a g r a m O b j e c t K e y a n y T y p e z b w N T n L X > < a : K e y V a l u e O f D i a g r a m O b j e c t K e y a n y T y p e z b w N T n L X > < a : K e y > < K e y > T a b l e s \ T a b l e 6 \ S u m   o f   T a r g e t \ A d d i t i o n a l   I n f o \ I m p l i c i t   M e a s u r e < / K e y > < / a : K e y > < a : V a l u e   i : t y p e = " D i a g r a m D i s p l a y V i e w S t a t e I D i a g r a m T a g A d d i t i o n a l I n f o " / > < / a : K e y V a l u e O f D i a g r a m O b j e c t K e y a n y T y p e z b w N T n L X > < a : K e y V a l u e O f D i a g r a m O b j e c t K e y a n y T y p e z b w N T n L X > < a : K e y > < K e y > T a b l e s \ T a b l e 6 \ M e a s u r e s \ A v e r a g e   o f   T a r g e t < / K e y > < / a : K e y > < a : V a l u e   i : t y p e = " D i a g r a m D i s p l a y N o d e V i e w S t a t e " > < H e i g h t > 1 5 0 < / H e i g h t > < I s E x p a n d e d > t r u e < / I s E x p a n d e d > < W i d t h > 2 0 0 < / W i d t h > < / a : V a l u e > < / a : K e y V a l u e O f D i a g r a m O b j e c t K e y a n y T y p e z b w N T n L X > < a : K e y V a l u e O f D i a g r a m O b j e c t K e y a n y T y p e z b w N T n L X > < a : K e y > < K e y > T a b l e s \ T a b l e 6 \ A v e r a g e   o f   T a r g e t \ A d d i t i o n a l   I n f o \ I m p l i c i t   M e a s u r e < / K e y > < / a : K e y > < a : V a l u e   i : t y p e = " D i a g r a m D i s p l a y V i e w S t a t e I D i a g r a m T a g A d d i t i o n a l I n f o " / > < / a : K e y V a l u e O f D i a g r a m O b j e c t K e y a n y T y p e z b w N T n L X > < a : K e y V a l u e O f D i a g r a m O b j e c t K e y a n y T y p e z b w N T n L X > < a : K e y > < K e y > T a b l e s \ T a b l e 6 \ M e a s u r e s \ C o u n t   o f   S D G < / K e y > < / a : K e y > < a : V a l u e   i : t y p e = " D i a g r a m D i s p l a y N o d e V i e w S t a t e " > < H e i g h t > 1 5 0 < / H e i g h t > < I s E x p a n d e d > t r u e < / I s E x p a n d e d > < W i d t h > 2 0 0 < / W i d t h > < / a : V a l u e > < / a : K e y V a l u e O f D i a g r a m O b j e c t K e y a n y T y p e z b w N T n L X > < a : K e y V a l u e O f D i a g r a m O b j e c t K e y a n y T y p e z b w N T n L X > < a : K e y > < K e y > T a b l e s \ T a b l e 6 \ C o u n t   o f   S D G \ A d d i t i o n a l   I n f o \ I m p l i c i t   M e a s u r e < / K e y > < / a : K e y > < a : V a l u e   i : t y p e = " D i a g r a m D i s p l a y V i e w S t a t e I D i a g r a m T a g A d d i t i o n a l I n f o " / > < / a : K e y V a l u e O f D i a g r a m O b j e c t K e y a n y T y p e z b w N T n L X > < a : K e y V a l u e O f D i a g r a m O b j e c t K e y a n y T y p e z b w N T n L X > < a : K e y > < K e y > T a b l e s \ T a b l e 6 \ M e a s u r e s \ A v e r a g e   o f   S D G < / K e y > < / a : K e y > < a : V a l u e   i : t y p e = " D i a g r a m D i s p l a y N o d e V i e w S t a t e " > < H e i g h t > 1 5 0 < / H e i g h t > < I s E x p a n d e d > t r u e < / I s E x p a n d e d > < W i d t h > 2 0 0 < / W i d t h > < / a : V a l u e > < / a : K e y V a l u e O f D i a g r a m O b j e c t K e y a n y T y p e z b w N T n L X > < a : K e y V a l u e O f D i a g r a m O b j e c t K e y a n y T y p e z b w N T n L X > < a : K e y > < K e y > T a b l e s \ T a b l e 6 \ A v e r a g e   o f   S D G \ A d d i t i o n a l   I n f o \ I m p l i c i t   M e a s u r e < / K e y > < / a : K e y > < a : V a l u e   i : t y p e = " D i a g r a m D i s p l a y V i e w S t a t e I D i a g r a m T a g A d d i t i o n a l I n f o " / > < / a : K e y V a l u e O f D i a g r a m O b j e c t K e y a n y T y p e z b w N T n L X > < a : K e y V a l u e O f D i a g r a m O b j e c t K e y a n y T y p e z b w N T n L X > < a : K e y > < K e y > T a b l e s \ T a b l e 9 < / K e y > < / a : K e y > < a : V a l u e   i : t y p e = " D i a g r a m D i s p l a y N o d e V i e w S t a t e " > < H e i g h t > 1 5 0 < / H e i g h t > < I s E x p a n d e d > t r u e < / I s E x p a n d e d > < L a y e d O u t > t r u e < / L a y e d O u t > < L e f t > 6 5 9 . 8 0 7 6 2 1 1 3 5 3 3 1 6 < / L e f t > < T a b I n d e x > 2 < / T a b I n d e x > < W i d t h > 2 0 0 < / W i d t h > < / a : V a l u e > < / a : K e y V a l u e O f D i a g r a m O b j e c t K e y a n y T y p e z b w N T n L X > < a : K e y V a l u e O f D i a g r a m O b j e c t K e y a n y T y p e z b w N T n L X > < a : K e y > < K e y > T a b l e s \ T a b l e 9 \ C o l u m n s \ A L L   S D G s < / K e y > < / a : K e y > < a : V a l u e   i : t y p e = " D i a g r a m D i s p l a y N o d e V i e w S t a t e " > < H e i g h t > 1 5 0 < / H e i g h t > < I s E x p a n d e d > t r u e < / I s E x p a n d e d > < W i d t h > 2 0 0 < / W i d t h > < / a : V a l u e > < / a : K e y V a l u e O f D i a g r a m O b j e c t K e y a n y T y p e z b w N T n L X > < a : K e y V a l u e O f D i a g r a m O b j e c t K e y a n y T y p e z b w N T n L X > < a : K e y > < K e y > T a b l e s \ T a b l e 9 \ C o l u m n s \ S D G   S c o r e < / K e y > < / a : K e y > < a : V a l u e   i : t y p e = " D i a g r a m D i s p l a y N o d e V i e w S t a t e " > < H e i g h t > 1 5 0 < / H e i g h t > < I s E x p a n d e d > t r u e < / I s E x p a n d e d > < W i d t h > 2 0 0 < / W i d t h > < / a : V a l u 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2E3F606-0568-412A-8EC6-2966016E3843}">
  <ds:schemaRefs/>
</ds:datastoreItem>
</file>

<file path=customXml/itemProps10.xml><?xml version="1.0" encoding="utf-8"?>
<ds:datastoreItem xmlns:ds="http://schemas.openxmlformats.org/officeDocument/2006/customXml" ds:itemID="{5553280D-4A54-4F42-B9DB-A26E1A33E365}">
  <ds:schemaRefs/>
</ds:datastoreItem>
</file>

<file path=customXml/itemProps11.xml><?xml version="1.0" encoding="utf-8"?>
<ds:datastoreItem xmlns:ds="http://schemas.openxmlformats.org/officeDocument/2006/customXml" ds:itemID="{F56906C5-517E-4E76-9B43-BC5BA7AD3587}">
  <ds:schemaRefs/>
</ds:datastoreItem>
</file>

<file path=customXml/itemProps12.xml><?xml version="1.0" encoding="utf-8"?>
<ds:datastoreItem xmlns:ds="http://schemas.openxmlformats.org/officeDocument/2006/customXml" ds:itemID="{F881F29F-7803-49FB-83EE-BC89FC44A841}">
  <ds:schemaRefs/>
</ds:datastoreItem>
</file>

<file path=customXml/itemProps13.xml><?xml version="1.0" encoding="utf-8"?>
<ds:datastoreItem xmlns:ds="http://schemas.openxmlformats.org/officeDocument/2006/customXml" ds:itemID="{5E3579FA-2A54-4BB5-A102-24A06A88D909}">
  <ds:schemaRefs/>
</ds:datastoreItem>
</file>

<file path=customXml/itemProps14.xml><?xml version="1.0" encoding="utf-8"?>
<ds:datastoreItem xmlns:ds="http://schemas.openxmlformats.org/officeDocument/2006/customXml" ds:itemID="{E074CC5B-FD84-4FDB-AC30-CA66741415C5}">
  <ds:schemaRefs/>
</ds:datastoreItem>
</file>

<file path=customXml/itemProps15.xml><?xml version="1.0" encoding="utf-8"?>
<ds:datastoreItem xmlns:ds="http://schemas.openxmlformats.org/officeDocument/2006/customXml" ds:itemID="{DF4C15D2-8182-4FF8-9358-9630F3978382}">
  <ds:schemaRefs/>
</ds:datastoreItem>
</file>

<file path=customXml/itemProps16.xml><?xml version="1.0" encoding="utf-8"?>
<ds:datastoreItem xmlns:ds="http://schemas.openxmlformats.org/officeDocument/2006/customXml" ds:itemID="{5C13247E-4742-4489-A15D-896F4AD1D33D}">
  <ds:schemaRefs/>
</ds:datastoreItem>
</file>

<file path=customXml/itemProps17.xml><?xml version="1.0" encoding="utf-8"?>
<ds:datastoreItem xmlns:ds="http://schemas.openxmlformats.org/officeDocument/2006/customXml" ds:itemID="{31ED5DE1-620D-4DB7-B4E6-CFE6608A0685}">
  <ds:schemaRefs/>
</ds:datastoreItem>
</file>

<file path=customXml/itemProps2.xml><?xml version="1.0" encoding="utf-8"?>
<ds:datastoreItem xmlns:ds="http://schemas.openxmlformats.org/officeDocument/2006/customXml" ds:itemID="{3E69BF55-ADA7-43DB-BC20-44A8909DEEA3}">
  <ds:schemaRefs/>
</ds:datastoreItem>
</file>

<file path=customXml/itemProps3.xml><?xml version="1.0" encoding="utf-8"?>
<ds:datastoreItem xmlns:ds="http://schemas.openxmlformats.org/officeDocument/2006/customXml" ds:itemID="{FBABF121-E1E0-4B43-A56E-077F72E8A99F}">
  <ds:schemaRefs/>
</ds:datastoreItem>
</file>

<file path=customXml/itemProps4.xml><?xml version="1.0" encoding="utf-8"?>
<ds:datastoreItem xmlns:ds="http://schemas.openxmlformats.org/officeDocument/2006/customXml" ds:itemID="{57114BDF-2364-4FEC-BAB7-1337E951A28F}">
  <ds:schemaRefs/>
</ds:datastoreItem>
</file>

<file path=customXml/itemProps5.xml><?xml version="1.0" encoding="utf-8"?>
<ds:datastoreItem xmlns:ds="http://schemas.openxmlformats.org/officeDocument/2006/customXml" ds:itemID="{B3FB6794-94A0-40B7-AF5A-F190EAC622F1}">
  <ds:schemaRefs/>
</ds:datastoreItem>
</file>

<file path=customXml/itemProps6.xml><?xml version="1.0" encoding="utf-8"?>
<ds:datastoreItem xmlns:ds="http://schemas.openxmlformats.org/officeDocument/2006/customXml" ds:itemID="{E5B8D648-ADA3-46B6-8F54-B962AEB20C8A}">
  <ds:schemaRefs/>
</ds:datastoreItem>
</file>

<file path=customXml/itemProps7.xml><?xml version="1.0" encoding="utf-8"?>
<ds:datastoreItem xmlns:ds="http://schemas.openxmlformats.org/officeDocument/2006/customXml" ds:itemID="{A7792651-3296-4644-985D-3A2FC0185C43}">
  <ds:schemaRefs/>
</ds:datastoreItem>
</file>

<file path=customXml/itemProps8.xml><?xml version="1.0" encoding="utf-8"?>
<ds:datastoreItem xmlns:ds="http://schemas.openxmlformats.org/officeDocument/2006/customXml" ds:itemID="{792BB0CE-8FAE-4287-8FE9-FF52B6211824}">
  <ds:schemaRefs/>
</ds:datastoreItem>
</file>

<file path=customXml/itemProps9.xml><?xml version="1.0" encoding="utf-8"?>
<ds:datastoreItem xmlns:ds="http://schemas.openxmlformats.org/officeDocument/2006/customXml" ds:itemID="{96005612-C64E-44C0-9615-9ABBC8E5CB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SDG1_Table</vt:lpstr>
      <vt:lpstr>Score Summary</vt:lpstr>
      <vt:lpstr>Main Menu</vt:lpstr>
      <vt:lpstr>Dashboard</vt:lpstr>
      <vt:lpstr>PT</vt:lpstr>
      <vt:lpstr>BatStateU Total Score</vt:lpstr>
      <vt:lpstr>CampusScore</vt:lpstr>
      <vt:lpstr>SDG1</vt:lpstr>
      <vt:lpstr>SDG2</vt:lpstr>
      <vt:lpstr>SDG3</vt:lpstr>
      <vt:lpstr>SDG4</vt:lpstr>
      <vt:lpstr>SDG5</vt:lpstr>
      <vt:lpstr>SDG6</vt:lpstr>
      <vt:lpstr>SDG7</vt:lpstr>
      <vt:lpstr>SDG8</vt:lpstr>
      <vt:lpstr>SDG9</vt:lpstr>
      <vt:lpstr>SDG10</vt:lpstr>
      <vt:lpstr>SDG11</vt:lpstr>
      <vt:lpstr>SDG12</vt:lpstr>
      <vt:lpstr>SDG13</vt:lpstr>
      <vt:lpstr>SDG14</vt:lpstr>
      <vt:lpstr>SDG15</vt:lpstr>
      <vt:lpstr>SDG16</vt:lpstr>
      <vt:lpstr>SDG17</vt:lpstr>
      <vt:lpstr>dropdown</vt:lpstr>
      <vt:lpstr>CA_Plan</vt:lpstr>
      <vt:lpstr>report</vt:lpstr>
      <vt:lpstr>vaw</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Analyst</dc:creator>
  <cp:lastModifiedBy>Data Analyst</cp:lastModifiedBy>
  <cp:lastPrinted>2023-06-17T02:05:27Z</cp:lastPrinted>
  <dcterms:created xsi:type="dcterms:W3CDTF">2023-06-08T00:17:54Z</dcterms:created>
  <dcterms:modified xsi:type="dcterms:W3CDTF">2023-07-03T00:46:43Z</dcterms:modified>
</cp:coreProperties>
</file>