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 tabRatio="785"/>
  </bookViews>
  <sheets>
    <sheet name="总包造价指标表" sheetId="36" r:id="rId1"/>
    <sheet name="总包含量指标表" sheetId="35" r:id="rId2"/>
  </sheets>
  <definedNames>
    <definedName name="_xlnm.Print_Titles" localSheetId="0">总包造价指标表!$1:$3</definedName>
    <definedName name="_xlnm.Print_Titles" localSheetId="1">总包含量指标表!$1:$3</definedName>
  </definedNames>
  <calcPr calcId="144525" iterate="1" iterateCount="100" iterateDelta="0.001" concurrentCalc="0"/>
</workbook>
</file>

<file path=xl/sharedStrings.xml><?xml version="1.0" encoding="utf-8"?>
<sst xmlns="http://schemas.openxmlformats.org/spreadsheetml/2006/main" count="96">
  <si>
    <r>
      <rPr>
        <b/>
        <sz val="18"/>
        <color theme="1"/>
        <rFont val="微软雅黑"/>
        <charset val="134"/>
      </rPr>
      <t>总包工程</t>
    </r>
    <r>
      <rPr>
        <b/>
        <sz val="18"/>
        <color rgb="FFFF0000"/>
        <rFont val="微软雅黑"/>
        <charset val="134"/>
      </rPr>
      <t>造价</t>
    </r>
    <r>
      <rPr>
        <b/>
        <sz val="18"/>
        <color theme="1"/>
        <rFont val="微软雅黑"/>
        <charset val="134"/>
      </rPr>
      <t>指标表</t>
    </r>
  </si>
  <si>
    <t>序号</t>
  </si>
  <si>
    <t>项目名称</t>
  </si>
  <si>
    <t>高层单方(元/m2)</t>
  </si>
  <si>
    <t>小高层单方(元/m2)</t>
  </si>
  <si>
    <t>多层单方(元/m2)</t>
  </si>
  <si>
    <t>…………单方(元/m2)</t>
  </si>
  <si>
    <t>3#</t>
  </si>
  <si>
    <t>8#</t>
  </si>
  <si>
    <t>13#</t>
  </si>
  <si>
    <t>20#</t>
  </si>
  <si>
    <t>27#</t>
  </si>
  <si>
    <t>4#</t>
  </si>
  <si>
    <t>5#</t>
  </si>
  <si>
    <t>9#</t>
  </si>
  <si>
    <t>10#</t>
  </si>
  <si>
    <t>14#</t>
  </si>
  <si>
    <t>15#</t>
  </si>
  <si>
    <t>地库</t>
  </si>
  <si>
    <t>幼儿园</t>
  </si>
  <si>
    <t>地下面积</t>
  </si>
  <si>
    <t>地上面积</t>
  </si>
  <si>
    <t>总建筑面积</t>
  </si>
  <si>
    <t>一</t>
  </si>
  <si>
    <t>地下工程</t>
  </si>
  <si>
    <t>主体结构粗装修</t>
  </si>
  <si>
    <t>钢筋</t>
  </si>
  <si>
    <t>砼</t>
  </si>
  <si>
    <t>模板</t>
  </si>
  <si>
    <t>建筑-砌体</t>
  </si>
  <si>
    <t>建筑-粗装</t>
  </si>
  <si>
    <t>公共部位精装</t>
  </si>
  <si>
    <t>建筑措施费</t>
  </si>
  <si>
    <t>脚手架</t>
  </si>
  <si>
    <t>垂直运输</t>
  </si>
  <si>
    <t>超高措施费</t>
  </si>
  <si>
    <t>防水工程</t>
  </si>
  <si>
    <t>栏杆工程</t>
  </si>
  <si>
    <t>保温工程</t>
  </si>
  <si>
    <t>安装-水</t>
  </si>
  <si>
    <t>安装-电</t>
  </si>
  <si>
    <t>安装-暖</t>
  </si>
  <si>
    <t>二</t>
  </si>
  <si>
    <t>地上工程</t>
  </si>
  <si>
    <t>屋面保温</t>
  </si>
  <si>
    <t>内外墙、楼地面保温</t>
  </si>
  <si>
    <t>GRC、EPS线条等工程</t>
  </si>
  <si>
    <t>外墙外立面</t>
  </si>
  <si>
    <t>三</t>
  </si>
  <si>
    <t>总价措施费</t>
  </si>
  <si>
    <t>四</t>
  </si>
  <si>
    <t>规费</t>
  </si>
  <si>
    <t>五</t>
  </si>
  <si>
    <t>合计</t>
  </si>
  <si>
    <t>注：地下指标对应为地下面积基数，地上指标对应为地上面积指标</t>
  </si>
  <si>
    <r>
      <rPr>
        <b/>
        <sz val="18"/>
        <rFont val="微软雅黑"/>
        <charset val="134"/>
      </rPr>
      <t>总包工程</t>
    </r>
    <r>
      <rPr>
        <b/>
        <sz val="18"/>
        <color rgb="FFFF0000"/>
        <rFont val="微软雅黑"/>
        <charset val="134"/>
      </rPr>
      <t>含量</t>
    </r>
    <r>
      <rPr>
        <b/>
        <sz val="18"/>
        <rFont val="微软雅黑"/>
        <charset val="134"/>
      </rPr>
      <t>指标表</t>
    </r>
  </si>
  <si>
    <t>序
号</t>
  </si>
  <si>
    <t>物业形态</t>
  </si>
  <si>
    <t>楼号</t>
  </si>
  <si>
    <t>幢数</t>
  </si>
  <si>
    <t>面积(单体)</t>
  </si>
  <si>
    <t>地上地下建筑面积</t>
  </si>
  <si>
    <t>结构形式/层高</t>
  </si>
  <si>
    <t>指标</t>
  </si>
  <si>
    <t>钢筋(结构面积指标)</t>
  </si>
  <si>
    <t>砼(m3/m2)</t>
  </si>
  <si>
    <t>砌体</t>
  </si>
  <si>
    <t>天棚面指标(m2/m2)</t>
  </si>
  <si>
    <t>内墙面抹灰指标(m2/m2)</t>
  </si>
  <si>
    <t>内墙面
界面剂喷浆指标(m2/m2)</t>
  </si>
  <si>
    <t>外墙面指标(m2/m2)</t>
  </si>
  <si>
    <t>平屋面指标(m2/m2)</t>
  </si>
  <si>
    <t>备注</t>
  </si>
  <si>
    <t>用量（T）</t>
  </si>
  <si>
    <t>指标
(kg/m2)</t>
  </si>
  <si>
    <t>不含二结构用量（M3）</t>
  </si>
  <si>
    <t>指标(m3/m2)</t>
  </si>
  <si>
    <t>含二结构及垫层用量（M3）</t>
  </si>
  <si>
    <t>用量（M2）</t>
  </si>
  <si>
    <t>指标(m2/m2)</t>
  </si>
  <si>
    <r>
      <rPr>
        <sz val="9"/>
        <rFont val="微软雅黑"/>
        <charset val="134"/>
      </rPr>
      <t>用量（</t>
    </r>
    <r>
      <rPr>
        <sz val="9"/>
        <color rgb="FFFF0000"/>
        <rFont val="微软雅黑"/>
        <charset val="134"/>
      </rPr>
      <t>M3</t>
    </r>
    <r>
      <rPr>
        <sz val="9"/>
        <rFont val="微软雅黑"/>
        <charset val="134"/>
      </rPr>
      <t>）</t>
    </r>
  </si>
  <si>
    <t>小高层</t>
  </si>
  <si>
    <t>剪力墙</t>
  </si>
  <si>
    <t>地上</t>
  </si>
  <si>
    <t>地下</t>
  </si>
  <si>
    <t>综合指标</t>
  </si>
  <si>
    <t>洋房</t>
  </si>
  <si>
    <t>高层18F</t>
  </si>
  <si>
    <t>框剪/2.95</t>
  </si>
  <si>
    <t>剪力墙/</t>
  </si>
  <si>
    <t>高层8F</t>
  </si>
  <si>
    <t>注:</t>
  </si>
  <si>
    <t>1、地上指标：地上数量/地上建筑面积</t>
  </si>
  <si>
    <t>2、地下指标：地下数量/地下建筑面积</t>
  </si>
  <si>
    <t>3、综合指标：总数量/总建筑面积</t>
  </si>
  <si>
    <t>4、砼、钢筋指标为限额对应的结构面积基数，而非建筑面积基数</t>
  </si>
</sst>
</file>

<file path=xl/styles.xml><?xml version="1.0" encoding="utf-8"?>
<styleSheet xmlns="http://schemas.openxmlformats.org/spreadsheetml/2006/main">
  <numFmts count="7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_);[Red]\(0.00\)"/>
    <numFmt numFmtId="178" formatCode="0.000_ "/>
  </numFmts>
  <fonts count="3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b/>
      <sz val="18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sz val="10"/>
      <color indexed="8"/>
      <name val="Arial"/>
      <charset val="134"/>
    </font>
    <font>
      <b/>
      <sz val="18"/>
      <color rgb="FFFF0000"/>
      <name val="微软雅黑"/>
      <charset val="134"/>
    </font>
    <font>
      <sz val="9"/>
      <color rgb="FFFF0000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0" borderId="0"/>
    <xf numFmtId="0" fontId="20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" fillId="0" borderId="0"/>
    <xf numFmtId="0" fontId="17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12" borderId="14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30" fillId="30" borderId="13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" fillId="0" borderId="0"/>
    <xf numFmtId="0" fontId="34" fillId="0" borderId="0" applyProtection="0"/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/>
  </cellStyleXfs>
  <cellXfs count="121">
    <xf numFmtId="0" fontId="0" fillId="0" borderId="0" xfId="0">
      <alignment vertical="center"/>
    </xf>
    <xf numFmtId="0" fontId="1" fillId="2" borderId="0" xfId="53" applyFill="1"/>
    <xf numFmtId="0" fontId="1" fillId="3" borderId="0" xfId="53" applyFill="1"/>
    <xf numFmtId="0" fontId="1" fillId="0" borderId="0" xfId="53" applyFill="1"/>
    <xf numFmtId="0" fontId="2" fillId="2" borderId="0" xfId="53" applyFont="1" applyFill="1"/>
    <xf numFmtId="0" fontId="2" fillId="0" borderId="0" xfId="53" applyFont="1"/>
    <xf numFmtId="0" fontId="1" fillId="0" borderId="0" xfId="53" applyBorder="1"/>
    <xf numFmtId="0" fontId="1" fillId="0" borderId="0" xfId="53"/>
    <xf numFmtId="0" fontId="1" fillId="0" borderId="0" xfId="53" applyAlignment="1">
      <alignment horizontal="center"/>
    </xf>
    <xf numFmtId="178" fontId="1" fillId="0" borderId="0" xfId="53" applyNumberFormat="1" applyAlignment="1">
      <alignment horizontal="center"/>
    </xf>
    <xf numFmtId="0" fontId="3" fillId="0" borderId="1" xfId="12" applyFont="1" applyFill="1" applyBorder="1" applyAlignment="1">
      <alignment horizontal="center" vertical="center"/>
    </xf>
    <xf numFmtId="0" fontId="4" fillId="0" borderId="2" xfId="12" applyFont="1" applyFill="1" applyBorder="1" applyAlignment="1">
      <alignment horizontal="center" vertical="center" wrapText="1" shrinkToFit="1"/>
    </xf>
    <xf numFmtId="0" fontId="4" fillId="0" borderId="3" xfId="12" applyFont="1" applyFill="1" applyBorder="1" applyAlignment="1">
      <alignment horizontal="center" vertical="center" wrapText="1" shrinkToFit="1"/>
    </xf>
    <xf numFmtId="0" fontId="4" fillId="0" borderId="2" xfId="58" applyFont="1" applyFill="1" applyBorder="1" applyAlignment="1">
      <alignment horizontal="center" vertical="center" wrapText="1"/>
    </xf>
    <xf numFmtId="0" fontId="4" fillId="0" borderId="4" xfId="12" applyFont="1" applyFill="1" applyBorder="1" applyAlignment="1">
      <alignment horizontal="center" vertical="center" wrapText="1" shrinkToFit="1"/>
    </xf>
    <xf numFmtId="0" fontId="4" fillId="2" borderId="3" xfId="12" applyFont="1" applyFill="1" applyBorder="1" applyAlignment="1">
      <alignment horizontal="center" vertical="center"/>
    </xf>
    <xf numFmtId="0" fontId="4" fillId="2" borderId="3" xfId="12" applyFont="1" applyFill="1" applyBorder="1" applyAlignment="1">
      <alignment horizontal="center" vertical="center" wrapText="1"/>
    </xf>
    <xf numFmtId="177" fontId="4" fillId="2" borderId="2" xfId="54" applyNumberFormat="1" applyFont="1" applyFill="1" applyBorder="1" applyAlignment="1">
      <alignment horizontal="center" vertical="center"/>
    </xf>
    <xf numFmtId="0" fontId="4" fillId="2" borderId="2" xfId="54" applyNumberFormat="1" applyFont="1" applyFill="1" applyBorder="1" applyAlignment="1">
      <alignment horizontal="center" vertical="center"/>
    </xf>
    <xf numFmtId="0" fontId="4" fillId="2" borderId="3" xfId="54" applyNumberFormat="1" applyFont="1" applyFill="1" applyBorder="1" applyAlignment="1">
      <alignment horizontal="center" vertical="center"/>
    </xf>
    <xf numFmtId="177" fontId="4" fillId="2" borderId="3" xfId="54" applyNumberFormat="1" applyFont="1" applyFill="1" applyBorder="1" applyAlignment="1">
      <alignment horizontal="center" vertical="center"/>
    </xf>
    <xf numFmtId="0" fontId="4" fillId="2" borderId="5" xfId="12" applyFont="1" applyFill="1" applyBorder="1" applyAlignment="1">
      <alignment horizontal="center" vertical="center"/>
    </xf>
    <xf numFmtId="0" fontId="4" fillId="2" borderId="5" xfId="12" applyFont="1" applyFill="1" applyBorder="1" applyAlignment="1">
      <alignment horizontal="center" vertical="center" wrapText="1"/>
    </xf>
    <xf numFmtId="0" fontId="4" fillId="2" borderId="5" xfId="54" applyNumberFormat="1" applyFont="1" applyFill="1" applyBorder="1" applyAlignment="1">
      <alignment horizontal="center" vertical="center"/>
    </xf>
    <xf numFmtId="177" fontId="4" fillId="2" borderId="5" xfId="54" applyNumberFormat="1" applyFont="1" applyFill="1" applyBorder="1" applyAlignment="1">
      <alignment horizontal="center" vertical="center"/>
    </xf>
    <xf numFmtId="0" fontId="5" fillId="2" borderId="2" xfId="54" applyFont="1" applyFill="1" applyBorder="1" applyAlignment="1">
      <alignment horizontal="center" vertical="center"/>
    </xf>
    <xf numFmtId="0" fontId="4" fillId="2" borderId="4" xfId="12" applyFont="1" applyFill="1" applyBorder="1" applyAlignment="1">
      <alignment horizontal="center" vertical="center"/>
    </xf>
    <xf numFmtId="0" fontId="4" fillId="2" borderId="4" xfId="12" applyFont="1" applyFill="1" applyBorder="1" applyAlignment="1">
      <alignment horizontal="center" vertical="center" wrapText="1"/>
    </xf>
    <xf numFmtId="0" fontId="4" fillId="2" borderId="4" xfId="54" applyNumberFormat="1" applyFont="1" applyFill="1" applyBorder="1" applyAlignment="1">
      <alignment horizontal="center" vertical="center"/>
    </xf>
    <xf numFmtId="177" fontId="4" fillId="2" borderId="4" xfId="54" applyNumberFormat="1" applyFont="1" applyFill="1" applyBorder="1" applyAlignment="1">
      <alignment horizontal="center" vertical="center"/>
    </xf>
    <xf numFmtId="0" fontId="6" fillId="2" borderId="2" xfId="54" applyFont="1" applyFill="1" applyBorder="1" applyAlignment="1">
      <alignment horizontal="center" vertical="center"/>
    </xf>
    <xf numFmtId="0" fontId="4" fillId="0" borderId="3" xfId="12" applyFont="1" applyFill="1" applyBorder="1" applyAlignment="1">
      <alignment horizontal="center" vertical="center"/>
    </xf>
    <xf numFmtId="0" fontId="4" fillId="0" borderId="3" xfId="12" applyFont="1" applyFill="1" applyBorder="1" applyAlignment="1">
      <alignment horizontal="center" vertical="center" wrapText="1"/>
    </xf>
    <xf numFmtId="177" fontId="4" fillId="0" borderId="2" xfId="54" applyNumberFormat="1" applyFont="1" applyFill="1" applyBorder="1" applyAlignment="1">
      <alignment horizontal="center" vertical="center"/>
    </xf>
    <xf numFmtId="0" fontId="5" fillId="0" borderId="2" xfId="54" applyFont="1" applyFill="1" applyBorder="1" applyAlignment="1">
      <alignment horizontal="center" vertical="center"/>
    </xf>
    <xf numFmtId="0" fontId="4" fillId="0" borderId="3" xfId="54" applyNumberFormat="1" applyFont="1" applyFill="1" applyBorder="1" applyAlignment="1">
      <alignment horizontal="center" vertical="center"/>
    </xf>
    <xf numFmtId="0" fontId="4" fillId="0" borderId="2" xfId="54" applyNumberFormat="1" applyFont="1" applyFill="1" applyBorder="1" applyAlignment="1">
      <alignment horizontal="center" vertical="center"/>
    </xf>
    <xf numFmtId="177" fontId="4" fillId="0" borderId="3" xfId="54" applyNumberFormat="1" applyFont="1" applyFill="1" applyBorder="1" applyAlignment="1">
      <alignment horizontal="center" vertical="center"/>
    </xf>
    <xf numFmtId="0" fontId="4" fillId="3" borderId="5" xfId="12" applyFont="1" applyFill="1" applyBorder="1" applyAlignment="1">
      <alignment horizontal="center" vertical="center"/>
    </xf>
    <xf numFmtId="0" fontId="4" fillId="3" borderId="5" xfId="12" applyFont="1" applyFill="1" applyBorder="1" applyAlignment="1">
      <alignment horizontal="center" vertical="center" wrapText="1"/>
    </xf>
    <xf numFmtId="177" fontId="4" fillId="3" borderId="2" xfId="54" applyNumberFormat="1" applyFont="1" applyFill="1" applyBorder="1" applyAlignment="1">
      <alignment horizontal="center" vertical="center"/>
    </xf>
    <xf numFmtId="0" fontId="5" fillId="3" borderId="2" xfId="54" applyFont="1" applyFill="1" applyBorder="1" applyAlignment="1">
      <alignment horizontal="center" vertical="center"/>
    </xf>
    <xf numFmtId="0" fontId="4" fillId="3" borderId="5" xfId="54" applyNumberFormat="1" applyFont="1" applyFill="1" applyBorder="1" applyAlignment="1">
      <alignment horizontal="center" vertical="center"/>
    </xf>
    <xf numFmtId="0" fontId="4" fillId="3" borderId="2" xfId="54" applyNumberFormat="1" applyFont="1" applyFill="1" applyBorder="1" applyAlignment="1">
      <alignment horizontal="center" vertical="center"/>
    </xf>
    <xf numFmtId="177" fontId="4" fillId="3" borderId="5" xfId="54" applyNumberFormat="1" applyFont="1" applyFill="1" applyBorder="1" applyAlignment="1">
      <alignment horizontal="center" vertical="center"/>
    </xf>
    <xf numFmtId="0" fontId="4" fillId="0" borderId="4" xfId="12" applyFont="1" applyFill="1" applyBorder="1" applyAlignment="1">
      <alignment horizontal="center" vertical="center"/>
    </xf>
    <xf numFmtId="0" fontId="4" fillId="0" borderId="4" xfId="12" applyFont="1" applyFill="1" applyBorder="1" applyAlignment="1">
      <alignment horizontal="center" vertical="center" wrapText="1"/>
    </xf>
    <xf numFmtId="0" fontId="4" fillId="0" borderId="4" xfId="54" applyNumberFormat="1" applyFont="1" applyFill="1" applyBorder="1" applyAlignment="1">
      <alignment horizontal="center" vertical="center"/>
    </xf>
    <xf numFmtId="177" fontId="4" fillId="0" borderId="4" xfId="54" applyNumberFormat="1" applyFont="1" applyFill="1" applyBorder="1" applyAlignment="1">
      <alignment horizontal="center" vertical="center"/>
    </xf>
    <xf numFmtId="0" fontId="6" fillId="0" borderId="2" xfId="54" applyFont="1" applyFill="1" applyBorder="1" applyAlignment="1">
      <alignment horizontal="center" vertical="center"/>
    </xf>
    <xf numFmtId="0" fontId="4" fillId="0" borderId="5" xfId="12" applyFont="1" applyFill="1" applyBorder="1" applyAlignment="1">
      <alignment horizontal="center" vertical="center"/>
    </xf>
    <xf numFmtId="0" fontId="4" fillId="0" borderId="5" xfId="12" applyFont="1" applyFill="1" applyBorder="1" applyAlignment="1">
      <alignment horizontal="center" vertical="center" wrapText="1"/>
    </xf>
    <xf numFmtId="0" fontId="4" fillId="0" borderId="5" xfId="54" applyNumberFormat="1" applyFont="1" applyFill="1" applyBorder="1" applyAlignment="1">
      <alignment horizontal="center" vertical="center"/>
    </xf>
    <xf numFmtId="177" fontId="4" fillId="0" borderId="5" xfId="54" applyNumberFormat="1" applyFont="1" applyFill="1" applyBorder="1" applyAlignment="1">
      <alignment horizontal="center" vertical="center"/>
    </xf>
    <xf numFmtId="0" fontId="5" fillId="0" borderId="0" xfId="54" applyFont="1" applyFill="1" applyBorder="1" applyAlignment="1">
      <alignment horizontal="center" vertical="center"/>
    </xf>
    <xf numFmtId="0" fontId="5" fillId="0" borderId="0" xfId="54" applyFont="1" applyFill="1" applyBorder="1" applyAlignment="1">
      <alignment vertical="center"/>
    </xf>
    <xf numFmtId="177" fontId="4" fillId="0" borderId="0" xfId="54" applyNumberFormat="1" applyFont="1" applyFill="1" applyBorder="1" applyAlignment="1">
      <alignment vertical="center"/>
    </xf>
    <xf numFmtId="0" fontId="5" fillId="0" borderId="0" xfId="54" applyFont="1" applyFill="1" applyBorder="1" applyAlignment="1">
      <alignment horizontal="left" vertical="center"/>
    </xf>
    <xf numFmtId="0" fontId="2" fillId="0" borderId="0" xfId="53" applyFont="1" applyAlignment="1">
      <alignment horizontal="center"/>
    </xf>
    <xf numFmtId="178" fontId="3" fillId="0" borderId="1" xfId="12" applyNumberFormat="1" applyFont="1" applyFill="1" applyBorder="1" applyAlignment="1">
      <alignment horizontal="center" vertical="center"/>
    </xf>
    <xf numFmtId="178" fontId="4" fillId="0" borderId="2" xfId="12" applyNumberFormat="1" applyFont="1" applyFill="1" applyBorder="1" applyAlignment="1">
      <alignment horizontal="center" vertical="center" wrapText="1"/>
    </xf>
    <xf numFmtId="0" fontId="4" fillId="0" borderId="2" xfId="12" applyFont="1" applyFill="1" applyBorder="1" applyAlignment="1">
      <alignment horizontal="center" vertical="center" wrapText="1"/>
    </xf>
    <xf numFmtId="0" fontId="4" fillId="0" borderId="2" xfId="54" applyFont="1" applyFill="1" applyBorder="1" applyAlignment="1">
      <alignment horizontal="center" vertical="center" wrapText="1"/>
    </xf>
    <xf numFmtId="178" fontId="4" fillId="0" borderId="2" xfId="12" applyNumberFormat="1" applyFont="1" applyFill="1" applyBorder="1" applyAlignment="1">
      <alignment horizontal="center" vertical="center" wrapText="1" shrinkToFit="1"/>
    </xf>
    <xf numFmtId="0" fontId="4" fillId="0" borderId="2" xfId="54" applyFont="1" applyFill="1" applyBorder="1" applyAlignment="1">
      <alignment vertical="center" wrapText="1"/>
    </xf>
    <xf numFmtId="178" fontId="4" fillId="2" borderId="2" xfId="54" applyNumberFormat="1" applyFont="1" applyFill="1" applyBorder="1" applyAlignment="1">
      <alignment horizontal="center" vertical="center"/>
    </xf>
    <xf numFmtId="178" fontId="5" fillId="0" borderId="2" xfId="54" applyNumberFormat="1" applyFont="1" applyFill="1" applyBorder="1" applyAlignment="1">
      <alignment horizontal="center" vertical="center"/>
    </xf>
    <xf numFmtId="178" fontId="4" fillId="3" borderId="2" xfId="54" applyNumberFormat="1" applyFont="1" applyFill="1" applyBorder="1" applyAlignment="1">
      <alignment horizontal="center" vertical="center"/>
    </xf>
    <xf numFmtId="178" fontId="4" fillId="0" borderId="2" xfId="54" applyNumberFormat="1" applyFont="1" applyFill="1" applyBorder="1" applyAlignment="1">
      <alignment horizontal="center" vertical="center"/>
    </xf>
    <xf numFmtId="178" fontId="5" fillId="2" borderId="2" xfId="54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 wrapText="1"/>
    </xf>
    <xf numFmtId="178" fontId="5" fillId="0" borderId="0" xfId="54" applyNumberFormat="1" applyFont="1" applyFill="1" applyBorder="1" applyAlignment="1">
      <alignment horizontal="center" vertical="center"/>
    </xf>
    <xf numFmtId="178" fontId="2" fillId="0" borderId="0" xfId="53" applyNumberFormat="1" applyFont="1" applyAlignment="1">
      <alignment horizontal="center"/>
    </xf>
    <xf numFmtId="177" fontId="4" fillId="2" borderId="2" xfId="54" applyNumberFormat="1" applyFont="1" applyFill="1" applyBorder="1" applyAlignment="1">
      <alignment horizontal="center" vertical="center" wrapText="1"/>
    </xf>
    <xf numFmtId="177" fontId="4" fillId="2" borderId="2" xfId="12" applyNumberFormat="1" applyFont="1" applyFill="1" applyBorder="1" applyAlignment="1">
      <alignment horizontal="center" vertical="center"/>
    </xf>
    <xf numFmtId="177" fontId="5" fillId="2" borderId="2" xfId="54" applyNumberFormat="1" applyFont="1" applyFill="1" applyBorder="1" applyAlignment="1">
      <alignment horizontal="center" vertical="center"/>
    </xf>
    <xf numFmtId="177" fontId="4" fillId="0" borderId="2" xfId="54" applyNumberFormat="1" applyFont="1" applyFill="1" applyBorder="1" applyAlignment="1">
      <alignment horizontal="center" vertical="center" wrapText="1"/>
    </xf>
    <xf numFmtId="177" fontId="4" fillId="0" borderId="2" xfId="12" applyNumberFormat="1" applyFont="1" applyFill="1" applyBorder="1" applyAlignment="1">
      <alignment horizontal="center" vertical="center"/>
    </xf>
    <xf numFmtId="177" fontId="5" fillId="0" borderId="2" xfId="54" applyNumberFormat="1" applyFont="1" applyFill="1" applyBorder="1" applyAlignment="1">
      <alignment horizontal="center" vertical="center"/>
    </xf>
    <xf numFmtId="177" fontId="4" fillId="3" borderId="2" xfId="54" applyNumberFormat="1" applyFont="1" applyFill="1" applyBorder="1" applyAlignment="1">
      <alignment horizontal="center" vertical="center" wrapText="1"/>
    </xf>
    <xf numFmtId="177" fontId="4" fillId="3" borderId="2" xfId="12" applyNumberFormat="1" applyFont="1" applyFill="1" applyBorder="1" applyAlignment="1">
      <alignment horizontal="center" vertical="center"/>
    </xf>
    <xf numFmtId="177" fontId="5" fillId="3" borderId="2" xfId="54" applyNumberFormat="1" applyFont="1" applyFill="1" applyBorder="1" applyAlignment="1">
      <alignment horizontal="center" vertical="center"/>
    </xf>
    <xf numFmtId="0" fontId="7" fillId="0" borderId="0" xfId="56" applyFont="1">
      <alignment vertical="center"/>
    </xf>
    <xf numFmtId="0" fontId="8" fillId="0" borderId="0" xfId="56" applyFont="1">
      <alignment vertical="center"/>
    </xf>
    <xf numFmtId="176" fontId="8" fillId="0" borderId="0" xfId="56" applyNumberFormat="1" applyFont="1">
      <alignment vertical="center"/>
    </xf>
    <xf numFmtId="0" fontId="9" fillId="0" borderId="0" xfId="56" applyFont="1" applyAlignment="1">
      <alignment horizontal="center" vertical="center"/>
    </xf>
    <xf numFmtId="176" fontId="9" fillId="0" borderId="0" xfId="56" applyNumberFormat="1" applyFont="1" applyAlignment="1">
      <alignment horizontal="center" vertical="center"/>
    </xf>
    <xf numFmtId="0" fontId="10" fillId="4" borderId="2" xfId="56" applyFont="1" applyFill="1" applyBorder="1" applyAlignment="1">
      <alignment horizontal="center" vertical="center" wrapText="1"/>
    </xf>
    <xf numFmtId="176" fontId="11" fillId="4" borderId="2" xfId="56" applyNumberFormat="1" applyFont="1" applyFill="1" applyBorder="1" applyAlignment="1">
      <alignment horizontal="center" vertical="center"/>
    </xf>
    <xf numFmtId="176" fontId="11" fillId="4" borderId="6" xfId="56" applyNumberFormat="1" applyFont="1" applyFill="1" applyBorder="1" applyAlignment="1">
      <alignment horizontal="center" vertical="center"/>
    </xf>
    <xf numFmtId="0" fontId="11" fillId="4" borderId="2" xfId="56" applyFont="1" applyFill="1" applyBorder="1" applyAlignment="1">
      <alignment horizontal="center" vertical="center"/>
    </xf>
    <xf numFmtId="0" fontId="10" fillId="2" borderId="2" xfId="56" applyFont="1" applyFill="1" applyBorder="1" applyAlignment="1">
      <alignment horizontal="center" vertical="center" wrapText="1"/>
    </xf>
    <xf numFmtId="0" fontId="12" fillId="2" borderId="2" xfId="56" applyFont="1" applyFill="1" applyBorder="1" applyAlignment="1">
      <alignment horizontal="center" vertical="center" wrapText="1"/>
    </xf>
    <xf numFmtId="176" fontId="11" fillId="2" borderId="2" xfId="56" applyNumberFormat="1" applyFont="1" applyFill="1" applyBorder="1" applyAlignment="1">
      <alignment horizontal="right" vertical="center"/>
    </xf>
    <xf numFmtId="0" fontId="12" fillId="5" borderId="2" xfId="56" applyFont="1" applyFill="1" applyBorder="1" applyAlignment="1">
      <alignment horizontal="center" vertical="center" wrapText="1"/>
    </xf>
    <xf numFmtId="176" fontId="8" fillId="6" borderId="2" xfId="56" applyNumberFormat="1" applyFont="1" applyFill="1" applyBorder="1">
      <alignment vertical="center"/>
    </xf>
    <xf numFmtId="0" fontId="12" fillId="7" borderId="2" xfId="56" applyFont="1" applyFill="1" applyBorder="1" applyAlignment="1">
      <alignment horizontal="center" vertical="center" wrapText="1"/>
    </xf>
    <xf numFmtId="176" fontId="8" fillId="8" borderId="2" xfId="56" applyNumberFormat="1" applyFont="1" applyFill="1" applyBorder="1">
      <alignment vertical="center"/>
    </xf>
    <xf numFmtId="0" fontId="12" fillId="0" borderId="2" xfId="56" applyFont="1" applyFill="1" applyBorder="1" applyAlignment="1">
      <alignment horizontal="center" vertical="center" wrapText="1"/>
    </xf>
    <xf numFmtId="176" fontId="8" fillId="0" borderId="2" xfId="56" applyNumberFormat="1" applyFont="1" applyFill="1" applyBorder="1" applyAlignment="1">
      <alignment horizontal="right" vertical="center"/>
    </xf>
    <xf numFmtId="2" fontId="7" fillId="3" borderId="2" xfId="56" applyNumberFormat="1" applyFont="1" applyFill="1" applyBorder="1">
      <alignment vertical="center"/>
    </xf>
    <xf numFmtId="176" fontId="8" fillId="7" borderId="2" xfId="56" applyNumberFormat="1" applyFont="1" applyFill="1" applyBorder="1" applyAlignment="1">
      <alignment horizontal="right" vertical="center"/>
    </xf>
    <xf numFmtId="176" fontId="8" fillId="7" borderId="2" xfId="56" applyNumberFormat="1" applyFont="1" applyFill="1" applyBorder="1">
      <alignment vertical="center"/>
    </xf>
    <xf numFmtId="176" fontId="8" fillId="0" borderId="2" xfId="56" applyNumberFormat="1" applyFont="1" applyFill="1" applyBorder="1">
      <alignment vertical="center"/>
    </xf>
    <xf numFmtId="0" fontId="13" fillId="5" borderId="2" xfId="56" applyFont="1" applyFill="1" applyBorder="1" applyAlignment="1">
      <alignment horizontal="center" vertical="center" wrapText="1"/>
    </xf>
    <xf numFmtId="176" fontId="7" fillId="5" borderId="2" xfId="56" applyNumberFormat="1" applyFont="1" applyFill="1" applyBorder="1">
      <alignment vertical="center"/>
    </xf>
    <xf numFmtId="176" fontId="8" fillId="5" borderId="2" xfId="56" applyNumberFormat="1" applyFont="1" applyFill="1" applyBorder="1">
      <alignment vertical="center"/>
    </xf>
    <xf numFmtId="0" fontId="12" fillId="0" borderId="0" xfId="56" applyFont="1">
      <alignment vertical="center"/>
    </xf>
    <xf numFmtId="176" fontId="11" fillId="0" borderId="0" xfId="56" applyNumberFormat="1" applyFont="1" applyAlignment="1">
      <alignment horizontal="center" vertical="center"/>
    </xf>
    <xf numFmtId="176" fontId="11" fillId="4" borderId="7" xfId="56" applyNumberFormat="1" applyFont="1" applyFill="1" applyBorder="1" applyAlignment="1">
      <alignment horizontal="center" vertical="center"/>
    </xf>
    <xf numFmtId="176" fontId="11" fillId="9" borderId="2" xfId="56" applyNumberFormat="1" applyFont="1" applyFill="1" applyBorder="1" applyAlignment="1">
      <alignment horizontal="center" vertical="center"/>
    </xf>
    <xf numFmtId="0" fontId="11" fillId="9" borderId="2" xfId="56" applyFont="1" applyFill="1" applyBorder="1" applyAlignment="1">
      <alignment horizontal="center" vertical="center"/>
    </xf>
    <xf numFmtId="0" fontId="11" fillId="2" borderId="2" xfId="56" applyFont="1" applyFill="1" applyBorder="1" applyAlignment="1">
      <alignment horizontal="center" vertical="center"/>
    </xf>
    <xf numFmtId="0" fontId="8" fillId="5" borderId="2" xfId="56" applyFont="1" applyFill="1" applyBorder="1">
      <alignment vertical="center"/>
    </xf>
    <xf numFmtId="0" fontId="8" fillId="7" borderId="2" xfId="56" applyFont="1" applyFill="1" applyBorder="1">
      <alignment vertical="center"/>
    </xf>
    <xf numFmtId="0" fontId="8" fillId="0" borderId="2" xfId="56" applyFont="1" applyFill="1" applyBorder="1">
      <alignment vertical="center"/>
    </xf>
    <xf numFmtId="176" fontId="7" fillId="0" borderId="2" xfId="56" applyNumberFormat="1" applyFont="1" applyFill="1" applyBorder="1">
      <alignment vertical="center"/>
    </xf>
    <xf numFmtId="0" fontId="7" fillId="5" borderId="2" xfId="56" applyFont="1" applyFill="1" applyBorder="1">
      <alignment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常规_Sheet1 2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2 5" xfId="19"/>
    <cellStyle name="解释性文本" xfId="20" builtinId="53"/>
    <cellStyle name="标题 1" xfId="21" builtinId="16"/>
    <cellStyle name="0,0_x000d__x000a_NA_x000d__x000a_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  <cellStyle name="常规 5" xfId="56"/>
    <cellStyle name="常规 7" xfId="57"/>
    <cellStyle name="常规_sheet1" xfId="58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</xdr:col>
      <xdr:colOff>614680</xdr:colOff>
      <xdr:row>0</xdr:row>
      <xdr:rowOff>396240</xdr:rowOff>
    </xdr:to>
    <xdr:pic>
      <xdr:nvPicPr>
        <xdr:cNvPr id="2" name="图片 2" descr="中南置地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929005" cy="3867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2</xdr:col>
      <xdr:colOff>365760</xdr:colOff>
      <xdr:row>0</xdr:row>
      <xdr:rowOff>411480</xdr:rowOff>
    </xdr:to>
    <xdr:pic>
      <xdr:nvPicPr>
        <xdr:cNvPr id="2" name="图片 2" descr="中南置地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887095" cy="4019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51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J23" sqref="J23"/>
    </sheetView>
  </sheetViews>
  <sheetFormatPr defaultColWidth="9" defaultRowHeight="15.6"/>
  <cols>
    <col min="1" max="1" width="4.72222222222222" style="86" customWidth="1"/>
    <col min="2" max="2" width="18.8240740740741" style="86" customWidth="1"/>
    <col min="3" max="6" width="12.1111111111111" style="87" customWidth="1"/>
    <col min="7" max="7" width="12.6666666666667" style="87" customWidth="1"/>
    <col min="8" max="9" width="12.1111111111111" style="87" customWidth="1"/>
    <col min="10" max="11" width="11.4444444444444" style="87"/>
    <col min="12" max="13" width="12.7777777777778" style="87"/>
    <col min="14" max="14" width="11.2222222222222" style="87" customWidth="1"/>
    <col min="15" max="15" width="11.5555555555556" style="87"/>
    <col min="16" max="16" width="11.8888888888889" style="86" customWidth="1"/>
    <col min="17" max="16384" width="9" style="86"/>
  </cols>
  <sheetData>
    <row r="1" ht="34" customHeight="1" spans="1:16">
      <c r="A1" s="88" t="s">
        <v>0</v>
      </c>
      <c r="B1" s="88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111"/>
      <c r="O1" s="89"/>
      <c r="P1" s="88"/>
    </row>
    <row r="2" ht="16.2" spans="1:16">
      <c r="A2" s="90" t="s">
        <v>1</v>
      </c>
      <c r="B2" s="90" t="s">
        <v>2</v>
      </c>
      <c r="C2" s="91" t="s">
        <v>3</v>
      </c>
      <c r="D2" s="91"/>
      <c r="E2" s="91"/>
      <c r="F2" s="91"/>
      <c r="G2" s="91"/>
      <c r="H2" s="92" t="s">
        <v>4</v>
      </c>
      <c r="I2" s="112"/>
      <c r="J2" s="112"/>
      <c r="K2" s="112"/>
      <c r="L2" s="112"/>
      <c r="M2" s="112"/>
      <c r="N2" s="91" t="s">
        <v>5</v>
      </c>
      <c r="O2" s="113" t="s">
        <v>6</v>
      </c>
      <c r="P2" s="114"/>
    </row>
    <row r="3" ht="16.2" spans="1:16">
      <c r="A3" s="90"/>
      <c r="B3" s="90"/>
      <c r="C3" s="91" t="s">
        <v>7</v>
      </c>
      <c r="D3" s="91" t="s">
        <v>8</v>
      </c>
      <c r="E3" s="93" t="s">
        <v>9</v>
      </c>
      <c r="F3" s="93" t="s">
        <v>10</v>
      </c>
      <c r="G3" s="93" t="s">
        <v>11</v>
      </c>
      <c r="H3" s="91" t="s">
        <v>12</v>
      </c>
      <c r="I3" s="91" t="s">
        <v>13</v>
      </c>
      <c r="J3" s="91" t="s">
        <v>14</v>
      </c>
      <c r="K3" s="91" t="s">
        <v>15</v>
      </c>
      <c r="L3" s="91" t="s">
        <v>16</v>
      </c>
      <c r="M3" s="91" t="s">
        <v>17</v>
      </c>
      <c r="N3" s="91"/>
      <c r="O3" s="113" t="s">
        <v>18</v>
      </c>
      <c r="P3" s="114" t="s">
        <v>19</v>
      </c>
    </row>
    <row r="4" ht="16.2" spans="1:16">
      <c r="A4" s="94"/>
      <c r="B4" s="95" t="s">
        <v>20</v>
      </c>
      <c r="C4" s="96">
        <v>603.25</v>
      </c>
      <c r="D4" s="96">
        <v>915.32</v>
      </c>
      <c r="E4" s="96">
        <v>894.84</v>
      </c>
      <c r="F4" s="96">
        <v>540.6</v>
      </c>
      <c r="G4" s="96">
        <v>880.85</v>
      </c>
      <c r="H4" s="96">
        <v>553.76</v>
      </c>
      <c r="I4" s="96">
        <v>553.76</v>
      </c>
      <c r="J4" s="96">
        <v>494.78</v>
      </c>
      <c r="K4" s="96">
        <v>513.44</v>
      </c>
      <c r="L4" s="96">
        <v>513.19</v>
      </c>
      <c r="M4" s="96">
        <v>283.45</v>
      </c>
      <c r="N4" s="96"/>
      <c r="O4" s="96">
        <v>13143.93</v>
      </c>
      <c r="P4" s="115"/>
    </row>
    <row r="5" ht="16.2" spans="1:16">
      <c r="A5" s="94"/>
      <c r="B5" s="95" t="s">
        <v>21</v>
      </c>
      <c r="C5" s="96">
        <v>7855.72</v>
      </c>
      <c r="D5" s="96">
        <v>9638.96</v>
      </c>
      <c r="E5" s="96">
        <v>14248.06</v>
      </c>
      <c r="F5" s="96">
        <v>6413.32</v>
      </c>
      <c r="G5" s="96">
        <v>11709.65</v>
      </c>
      <c r="H5" s="96">
        <v>5177.31</v>
      </c>
      <c r="I5" s="96">
        <v>5177.31</v>
      </c>
      <c r="J5" s="96">
        <v>3905.67</v>
      </c>
      <c r="K5" s="96">
        <v>4490.11</v>
      </c>
      <c r="L5" s="96">
        <v>4490.11</v>
      </c>
      <c r="M5" s="96">
        <v>2198.03</v>
      </c>
      <c r="N5" s="96"/>
      <c r="O5" s="96">
        <v>0</v>
      </c>
      <c r="P5" s="115"/>
    </row>
    <row r="6" ht="16.2" spans="1:16">
      <c r="A6" s="94"/>
      <c r="B6" s="95" t="s">
        <v>22</v>
      </c>
      <c r="C6" s="96">
        <f>C4+C5</f>
        <v>8458.97</v>
      </c>
      <c r="D6" s="96">
        <f>D4+D5</f>
        <v>10554.28</v>
      </c>
      <c r="E6" s="96">
        <f>E4+E5</f>
        <v>15142.9</v>
      </c>
      <c r="F6" s="96">
        <f>F4+F5</f>
        <v>6953.92</v>
      </c>
      <c r="G6" s="96">
        <f>G4+G5</f>
        <v>12590.5</v>
      </c>
      <c r="H6" s="96">
        <f t="shared" ref="H6:M6" si="0">H4+H5</f>
        <v>5731.07</v>
      </c>
      <c r="I6" s="96">
        <f t="shared" si="0"/>
        <v>5731.07</v>
      </c>
      <c r="J6" s="96">
        <f t="shared" si="0"/>
        <v>4400.45</v>
      </c>
      <c r="K6" s="96">
        <f t="shared" si="0"/>
        <v>5003.55</v>
      </c>
      <c r="L6" s="96">
        <f t="shared" si="0"/>
        <v>5003.3</v>
      </c>
      <c r="M6" s="96">
        <f t="shared" si="0"/>
        <v>2481.48</v>
      </c>
      <c r="N6" s="96"/>
      <c r="O6" s="96">
        <f>O4+O5</f>
        <v>13143.93</v>
      </c>
      <c r="P6" s="115"/>
    </row>
    <row r="7" spans="1:16">
      <c r="A7" s="97" t="s">
        <v>23</v>
      </c>
      <c r="B7" s="97" t="s">
        <v>24</v>
      </c>
      <c r="C7" s="98">
        <f>C8+C14+C15+C20+C21+C22+C45+C24+C25</f>
        <v>2056.71611725233</v>
      </c>
      <c r="D7" s="98">
        <f>D8+D14+D15+D20+D21+D22+D45+D24+D25</f>
        <v>1958.98175917776</v>
      </c>
      <c r="E7" s="98">
        <f>E8+E14+E15+E20+E21+E22+E23+E24+E25</f>
        <v>1702.51770148853</v>
      </c>
      <c r="F7" s="98">
        <f>F8+F14+F15+F20+F21+F22+F23+F24+F25</f>
        <v>1611.51065482797</v>
      </c>
      <c r="G7" s="98">
        <f>G8+G14+G15+G20+G21+G22+G23+G24+G25</f>
        <v>1545.31435545212</v>
      </c>
      <c r="H7" s="98">
        <f t="shared" ref="H7:M7" si="1">H8+H14+H15+H20+H21+H22+H23+H24+H25</f>
        <v>1825.00978763363</v>
      </c>
      <c r="I7" s="98">
        <f t="shared" si="1"/>
        <v>1825.00978763363</v>
      </c>
      <c r="J7" s="98">
        <f t="shared" si="1"/>
        <v>1804.96321597478</v>
      </c>
      <c r="K7" s="98">
        <f t="shared" si="1"/>
        <v>1857.51435416017</v>
      </c>
      <c r="L7" s="98">
        <f t="shared" si="1"/>
        <v>1630.56051364992</v>
      </c>
      <c r="M7" s="98">
        <f t="shared" si="1"/>
        <v>1888.515258423</v>
      </c>
      <c r="N7" s="98"/>
      <c r="O7" s="98">
        <f>O8+O14+O15+O20+O21+O22+O23+O24+O25</f>
        <v>998.884396020438</v>
      </c>
      <c r="P7" s="116"/>
    </row>
    <row r="8" outlineLevel="1" spans="1:16">
      <c r="A8" s="99">
        <v>1</v>
      </c>
      <c r="B8" s="99" t="s">
        <v>25</v>
      </c>
      <c r="C8" s="100">
        <f>SUM(C9:C13)</f>
        <v>1667.78501450477</v>
      </c>
      <c r="D8" s="100">
        <f>SUM(D9:D13)</f>
        <v>1557.41194336407</v>
      </c>
      <c r="E8" s="100">
        <f>SUM(E9:E13)</f>
        <v>1392.86431093827</v>
      </c>
      <c r="F8" s="100">
        <f>SUM(F9:F13)</f>
        <v>1280.97371439142</v>
      </c>
      <c r="G8" s="100">
        <f>SUM(G9:G13)</f>
        <v>1240.43817903162</v>
      </c>
      <c r="H8" s="100">
        <f t="shared" ref="H8:M8" si="2">SUM(H9:H13)</f>
        <v>1457.54066743716</v>
      </c>
      <c r="I8" s="100">
        <f t="shared" si="2"/>
        <v>1457.54066743716</v>
      </c>
      <c r="J8" s="100">
        <f t="shared" si="2"/>
        <v>1523.30312462105</v>
      </c>
      <c r="K8" s="100">
        <f t="shared" si="2"/>
        <v>1523.03862184481</v>
      </c>
      <c r="L8" s="100">
        <f t="shared" si="2"/>
        <v>1371.55449248816</v>
      </c>
      <c r="M8" s="100">
        <f t="shared" si="2"/>
        <v>1512.46904215911</v>
      </c>
      <c r="N8" s="100"/>
      <c r="O8" s="100">
        <f>SUM(O9:O13)</f>
        <v>782.730275341824</v>
      </c>
      <c r="P8" s="117"/>
    </row>
    <row r="9" outlineLevel="2" spans="1:16">
      <c r="A9" s="101">
        <v>1.1</v>
      </c>
      <c r="B9" s="101" t="s">
        <v>26</v>
      </c>
      <c r="C9" s="102">
        <f>384039.68/C4</f>
        <v>636.617786987153</v>
      </c>
      <c r="D9" s="102">
        <f>500326.09/D4</f>
        <v>546.61330463663</v>
      </c>
      <c r="E9" s="103">
        <f>458638/894.84</f>
        <v>512.536319342005</v>
      </c>
      <c r="F9" s="103">
        <f>1/540.6*256114.76</f>
        <v>473.760192378838</v>
      </c>
      <c r="G9" s="103">
        <f>1/880.85*420082.43</f>
        <v>476.905750127718</v>
      </c>
      <c r="H9" s="102">
        <f>310382.22/H4</f>
        <v>560.49953048252</v>
      </c>
      <c r="I9" s="102">
        <f>310382.22/I4</f>
        <v>560.49953048252</v>
      </c>
      <c r="J9" s="102">
        <f>316609.87/J4</f>
        <v>639.900299122843</v>
      </c>
      <c r="K9" s="102">
        <f>300384.8/K4</f>
        <v>585.043627298224</v>
      </c>
      <c r="L9" s="102">
        <f>248828.79/L4</f>
        <v>484.866793974941</v>
      </c>
      <c r="M9" s="103">
        <f>1/283.45*165807.46</f>
        <v>584.961933321573</v>
      </c>
      <c r="N9" s="103"/>
      <c r="O9" s="103">
        <f>1/11420.35*3793936.72</f>
        <v>332.208445450446</v>
      </c>
      <c r="P9" s="118"/>
    </row>
    <row r="10" outlineLevel="2" spans="1:16">
      <c r="A10" s="101">
        <v>1.2</v>
      </c>
      <c r="B10" s="101" t="s">
        <v>27</v>
      </c>
      <c r="C10" s="102">
        <f>415181.1/C4</f>
        <v>688.240530460008</v>
      </c>
      <c r="D10" s="102">
        <f>561493.8/D4</f>
        <v>613.439889874579</v>
      </c>
      <c r="E10" s="103">
        <f>488628.15/894.84</f>
        <v>546.05085825399</v>
      </c>
      <c r="F10" s="103">
        <f>1/540.6*269340.01</f>
        <v>498.224213836478</v>
      </c>
      <c r="G10" s="103">
        <f>1/880.85*428104.12</f>
        <v>486.012510643129</v>
      </c>
      <c r="H10" s="102">
        <f>296963.57/H4</f>
        <v>536.267643022248</v>
      </c>
      <c r="I10" s="102">
        <f>296963.57/I4</f>
        <v>536.267643022248</v>
      </c>
      <c r="J10" s="102">
        <f>228131.74/J4</f>
        <v>461.077125186952</v>
      </c>
      <c r="K10" s="102">
        <f>269793.31/K4</f>
        <v>525.46219616703</v>
      </c>
      <c r="L10" s="102">
        <f>231149.94/L4</f>
        <v>450.417856934079</v>
      </c>
      <c r="M10" s="103">
        <f>1/283.45*152099.58</f>
        <v>536.601093667313</v>
      </c>
      <c r="N10" s="103"/>
      <c r="O10" s="103">
        <f>1/11420.35*3298734.66</f>
        <v>288.847072112501</v>
      </c>
      <c r="P10" s="118"/>
    </row>
    <row r="11" outlineLevel="2" spans="1:16">
      <c r="A11" s="101">
        <v>1.3</v>
      </c>
      <c r="B11" s="101" t="s">
        <v>28</v>
      </c>
      <c r="C11" s="102">
        <f>99341.84/C4</f>
        <v>164.677728968089</v>
      </c>
      <c r="D11" s="102">
        <f>183895.5/D4</f>
        <v>200.908425468689</v>
      </c>
      <c r="E11" s="103">
        <f>138549.95/894.84</f>
        <v>154.832092888114</v>
      </c>
      <c r="F11" s="103">
        <f>1/540.6*82242.51</f>
        <v>152.131908990011</v>
      </c>
      <c r="G11" s="103">
        <f>1/880.85*119280.9</f>
        <v>135.415678038259</v>
      </c>
      <c r="H11" s="102">
        <f>102974.6/H4</f>
        <v>185.955287489165</v>
      </c>
      <c r="I11" s="102">
        <f>102974.6/I4</f>
        <v>185.955287489165</v>
      </c>
      <c r="J11" s="102">
        <f>85743.7/J4</f>
        <v>173.29661667812</v>
      </c>
      <c r="K11" s="102">
        <f>96681.03/K4</f>
        <v>188.300541445933</v>
      </c>
      <c r="L11" s="102">
        <f>92726.01/L4</f>
        <v>180.685535571621</v>
      </c>
      <c r="M11" s="103">
        <f>1/283.45*53313.92</f>
        <v>188.089327923796</v>
      </c>
      <c r="N11" s="103"/>
      <c r="O11" s="103">
        <f>1/11420.35*623313.83</f>
        <v>54.5792230535842</v>
      </c>
      <c r="P11" s="118"/>
    </row>
    <row r="12" outlineLevel="2" spans="1:16">
      <c r="A12" s="101">
        <v>1.4</v>
      </c>
      <c r="B12" s="101" t="s">
        <v>29</v>
      </c>
      <c r="C12" s="102">
        <f>28662.19/C4</f>
        <v>47.5129548280149</v>
      </c>
      <c r="D12" s="102">
        <f>42595.42/D4</f>
        <v>46.536096665647</v>
      </c>
      <c r="E12" s="103">
        <f>22608.47/894.84</f>
        <v>25.2653770506459</v>
      </c>
      <c r="F12" s="103">
        <f>1/540.6*14723.3</f>
        <v>27.2351091379948</v>
      </c>
      <c r="G12" s="103">
        <f>1/880.85*23194.06</f>
        <v>26.3314525742181</v>
      </c>
      <c r="H12" s="102">
        <f>20584.89/H4</f>
        <v>37.1729449581046</v>
      </c>
      <c r="I12" s="102">
        <f>20584.89/I4</f>
        <v>37.1729449581046</v>
      </c>
      <c r="J12" s="102">
        <f>41205.67/J4</f>
        <v>83.2807914628724</v>
      </c>
      <c r="K12" s="102">
        <f>33826.06/K4</f>
        <v>65.8812324711748</v>
      </c>
      <c r="L12" s="102">
        <f>45062.69/L4</f>
        <v>87.8089791305364</v>
      </c>
      <c r="M12" s="103">
        <f>1/283.45*13353.05</f>
        <v>47.1090139354383</v>
      </c>
      <c r="N12" s="103"/>
      <c r="O12" s="103">
        <f>1/11420.35*84895.03</f>
        <v>7.43366271611641</v>
      </c>
      <c r="P12" s="118"/>
    </row>
    <row r="13" outlineLevel="2" spans="1:16">
      <c r="A13" s="101">
        <v>1.5</v>
      </c>
      <c r="B13" s="101" t="s">
        <v>30</v>
      </c>
      <c r="C13" s="102">
        <f>78866.5/C4</f>
        <v>130.7360132615</v>
      </c>
      <c r="D13" s="102">
        <f>137219.49/D4</f>
        <v>149.914226718525</v>
      </c>
      <c r="E13" s="103">
        <f>137966.13/894.84</f>
        <v>154.179663403513</v>
      </c>
      <c r="F13" s="103">
        <f>1/540.6*70073.81</f>
        <v>129.622290048095</v>
      </c>
      <c r="G13" s="103">
        <f>1/880.85*101978.46</f>
        <v>115.772787648294</v>
      </c>
      <c r="H13" s="102">
        <f>76222.44/H4</f>
        <v>137.64526148512</v>
      </c>
      <c r="I13" s="102">
        <f>76222.44/I4</f>
        <v>137.64526148512</v>
      </c>
      <c r="J13" s="102">
        <f>82008.94/J4</f>
        <v>165.748292170258</v>
      </c>
      <c r="K13" s="102">
        <f>81303.75/K4</f>
        <v>158.351024462449</v>
      </c>
      <c r="L13" s="102">
        <f>86100.62/L4</f>
        <v>167.775326876985</v>
      </c>
      <c r="M13" s="103">
        <f>44135.34/M4</f>
        <v>155.70767331099</v>
      </c>
      <c r="N13" s="103"/>
      <c r="O13" s="103">
        <f>1/11420.35*1138173.46</f>
        <v>99.6618720091766</v>
      </c>
      <c r="P13" s="118"/>
    </row>
    <row r="14" outlineLevel="1" spans="1:16">
      <c r="A14" s="99">
        <v>2</v>
      </c>
      <c r="B14" s="99" t="s">
        <v>31</v>
      </c>
      <c r="C14" s="104">
        <v>0</v>
      </c>
      <c r="D14" s="104">
        <v>0</v>
      </c>
      <c r="E14" s="100">
        <v>0</v>
      </c>
      <c r="F14" s="100">
        <v>0</v>
      </c>
      <c r="G14" s="100">
        <v>0</v>
      </c>
      <c r="H14" s="104">
        <v>0</v>
      </c>
      <c r="I14" s="104">
        <v>0</v>
      </c>
      <c r="J14" s="104">
        <v>0</v>
      </c>
      <c r="K14" s="104">
        <v>0</v>
      </c>
      <c r="L14" s="104">
        <v>0</v>
      </c>
      <c r="M14" s="100">
        <v>0</v>
      </c>
      <c r="N14" s="100"/>
      <c r="O14" s="100">
        <v>0</v>
      </c>
      <c r="P14" s="117"/>
    </row>
    <row r="15" outlineLevel="1" spans="1:16">
      <c r="A15" s="99">
        <v>3</v>
      </c>
      <c r="B15" s="99" t="s">
        <v>32</v>
      </c>
      <c r="C15" s="104">
        <f>C16+C17+C18</f>
        <v>255.039005387484</v>
      </c>
      <c r="D15" s="104">
        <f>D16+D17+D18</f>
        <v>278.324258182931</v>
      </c>
      <c r="E15" s="100">
        <f>SUM(E16:E19)</f>
        <v>237.705388672835</v>
      </c>
      <c r="F15" s="100">
        <f>SUM(F16:F19)</f>
        <v>240.810266370699</v>
      </c>
      <c r="G15" s="100">
        <f>SUM(G16:G19)</f>
        <v>234.084906624284</v>
      </c>
      <c r="H15" s="104">
        <f>H16+H17+H18</f>
        <v>273.566834007512</v>
      </c>
      <c r="I15" s="104">
        <f>I16+I17+I18</f>
        <v>273.566834007512</v>
      </c>
      <c r="J15" s="100">
        <f t="shared" ref="J15:M15" si="3">SUM(J16:J19)</f>
        <v>257.046384251587</v>
      </c>
      <c r="K15" s="100">
        <f t="shared" si="3"/>
        <v>278.037881738859</v>
      </c>
      <c r="L15" s="100">
        <f t="shared" si="3"/>
        <v>238.660671486195</v>
      </c>
      <c r="M15" s="100">
        <f t="shared" si="3"/>
        <v>285.743623213971</v>
      </c>
      <c r="N15" s="100"/>
      <c r="O15" s="100">
        <f>SUM(O16:O19)</f>
        <v>95.4099795540417</v>
      </c>
      <c r="P15" s="117"/>
    </row>
    <row r="16" outlineLevel="2" spans="1:16">
      <c r="A16" s="101">
        <v>3.1</v>
      </c>
      <c r="B16" s="101" t="s">
        <v>33</v>
      </c>
      <c r="C16" s="102">
        <f>16910.61/C4</f>
        <v>28.0325072523829</v>
      </c>
      <c r="D16" s="102">
        <f>(15285.12+6745.98+2959.48)/D4</f>
        <v>27.302560853035</v>
      </c>
      <c r="E16" s="103">
        <f>(18762.07)/894.84</f>
        <v>20.9669549863663</v>
      </c>
      <c r="F16" s="103">
        <f>1/540.6*12013.23</f>
        <v>22.2220310765816</v>
      </c>
      <c r="G16" s="103">
        <f>1/880.85*33783.67</f>
        <v>38.3534881080774</v>
      </c>
      <c r="H16" s="102">
        <f>(10323.46+3972.07+1762.56)/H4</f>
        <v>28.9982844553597</v>
      </c>
      <c r="I16" s="102">
        <f>(10323.46+3972.07+1762.56)/I4</f>
        <v>28.9982844553597</v>
      </c>
      <c r="J16" s="102">
        <f>(4303.54+1686.66+722.14)/J4</f>
        <v>13.5663123004163</v>
      </c>
      <c r="K16" s="102">
        <f>(4631.55+4466.93+1756.4)/K4</f>
        <v>21.1414770956684</v>
      </c>
      <c r="L16" s="102">
        <f>(4464.75+1580.46+733.81)/L4</f>
        <v>13.2095715037316</v>
      </c>
      <c r="M16" s="103">
        <f>1/283.45*6226.57</f>
        <v>21.967084141824</v>
      </c>
      <c r="N16" s="103"/>
      <c r="O16" s="103">
        <f>1/11420.35*167659.78</f>
        <v>14.6807917445612</v>
      </c>
      <c r="P16" s="118"/>
    </row>
    <row r="17" outlineLevel="2" spans="1:16">
      <c r="A17" s="101">
        <v>3.2</v>
      </c>
      <c r="B17" s="101" t="s">
        <v>28</v>
      </c>
      <c r="C17" s="102">
        <v>164.677728968089</v>
      </c>
      <c r="D17" s="102">
        <v>200.908425468689</v>
      </c>
      <c r="E17" s="103">
        <f>(138549.95)/894.84</f>
        <v>154.832092888114</v>
      </c>
      <c r="F17" s="103">
        <f>1/540.6*82242.51</f>
        <v>152.131908990011</v>
      </c>
      <c r="G17" s="103">
        <f>1/880.85*119280.9</f>
        <v>135.415678038259</v>
      </c>
      <c r="H17" s="102">
        <v>185.955287489165</v>
      </c>
      <c r="I17" s="102">
        <v>185.955287489165</v>
      </c>
      <c r="J17" s="102">
        <v>173.29661667812</v>
      </c>
      <c r="K17" s="102">
        <v>188.300541445933</v>
      </c>
      <c r="L17" s="102">
        <v>180.685535571621</v>
      </c>
      <c r="M17" s="103">
        <f>1/283.45*53313.92</f>
        <v>188.089327923796</v>
      </c>
      <c r="N17" s="103"/>
      <c r="O17" s="103">
        <f>1/11420.35*623313.83</f>
        <v>54.5792230535842</v>
      </c>
      <c r="P17" s="118"/>
    </row>
    <row r="18" outlineLevel="2" spans="1:16">
      <c r="A18" s="101">
        <v>3.3</v>
      </c>
      <c r="B18" s="101" t="s">
        <v>34</v>
      </c>
      <c r="C18" s="102">
        <f>37599.83/C4</f>
        <v>62.328769167012</v>
      </c>
      <c r="D18" s="102">
        <f>45869.68/D4</f>
        <v>50.113271861207</v>
      </c>
      <c r="E18" s="103">
        <f>55396.27/894.84</f>
        <v>61.906340798355</v>
      </c>
      <c r="F18" s="103">
        <f>35926.29/F4</f>
        <v>66.4563263041066</v>
      </c>
      <c r="G18" s="103">
        <f>53129.12/G4</f>
        <v>60.3157404779474</v>
      </c>
      <c r="H18" s="102">
        <f>32457.68/H4</f>
        <v>58.6132620629876</v>
      </c>
      <c r="I18" s="102">
        <f>32457.68/I4</f>
        <v>58.6132620629876</v>
      </c>
      <c r="J18" s="102">
        <f>34725.37/J4</f>
        <v>70.1834552730507</v>
      </c>
      <c r="K18" s="102">
        <f>35219.86/K4</f>
        <v>68.5958631972577</v>
      </c>
      <c r="L18" s="102">
        <f>22973.24/L4</f>
        <v>44.765564410842</v>
      </c>
      <c r="M18" s="103">
        <f>21453.54/M4</f>
        <v>75.6872111483507</v>
      </c>
      <c r="N18" s="103"/>
      <c r="O18" s="103">
        <f>1/11420.35*298641.75</f>
        <v>26.1499647558963</v>
      </c>
      <c r="P18" s="118"/>
    </row>
    <row r="19" outlineLevel="2" spans="1:16">
      <c r="A19" s="101">
        <v>3.4</v>
      </c>
      <c r="B19" s="101" t="s">
        <v>35</v>
      </c>
      <c r="C19" s="102">
        <v>0</v>
      </c>
      <c r="D19" s="102">
        <v>0</v>
      </c>
      <c r="E19" s="103">
        <v>0</v>
      </c>
      <c r="F19" s="103">
        <v>0</v>
      </c>
      <c r="G19" s="103">
        <v>0</v>
      </c>
      <c r="H19" s="102">
        <v>0</v>
      </c>
      <c r="I19" s="102">
        <v>0</v>
      </c>
      <c r="J19" s="102">
        <v>0</v>
      </c>
      <c r="K19" s="102">
        <v>0</v>
      </c>
      <c r="L19" s="102">
        <v>0</v>
      </c>
      <c r="M19" s="103">
        <v>0</v>
      </c>
      <c r="N19" s="103"/>
      <c r="O19" s="103">
        <v>0</v>
      </c>
      <c r="P19" s="118"/>
    </row>
    <row r="20" outlineLevel="1" spans="1:16">
      <c r="A20" s="99">
        <v>4</v>
      </c>
      <c r="B20" s="99" t="s">
        <v>36</v>
      </c>
      <c r="C20" s="104">
        <f>36753.97/C4</f>
        <v>60.9265975963531</v>
      </c>
      <c r="D20" s="104">
        <f>46120.81/D4</f>
        <v>50.3876349254905</v>
      </c>
      <c r="E20" s="100">
        <f>43733.57/894.84</f>
        <v>48.873061105896</v>
      </c>
      <c r="F20" s="100">
        <f>1/540.6*34063.51</f>
        <v>63.0105623381428</v>
      </c>
      <c r="G20" s="100">
        <f>1/880.85*39967.32</f>
        <v>45.3735823352444</v>
      </c>
      <c r="H20" s="104">
        <f>27108.73/H4</f>
        <v>48.9539331118174</v>
      </c>
      <c r="I20" s="104">
        <f>27108.73/I4</f>
        <v>48.9539331118174</v>
      </c>
      <c r="J20" s="104">
        <f>12178.37/J4</f>
        <v>24.6137071021464</v>
      </c>
      <c r="K20" s="104">
        <f>18365.71/K4</f>
        <v>35.769924431287</v>
      </c>
      <c r="L20" s="104">
        <f>10441.03/L4</f>
        <v>20.3453496755588</v>
      </c>
      <c r="M20" s="100">
        <f>1/283.45*17464.31</f>
        <v>61.6133709648968</v>
      </c>
      <c r="N20" s="100"/>
      <c r="O20" s="100">
        <f>1/11420.35*593549.1</f>
        <v>51.9729342795974</v>
      </c>
      <c r="P20" s="117"/>
    </row>
    <row r="21" outlineLevel="1" spans="1:16">
      <c r="A21" s="99">
        <v>5</v>
      </c>
      <c r="B21" s="99" t="s">
        <v>37</v>
      </c>
      <c r="C21" s="104">
        <v>0</v>
      </c>
      <c r="D21" s="104">
        <v>0</v>
      </c>
      <c r="E21" s="100">
        <v>0</v>
      </c>
      <c r="F21" s="100">
        <v>0</v>
      </c>
      <c r="G21" s="100">
        <v>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0">
        <v>0</v>
      </c>
      <c r="N21" s="100"/>
      <c r="O21" s="100">
        <v>0</v>
      </c>
      <c r="P21" s="117"/>
    </row>
    <row r="22" outlineLevel="1" spans="1:16">
      <c r="A22" s="99">
        <v>6</v>
      </c>
      <c r="B22" s="99" t="s">
        <v>38</v>
      </c>
      <c r="C22" s="104">
        <f>22438.64/C4</f>
        <v>37.1962536261915</v>
      </c>
      <c r="D22" s="104">
        <f>35217.88/D4</f>
        <v>38.4760302407901</v>
      </c>
      <c r="E22" s="100">
        <f>20648.38/894.84</f>
        <v>23.0749407715346</v>
      </c>
      <c r="F22" s="100">
        <f>14442.73/F4</f>
        <v>26.71611172771</v>
      </c>
      <c r="G22" s="100">
        <f>22389.17/G4</f>
        <v>25.4176874609752</v>
      </c>
      <c r="H22" s="104">
        <f>24890.6/H4</f>
        <v>44.9483530771453</v>
      </c>
      <c r="I22" s="104">
        <f>24890.6/I4</f>
        <v>44.9483530771453</v>
      </c>
      <c r="J22" s="104">
        <v>0</v>
      </c>
      <c r="K22" s="104">
        <f>10611.74/K4</f>
        <v>20.6679261452166</v>
      </c>
      <c r="L22" s="104">
        <v>0</v>
      </c>
      <c r="M22" s="100">
        <f>8131.96/M4</f>
        <v>28.6892220850238</v>
      </c>
      <c r="N22" s="100"/>
      <c r="O22" s="100">
        <f>69853.66/O4</f>
        <v>5.31451856484324</v>
      </c>
      <c r="P22" s="117"/>
    </row>
    <row r="23" outlineLevel="1" spans="1:16">
      <c r="A23" s="99">
        <v>7</v>
      </c>
      <c r="B23" s="99" t="s">
        <v>39</v>
      </c>
      <c r="C23" s="104"/>
      <c r="D23" s="104"/>
      <c r="E23" s="100"/>
      <c r="F23" s="100"/>
      <c r="G23" s="100"/>
      <c r="H23" s="104"/>
      <c r="I23" s="104"/>
      <c r="J23" s="104"/>
      <c r="K23" s="104"/>
      <c r="L23" s="104"/>
      <c r="M23" s="100"/>
      <c r="N23" s="100"/>
      <c r="O23" s="100">
        <v>17.0652020297101</v>
      </c>
      <c r="P23" s="117"/>
    </row>
    <row r="24" outlineLevel="1" spans="1:16">
      <c r="A24" s="99">
        <v>8</v>
      </c>
      <c r="B24" s="99" t="s">
        <v>40</v>
      </c>
      <c r="C24" s="104"/>
      <c r="D24" s="104"/>
      <c r="E24" s="100"/>
      <c r="F24" s="100"/>
      <c r="G24" s="100"/>
      <c r="H24" s="104"/>
      <c r="I24" s="104"/>
      <c r="J24" s="104"/>
      <c r="K24" s="104"/>
      <c r="L24" s="104"/>
      <c r="M24" s="100"/>
      <c r="N24" s="100"/>
      <c r="O24" s="100">
        <v>46.3914862504214</v>
      </c>
      <c r="P24" s="117"/>
    </row>
    <row r="25" outlineLevel="1" spans="1:16">
      <c r="A25" s="99">
        <v>9</v>
      </c>
      <c r="B25" s="99" t="s">
        <v>41</v>
      </c>
      <c r="C25" s="104"/>
      <c r="D25" s="104"/>
      <c r="E25" s="100"/>
      <c r="F25" s="100"/>
      <c r="G25" s="100"/>
      <c r="H25" s="104"/>
      <c r="I25" s="104"/>
      <c r="J25" s="104"/>
      <c r="K25" s="104"/>
      <c r="L25" s="104"/>
      <c r="M25" s="100"/>
      <c r="N25" s="100"/>
      <c r="O25" s="100"/>
      <c r="P25" s="117"/>
    </row>
    <row r="26" spans="1:16">
      <c r="A26" s="97" t="s">
        <v>42</v>
      </c>
      <c r="B26" s="97" t="s">
        <v>43</v>
      </c>
      <c r="C26" s="98">
        <f>C27+C33+C34+C38+C39+C40+C43+C44+C45+C46+C47</f>
        <v>943.154805631254</v>
      </c>
      <c r="D26" s="98">
        <f>D27+D33+D34+D38+D39+D40+D43+D44+D45+D46+D47</f>
        <v>950.711984964633</v>
      </c>
      <c r="E26" s="98">
        <f>E27+E33+E34+E38+E39+E40+E43+E44+E45+E46+E47</f>
        <v>926.572222600803</v>
      </c>
      <c r="F26" s="98">
        <f>F27+F33+F34+F38+F39+F40+F43+F44+F45+F46+F47</f>
        <v>945.638915089607</v>
      </c>
      <c r="G26" s="98">
        <f>G27+G33+G34+G38+G39+G40+G43+G44+G45+G46+G47</f>
        <v>933.279218222392</v>
      </c>
      <c r="H26" s="98">
        <f t="shared" ref="H26:M26" si="4">H27+H33+H34+H38+H39+H40+H43+H44+H45+H46+H47</f>
        <v>958.200604535363</v>
      </c>
      <c r="I26" s="98">
        <f t="shared" si="4"/>
        <v>958.200604535363</v>
      </c>
      <c r="J26" s="98">
        <f t="shared" si="4"/>
        <v>962.042159486914</v>
      </c>
      <c r="K26" s="98">
        <f t="shared" si="4"/>
        <v>940.786384480629</v>
      </c>
      <c r="L26" s="98">
        <f t="shared" si="4"/>
        <v>940.790172019626</v>
      </c>
      <c r="M26" s="98">
        <f t="shared" si="4"/>
        <v>1037.11935843145</v>
      </c>
      <c r="N26" s="98"/>
      <c r="O26" s="98">
        <f>O27+O33+O34+O38+O39+O40+O43+O44+O45+O46+O47</f>
        <v>0</v>
      </c>
      <c r="P26" s="116"/>
    </row>
    <row r="27" outlineLevel="1" spans="1:16">
      <c r="A27" s="99">
        <v>1</v>
      </c>
      <c r="B27" s="99" t="s">
        <v>25</v>
      </c>
      <c r="C27" s="105">
        <f>C28+C29+C30+C31+C32</f>
        <v>569.137910974424</v>
      </c>
      <c r="D27" s="105">
        <f>D28+D29+D30+D31+D32</f>
        <v>565.143677326185</v>
      </c>
      <c r="E27" s="100">
        <f>SUM(E28:E32)</f>
        <v>559.724657584909</v>
      </c>
      <c r="F27" s="100">
        <f>SUM(F28:F32)</f>
        <v>568.763114892131</v>
      </c>
      <c r="G27" s="100">
        <f>SUM(G28:G32)</f>
        <v>571.587751982339</v>
      </c>
      <c r="H27" s="105">
        <f>H28+H29+H30+H31+H32</f>
        <v>586.820704188082</v>
      </c>
      <c r="I27" s="105">
        <f>I28+I29+I30+I31+I32</f>
        <v>586.820704188082</v>
      </c>
      <c r="J27" s="100">
        <f t="shared" ref="J27:M27" si="5">SUM(J28:J32)</f>
        <v>584.775213983772</v>
      </c>
      <c r="K27" s="100">
        <f t="shared" si="5"/>
        <v>560.453616949251</v>
      </c>
      <c r="L27" s="100">
        <f t="shared" si="5"/>
        <v>560.453616949251</v>
      </c>
      <c r="M27" s="100">
        <f t="shared" si="5"/>
        <v>615.029831257989</v>
      </c>
      <c r="N27" s="100"/>
      <c r="O27" s="100">
        <f>SUM(O28:O32)</f>
        <v>0</v>
      </c>
      <c r="P27" s="117"/>
    </row>
    <row r="28" outlineLevel="2" spans="1:16">
      <c r="A28" s="101">
        <v>1.1</v>
      </c>
      <c r="B28" s="101" t="s">
        <v>26</v>
      </c>
      <c r="C28" s="106">
        <f>1453113.54/C5</f>
        <v>184.975220603586</v>
      </c>
      <c r="D28" s="106">
        <f>1713040.89/D5</f>
        <v>177.720510304016</v>
      </c>
      <c r="E28" s="103">
        <f>2614163.55/14051.03</f>
        <v>186.047823540338</v>
      </c>
      <c r="F28" s="103">
        <f>1/6413.32*1127863.55</f>
        <v>175.862665514897</v>
      </c>
      <c r="G28" s="103">
        <f>1/11709.65*2243033.31</f>
        <v>191.554257386002</v>
      </c>
      <c r="H28" s="106">
        <f>970773.91/H5</f>
        <v>187.50546326181</v>
      </c>
      <c r="I28" s="106">
        <f>970773.91/I5</f>
        <v>187.50546326181</v>
      </c>
      <c r="J28" s="106">
        <f>714316.6/J5</f>
        <v>182.892205434663</v>
      </c>
      <c r="K28" s="106">
        <f>755622.06/K5</f>
        <v>168.285868274942</v>
      </c>
      <c r="L28" s="106">
        <f>755622.06/L5</f>
        <v>168.285868274942</v>
      </c>
      <c r="M28" s="106">
        <f>1/2198.03*442610.66</f>
        <v>201.366978612667</v>
      </c>
      <c r="N28" s="106"/>
      <c r="O28" s="106">
        <v>0</v>
      </c>
      <c r="P28" s="118"/>
    </row>
    <row r="29" outlineLevel="2" spans="1:16">
      <c r="A29" s="101">
        <v>1.2</v>
      </c>
      <c r="B29" s="101" t="s">
        <v>27</v>
      </c>
      <c r="C29" s="106">
        <f>897758.94/C5</f>
        <v>114.280923963685</v>
      </c>
      <c r="D29" s="106">
        <f>1182689.44/D5</f>
        <v>122.698863777835</v>
      </c>
      <c r="E29" s="103">
        <f>1/14051.03*1704193.41</f>
        <v>121.286013196186</v>
      </c>
      <c r="F29" s="103">
        <f>1/6413.32*728143.92</f>
        <v>113.53619030393</v>
      </c>
      <c r="G29" s="103">
        <f>1/11709.65*1324530.64</f>
        <v>113.114451755603</v>
      </c>
      <c r="H29" s="106">
        <f>641199.35/H5</f>
        <v>123.847973175259</v>
      </c>
      <c r="I29" s="106">
        <f>641199.35/I5</f>
        <v>123.847973175259</v>
      </c>
      <c r="J29" s="119">
        <f>491609.03/J5</f>
        <v>125.870600946829</v>
      </c>
      <c r="K29" s="106">
        <f>563273.19/K5</f>
        <v>125.447525784446</v>
      </c>
      <c r="L29" s="106">
        <f>563273.19/L5</f>
        <v>125.447525784446</v>
      </c>
      <c r="M29" s="106">
        <f>1/2198.03*277259.71</f>
        <v>126.140093629295</v>
      </c>
      <c r="N29" s="106"/>
      <c r="O29" s="106">
        <v>0</v>
      </c>
      <c r="P29" s="118"/>
    </row>
    <row r="30" outlineLevel="2" spans="1:16">
      <c r="A30" s="101">
        <v>1.3</v>
      </c>
      <c r="B30" s="101" t="s">
        <v>28</v>
      </c>
      <c r="C30" s="106">
        <f>860301.78/C5</f>
        <v>109.512785588081</v>
      </c>
      <c r="D30" s="106">
        <f>1092603.7/D5</f>
        <v>113.352861719522</v>
      </c>
      <c r="E30" s="103">
        <f>1/14051.03*1473065.35</f>
        <v>104.836823350317</v>
      </c>
      <c r="F30" s="103">
        <f>1/6413.32*706394.01</f>
        <v>110.144825145167</v>
      </c>
      <c r="G30" s="103">
        <f>1/11709.65*1263643.55</f>
        <v>107.914715640519</v>
      </c>
      <c r="H30" s="106">
        <f>589425.35/H5</f>
        <v>113.847799339812</v>
      </c>
      <c r="I30" s="106">
        <f>589425.35/I5</f>
        <v>113.847799339812</v>
      </c>
      <c r="J30" s="106">
        <f>432181.82/J5</f>
        <v>110.654975970832</v>
      </c>
      <c r="K30" s="106">
        <f>506522.09/K5</f>
        <v>112.808392222017</v>
      </c>
      <c r="L30" s="106">
        <f>506522.09/L5</f>
        <v>112.808392222017</v>
      </c>
      <c r="M30" s="106">
        <f>1/2198.03*266290.27</f>
        <v>121.149515702697</v>
      </c>
      <c r="N30" s="106"/>
      <c r="O30" s="106">
        <v>0</v>
      </c>
      <c r="P30" s="118"/>
    </row>
    <row r="31" outlineLevel="2" spans="1:16">
      <c r="A31" s="101">
        <v>1.4</v>
      </c>
      <c r="B31" s="101" t="s">
        <v>29</v>
      </c>
      <c r="C31" s="106">
        <f>326259.31/C5</f>
        <v>41.5314331468026</v>
      </c>
      <c r="D31" s="106">
        <f>384727.79/D5</f>
        <v>39.9138278403479</v>
      </c>
      <c r="E31" s="103">
        <f>1/14051.03*548539.26</f>
        <v>39.0390782739771</v>
      </c>
      <c r="F31" s="103">
        <f>1/6413.32*282260.66</f>
        <v>44.0116289223054</v>
      </c>
      <c r="G31" s="103">
        <f>1/11709.65*512226.27</f>
        <v>43.7439436703915</v>
      </c>
      <c r="H31" s="106">
        <f>192639.79/H5</f>
        <v>37.2084711945006</v>
      </c>
      <c r="I31" s="106">
        <f>192639.79/I5</f>
        <v>37.2084711945006</v>
      </c>
      <c r="J31" s="106">
        <f>155545.96/J5</f>
        <v>39.8256790768293</v>
      </c>
      <c r="K31" s="106">
        <f>174624.47/K5</f>
        <v>38.8909113585191</v>
      </c>
      <c r="L31" s="106">
        <f>174624.47/L5</f>
        <v>38.8909113585191</v>
      </c>
      <c r="M31" s="106">
        <f>1/2198.03*83874.73</f>
        <v>38.1590469647821</v>
      </c>
      <c r="N31" s="106"/>
      <c r="O31" s="106">
        <v>0</v>
      </c>
      <c r="P31" s="118"/>
    </row>
    <row r="32" outlineLevel="2" spans="1:16">
      <c r="A32" s="101">
        <v>1.5</v>
      </c>
      <c r="B32" s="101" t="s">
        <v>30</v>
      </c>
      <c r="C32" s="87">
        <f>933554.5/C5</f>
        <v>118.837547672269</v>
      </c>
      <c r="D32" s="106">
        <f>1074335.48/D5</f>
        <v>111.457613684464</v>
      </c>
      <c r="E32" s="103">
        <f>1546127.08/E5</f>
        <v>108.514919224091</v>
      </c>
      <c r="F32" s="103">
        <f>802997.72/F5</f>
        <v>125.207805005832</v>
      </c>
      <c r="G32" s="103">
        <f>1349658.75/G5</f>
        <v>115.260383529824</v>
      </c>
      <c r="H32" s="106">
        <f>644114.3/H5</f>
        <v>124.410997216701</v>
      </c>
      <c r="I32" s="106">
        <f>644114.3/I5</f>
        <v>124.410997216701</v>
      </c>
      <c r="J32" s="106">
        <f>490285.6/J5</f>
        <v>125.531752554619</v>
      </c>
      <c r="K32" s="106">
        <f>516456.58/K5</f>
        <v>115.020919309327</v>
      </c>
      <c r="L32" s="106">
        <f>516456.58/L5</f>
        <v>115.020919309327</v>
      </c>
      <c r="M32" s="106">
        <f>281818.65/M5</f>
        <v>128.214196348548</v>
      </c>
      <c r="N32" s="106"/>
      <c r="O32" s="106">
        <v>0</v>
      </c>
      <c r="P32" s="118"/>
    </row>
    <row r="33" outlineLevel="1" spans="1:16">
      <c r="A33" s="99">
        <v>2</v>
      </c>
      <c r="B33" s="99" t="s">
        <v>31</v>
      </c>
      <c r="C33" s="105">
        <v>0</v>
      </c>
      <c r="D33" s="105">
        <v>0</v>
      </c>
      <c r="E33" s="100">
        <v>0</v>
      </c>
      <c r="F33" s="100">
        <v>0</v>
      </c>
      <c r="G33" s="100">
        <v>0</v>
      </c>
      <c r="H33" s="105">
        <v>0</v>
      </c>
      <c r="I33" s="105">
        <v>0</v>
      </c>
      <c r="J33" s="105">
        <v>0</v>
      </c>
      <c r="K33" s="105">
        <v>0</v>
      </c>
      <c r="L33" s="105">
        <v>0</v>
      </c>
      <c r="M33" s="100">
        <v>0</v>
      </c>
      <c r="N33" s="100"/>
      <c r="O33" s="100">
        <v>0</v>
      </c>
      <c r="P33" s="117"/>
    </row>
    <row r="34" outlineLevel="1" spans="1:16">
      <c r="A34" s="99">
        <v>3</v>
      </c>
      <c r="B34" s="99" t="s">
        <v>32</v>
      </c>
      <c r="C34" s="105">
        <f>C35+C36+C37</f>
        <v>154.135455438839</v>
      </c>
      <c r="D34" s="105">
        <f>D35+D36+D37</f>
        <v>157.07937578328</v>
      </c>
      <c r="E34" s="100">
        <f>SUM(E35:E37)</f>
        <v>154.345928376781</v>
      </c>
      <c r="F34" s="100">
        <f>SUM(F35:F37)</f>
        <v>154.880012224558</v>
      </c>
      <c r="G34" s="100">
        <f>SUM(G35:G37)</f>
        <v>152.270888540648</v>
      </c>
      <c r="H34" s="105">
        <f>H35+H36+H37</f>
        <v>156.902140300658</v>
      </c>
      <c r="I34" s="105">
        <f>I35+I36+I37</f>
        <v>156.902140300658</v>
      </c>
      <c r="J34" s="100">
        <f t="shared" ref="J34:M34" si="6">SUM(J35:J37)</f>
        <v>151.890810027473</v>
      </c>
      <c r="K34" s="100">
        <f t="shared" si="6"/>
        <v>156.259528163007</v>
      </c>
      <c r="L34" s="100">
        <f t="shared" si="6"/>
        <v>156.259528163007</v>
      </c>
      <c r="M34" s="100">
        <f t="shared" si="6"/>
        <v>167.181721814534</v>
      </c>
      <c r="N34" s="100"/>
      <c r="O34" s="100">
        <f>SUM(O35:O37)</f>
        <v>0</v>
      </c>
      <c r="P34" s="117"/>
    </row>
    <row r="35" outlineLevel="2" spans="1:16">
      <c r="A35" s="101">
        <v>3.1</v>
      </c>
      <c r="B35" s="101" t="s">
        <v>33</v>
      </c>
      <c r="C35" s="106">
        <f>(1524.32+168150.12+24241.89)/C5</f>
        <v>24.6847303620801</v>
      </c>
      <c r="D35" s="102">
        <v>20.0052391544316</v>
      </c>
      <c r="E35" s="103">
        <f>(374166.35)/14051.03</f>
        <v>26.6291047702553</v>
      </c>
      <c r="F35" s="103">
        <f>1/6413.32*134700.45</f>
        <v>21.0032323352024</v>
      </c>
      <c r="G35" s="103">
        <f>1/11709.65*285427.72</f>
        <v>24.3754271049946</v>
      </c>
      <c r="H35" s="102">
        <v>20.6859025246701</v>
      </c>
      <c r="I35" s="102">
        <v>20.6859025246701</v>
      </c>
      <c r="J35" s="102">
        <v>19.1509062465595</v>
      </c>
      <c r="K35" s="102">
        <v>20.3011351614994</v>
      </c>
      <c r="L35" s="102">
        <v>20.3011351614994</v>
      </c>
      <c r="M35" s="102">
        <f>1/2198.03*50308.51</f>
        <v>22.8879997088302</v>
      </c>
      <c r="N35" s="102"/>
      <c r="O35" s="102">
        <v>0</v>
      </c>
      <c r="P35" s="118"/>
    </row>
    <row r="36" outlineLevel="2" spans="1:16">
      <c r="A36" s="101">
        <v>3.2</v>
      </c>
      <c r="B36" s="101" t="s">
        <v>28</v>
      </c>
      <c r="C36" s="106">
        <v>109.512785588081</v>
      </c>
      <c r="D36" s="106">
        <v>113.352861719522</v>
      </c>
      <c r="E36" s="103">
        <f>1/14051.03*1473065.35</f>
        <v>104.836823350317</v>
      </c>
      <c r="F36" s="103">
        <f>1/6413.32*706394.01</f>
        <v>110.144825145167</v>
      </c>
      <c r="G36" s="103">
        <f>1/11709.65*1263643.55</f>
        <v>107.914715640519</v>
      </c>
      <c r="H36" s="106">
        <v>113.847799339812</v>
      </c>
      <c r="I36" s="106">
        <v>113.847799339812</v>
      </c>
      <c r="J36" s="106">
        <v>110.654975970832</v>
      </c>
      <c r="K36" s="106">
        <v>112.808392222017</v>
      </c>
      <c r="L36" s="106">
        <v>112.808392222017</v>
      </c>
      <c r="M36" s="102">
        <f>1/2198.03*266290.27</f>
        <v>121.149515702697</v>
      </c>
      <c r="N36" s="102"/>
      <c r="O36" s="102">
        <v>0</v>
      </c>
      <c r="P36" s="118"/>
    </row>
    <row r="37" outlineLevel="2" spans="1:16">
      <c r="A37" s="101">
        <v>3.3</v>
      </c>
      <c r="B37" s="101" t="s">
        <v>34</v>
      </c>
      <c r="C37" s="106">
        <f>156626.87/C5</f>
        <v>19.9379394886783</v>
      </c>
      <c r="D37" s="106">
        <f>228648.42/D5</f>
        <v>23.7212749093263</v>
      </c>
      <c r="E37" s="103">
        <f>321487.57/14051.03</f>
        <v>22.880000256209</v>
      </c>
      <c r="F37" s="103">
        <f>1/6413.32*152200.62</f>
        <v>23.7319547441887</v>
      </c>
      <c r="G37" s="103">
        <f>1/11709.65*233967.54</f>
        <v>19.9807457951348</v>
      </c>
      <c r="H37" s="106">
        <f>115808.34/H5</f>
        <v>22.3684384361763</v>
      </c>
      <c r="I37" s="106">
        <f>115808.34/I5</f>
        <v>22.3684384361763</v>
      </c>
      <c r="J37" s="106">
        <f>86256.44/J5</f>
        <v>22.0849278100812</v>
      </c>
      <c r="K37" s="106">
        <f>103946.05/K5</f>
        <v>23.1500007794909</v>
      </c>
      <c r="L37" s="106">
        <f>103946.05/L5</f>
        <v>23.1500007794909</v>
      </c>
      <c r="M37" s="102">
        <f>1/2198.03*50871.66</f>
        <v>23.1442064030063</v>
      </c>
      <c r="N37" s="102"/>
      <c r="O37" s="102">
        <v>0</v>
      </c>
      <c r="P37" s="118"/>
    </row>
    <row r="38" outlineLevel="1" spans="1:16">
      <c r="A38" s="99">
        <v>4</v>
      </c>
      <c r="B38" s="99" t="s">
        <v>36</v>
      </c>
      <c r="C38" s="105">
        <f>96841.06/C5</f>
        <v>12.3274582087956</v>
      </c>
      <c r="D38" s="105">
        <f>132139.47/D5</f>
        <v>13.7088928681103</v>
      </c>
      <c r="E38" s="100">
        <f>(165616.83+0)/14051.03</f>
        <v>11.7868106466216</v>
      </c>
      <c r="F38" s="100">
        <f>1/6413.32*91731.74</f>
        <v>14.3033155994087</v>
      </c>
      <c r="G38" s="100">
        <f>1/11709.65*142626.12</f>
        <v>12.1802205872934</v>
      </c>
      <c r="H38" s="105">
        <f>92417.26/H5</f>
        <v>17.8504397071066</v>
      </c>
      <c r="I38" s="105">
        <f>92417.26/I5</f>
        <v>17.8504397071066</v>
      </c>
      <c r="J38" s="105">
        <f>63090.54/J5</f>
        <v>16.1535767230718</v>
      </c>
      <c r="K38" s="105">
        <f>73930.25/K5</f>
        <v>16.4651311437804</v>
      </c>
      <c r="L38" s="105">
        <f>73930.25/L5</f>
        <v>16.4651311437804</v>
      </c>
      <c r="M38" s="100">
        <f>1/2198.03*36812.75</f>
        <v>16.7480653130303</v>
      </c>
      <c r="N38" s="100"/>
      <c r="O38" s="100"/>
      <c r="P38" s="117"/>
    </row>
    <row r="39" outlineLevel="1" spans="1:16">
      <c r="A39" s="99">
        <v>5</v>
      </c>
      <c r="B39" s="99" t="s">
        <v>37</v>
      </c>
      <c r="C39" s="105">
        <v>0</v>
      </c>
      <c r="D39" s="105">
        <v>0</v>
      </c>
      <c r="E39" s="100">
        <v>0</v>
      </c>
      <c r="F39" s="100">
        <v>0</v>
      </c>
      <c r="G39" s="100">
        <v>0</v>
      </c>
      <c r="H39" s="105">
        <v>0</v>
      </c>
      <c r="I39" s="105">
        <v>0</v>
      </c>
      <c r="J39" s="105">
        <v>0</v>
      </c>
      <c r="K39" s="105">
        <v>0</v>
      </c>
      <c r="L39" s="105">
        <v>0</v>
      </c>
      <c r="M39" s="100">
        <v>0</v>
      </c>
      <c r="N39" s="100"/>
      <c r="O39" s="100">
        <v>0</v>
      </c>
      <c r="P39" s="117"/>
    </row>
    <row r="40" outlineLevel="1" spans="1:16">
      <c r="A40" s="99">
        <v>6</v>
      </c>
      <c r="B40" s="99" t="s">
        <v>38</v>
      </c>
      <c r="C40" s="105">
        <f>C41+C42</f>
        <v>59.6409597083399</v>
      </c>
      <c r="D40" s="105">
        <f>D41+D42</f>
        <v>63.8668736046213</v>
      </c>
      <c r="E40" s="100">
        <f>E41+E42</f>
        <v>55.1881612949371</v>
      </c>
      <c r="F40" s="100">
        <f>F41+F42</f>
        <v>63.6100210187547</v>
      </c>
      <c r="G40" s="100">
        <f>G41+G42</f>
        <v>59.8473310474694</v>
      </c>
      <c r="H40" s="105">
        <f t="shared" ref="H40:M40" si="7">H41+H42</f>
        <v>62.7065097512028</v>
      </c>
      <c r="I40" s="105">
        <f t="shared" si="7"/>
        <v>62.7065097512028</v>
      </c>
      <c r="J40" s="100">
        <f t="shared" si="7"/>
        <v>78.1466816192868</v>
      </c>
      <c r="K40" s="100">
        <f t="shared" si="7"/>
        <v>68.9044945446771</v>
      </c>
      <c r="L40" s="100">
        <f t="shared" si="7"/>
        <v>68.9044945446771</v>
      </c>
      <c r="M40" s="100">
        <f t="shared" si="7"/>
        <v>96.3562235274314</v>
      </c>
      <c r="N40" s="100"/>
      <c r="O40" s="100">
        <f>O41+O42</f>
        <v>0</v>
      </c>
      <c r="P40" s="117"/>
    </row>
    <row r="41" outlineLevel="2" spans="1:16">
      <c r="A41" s="101">
        <v>6.1</v>
      </c>
      <c r="B41" s="101" t="s">
        <v>44</v>
      </c>
      <c r="C41" s="106">
        <f>53072.36/C5</f>
        <v>6.75588742979638</v>
      </c>
      <c r="D41" s="106">
        <f>71601.5/D5</f>
        <v>7.42834289176426</v>
      </c>
      <c r="E41" s="103">
        <f>66441.54/14051.03</f>
        <v>4.72858858033895</v>
      </c>
      <c r="F41" s="103">
        <f>1/6413.32*48300.23</f>
        <v>7.53123655142734</v>
      </c>
      <c r="G41" s="103">
        <f>1/11709.65*77615.82</f>
        <v>6.62836378542484</v>
      </c>
      <c r="H41" s="106">
        <f>54506.51/H5</f>
        <v>10.5279595002038</v>
      </c>
      <c r="I41" s="106">
        <f>54506.51/I5</f>
        <v>10.5279595002038</v>
      </c>
      <c r="J41" s="106">
        <f>54506.51/J5</f>
        <v>13.9557387080834</v>
      </c>
      <c r="K41" s="106">
        <f>54135.19/K5</f>
        <v>12.05653981751</v>
      </c>
      <c r="L41" s="106">
        <f>54135.19/L5</f>
        <v>12.05653981751</v>
      </c>
      <c r="M41" s="106">
        <f>1/2198.03*26865.81</f>
        <v>12.2226766695632</v>
      </c>
      <c r="N41" s="106"/>
      <c r="O41" s="106">
        <v>0</v>
      </c>
      <c r="P41" s="118"/>
    </row>
    <row r="42" outlineLevel="2" spans="1:16">
      <c r="A42" s="101">
        <v>6.2</v>
      </c>
      <c r="B42" s="101" t="s">
        <v>45</v>
      </c>
      <c r="C42" s="106">
        <f>415450.32/C5</f>
        <v>52.8850722785435</v>
      </c>
      <c r="D42" s="106">
        <f>544008.74/D5</f>
        <v>56.438530712857</v>
      </c>
      <c r="E42" s="103">
        <f>709008.97/14051.03</f>
        <v>50.4595727145981</v>
      </c>
      <c r="F42" s="103">
        <f>1/6413.32*359651.19</f>
        <v>56.0787844673274</v>
      </c>
      <c r="G42" s="103">
        <f>1/11709.65*623175.48</f>
        <v>53.2189672620446</v>
      </c>
      <c r="H42" s="106">
        <f>270144.53/H5</f>
        <v>52.1785502509991</v>
      </c>
      <c r="I42" s="106">
        <f>270144.53/I5</f>
        <v>52.1785502509991</v>
      </c>
      <c r="J42" s="106">
        <f>250708.64/J5</f>
        <v>64.1909429112035</v>
      </c>
      <c r="K42" s="106">
        <f>255253.57/K5</f>
        <v>56.847954727167</v>
      </c>
      <c r="L42" s="106">
        <f>255253.57/L5</f>
        <v>56.847954727167</v>
      </c>
      <c r="M42" s="106">
        <f>1/2198.03*184928.06</f>
        <v>84.1335468578682</v>
      </c>
      <c r="N42" s="106"/>
      <c r="O42" s="106">
        <v>0</v>
      </c>
      <c r="P42" s="118"/>
    </row>
    <row r="43" ht="30" outlineLevel="1" spans="1:16">
      <c r="A43" s="99">
        <v>7</v>
      </c>
      <c r="B43" s="99" t="s">
        <v>46</v>
      </c>
      <c r="C43" s="105">
        <v>0</v>
      </c>
      <c r="D43" s="105">
        <v>0</v>
      </c>
      <c r="E43" s="100">
        <v>0</v>
      </c>
      <c r="F43" s="100">
        <v>0</v>
      </c>
      <c r="G43" s="100">
        <v>0</v>
      </c>
      <c r="H43" s="105">
        <v>0</v>
      </c>
      <c r="I43" s="105">
        <v>0</v>
      </c>
      <c r="J43" s="105">
        <v>0</v>
      </c>
      <c r="K43" s="105">
        <v>0</v>
      </c>
      <c r="L43" s="105">
        <v>0</v>
      </c>
      <c r="M43" s="100">
        <v>0</v>
      </c>
      <c r="N43" s="100"/>
      <c r="O43" s="100">
        <v>0</v>
      </c>
      <c r="P43" s="117"/>
    </row>
    <row r="44" outlineLevel="1" spans="1:16">
      <c r="A44" s="99">
        <v>8</v>
      </c>
      <c r="B44" s="99" t="s">
        <v>47</v>
      </c>
      <c r="C44" s="105">
        <f>198779.86/C5</f>
        <v>25.3038372039737</v>
      </c>
      <c r="D44" s="105">
        <f>254802/D5</f>
        <v>26.4345946035672</v>
      </c>
      <c r="E44" s="100">
        <f>343087.2/14051.03</f>
        <v>24.4172277761844</v>
      </c>
      <c r="F44" s="100">
        <f>1/6413.32*170384.71</f>
        <v>26.5673177075212</v>
      </c>
      <c r="G44" s="100">
        <f>1/11709.65*280311.15</f>
        <v>23.9384738228726</v>
      </c>
      <c r="H44" s="105">
        <f>158295.86/H5</f>
        <v>30.574924043567</v>
      </c>
      <c r="I44" s="105">
        <f>158295.86/I5</f>
        <v>30.574924043567</v>
      </c>
      <c r="J44" s="105">
        <f>105452.96/J5</f>
        <v>26.9999667150579</v>
      </c>
      <c r="K44" s="105">
        <f>125992.66/K5</f>
        <v>28.0600386182076</v>
      </c>
      <c r="L44" s="105">
        <f>125992.66/L5</f>
        <v>28.0600386182076</v>
      </c>
      <c r="M44" s="100">
        <f>1/2198.03*79250.13</f>
        <v>36.0550720417829</v>
      </c>
      <c r="N44" s="100"/>
      <c r="O44" s="100">
        <v>0</v>
      </c>
      <c r="P44" s="117"/>
    </row>
    <row r="45" outlineLevel="1" spans="1:16">
      <c r="A45" s="99">
        <v>9</v>
      </c>
      <c r="B45" s="99" t="s">
        <v>39</v>
      </c>
      <c r="C45" s="104">
        <v>35.7692461375321</v>
      </c>
      <c r="D45" s="104">
        <v>34.3818924644789</v>
      </c>
      <c r="E45" s="100">
        <v>36.5107129929539</v>
      </c>
      <c r="F45" s="100">
        <v>34.7783768469435</v>
      </c>
      <c r="G45" s="100">
        <v>36.1331543624161</v>
      </c>
      <c r="H45" s="105">
        <v>37.0941447234112</v>
      </c>
      <c r="I45" s="105">
        <v>37.0941447234112</v>
      </c>
      <c r="J45" s="105">
        <v>35.3837902941745</v>
      </c>
      <c r="K45" s="105">
        <v>34.8427996122753</v>
      </c>
      <c r="L45" s="105">
        <v>34.8427996122753</v>
      </c>
      <c r="M45" s="100">
        <v>35.3487233425214</v>
      </c>
      <c r="N45" s="100"/>
      <c r="O45" s="100"/>
      <c r="P45" s="117"/>
    </row>
    <row r="46" outlineLevel="1" spans="1:16">
      <c r="A46" s="99">
        <v>10</v>
      </c>
      <c r="B46" s="99" t="s">
        <v>40</v>
      </c>
      <c r="C46" s="105">
        <v>86.8399379593497</v>
      </c>
      <c r="D46" s="105">
        <v>90.09667831439</v>
      </c>
      <c r="E46" s="100">
        <v>84.5987239284163</v>
      </c>
      <c r="F46" s="100">
        <v>82.7367568002899</v>
      </c>
      <c r="G46" s="100">
        <v>77.3213978793535</v>
      </c>
      <c r="H46" s="105">
        <v>66.2517418213353</v>
      </c>
      <c r="I46" s="105">
        <v>66.2517418213353</v>
      </c>
      <c r="J46" s="105">
        <v>68.6921201240782</v>
      </c>
      <c r="K46" s="105">
        <v>75.8007754494309</v>
      </c>
      <c r="L46" s="105">
        <v>75.8045629884276</v>
      </c>
      <c r="M46" s="100">
        <v>70.3997211341619</v>
      </c>
      <c r="N46" s="100"/>
      <c r="O46" s="100"/>
      <c r="P46" s="117"/>
    </row>
    <row r="47" outlineLevel="1" spans="1:16">
      <c r="A47" s="99">
        <v>11</v>
      </c>
      <c r="B47" s="99" t="s">
        <v>41</v>
      </c>
      <c r="C47" s="105"/>
      <c r="D47" s="105"/>
      <c r="E47" s="100"/>
      <c r="F47" s="100"/>
      <c r="G47" s="100"/>
      <c r="H47" s="105"/>
      <c r="I47" s="105"/>
      <c r="J47" s="105"/>
      <c r="K47" s="105"/>
      <c r="L47" s="105"/>
      <c r="M47" s="100"/>
      <c r="N47" s="100"/>
      <c r="O47" s="100"/>
      <c r="P47" s="117"/>
    </row>
    <row r="48" s="85" customFormat="1" spans="1:16">
      <c r="A48" s="107" t="s">
        <v>48</v>
      </c>
      <c r="B48" s="107" t="s">
        <v>49</v>
      </c>
      <c r="C48" s="108">
        <f>773376.54/C6</f>
        <v>91.4267978252671</v>
      </c>
      <c r="D48" s="108">
        <f>923734.89/D6</f>
        <v>87.5223028003805</v>
      </c>
      <c r="E48" s="108">
        <f>(837633.55+83335.37+159535.9+9858.06+354238.95)/(14051.03+894.84)</f>
        <v>96.6555864596708</v>
      </c>
      <c r="F48" s="108">
        <f>(6274.5+68828.89+54399.26+350456.94+155913.45)/(6413.32+540.6)</f>
        <v>91.4409484147071</v>
      </c>
      <c r="G48" s="108">
        <f>1/12590.5*(643820.44+79456.39+122902.1+6274.5+278068.49)</f>
        <v>89.7916619673563</v>
      </c>
      <c r="H48" s="108">
        <f>455035.7/H6</f>
        <v>79.3980356198755</v>
      </c>
      <c r="I48" s="108">
        <f>455035.7/I6</f>
        <v>79.3980356198755</v>
      </c>
      <c r="J48" s="108">
        <f>386227.75/J6</f>
        <v>87.7700576077447</v>
      </c>
      <c r="K48" s="108">
        <f>430463.67/K6</f>
        <v>86.0316515274155</v>
      </c>
      <c r="L48" s="108">
        <f>425167.71/L6</f>
        <v>84.9774568784602</v>
      </c>
      <c r="M48" s="108">
        <f>1/2481.48*(176210.34+57289.95)</f>
        <v>94.0971879684704</v>
      </c>
      <c r="N48" s="108"/>
      <c r="O48" s="108">
        <f>1/11420.35*(693321.81+104177.74+259701.1)</f>
        <v>92.5716506061548</v>
      </c>
      <c r="P48" s="120"/>
    </row>
    <row r="49" spans="1:16">
      <c r="A49" s="97" t="s">
        <v>50</v>
      </c>
      <c r="B49" s="97" t="s">
        <v>51</v>
      </c>
      <c r="C49" s="109">
        <f>373340.66/C5</f>
        <v>47.5246902893688</v>
      </c>
      <c r="D49" s="109">
        <f>439282.52/D5</f>
        <v>45.5736427996381</v>
      </c>
      <c r="E49" s="98">
        <f>691571.91/(14051.03+894.84)</f>
        <v>46.2717734062989</v>
      </c>
      <c r="F49" s="98">
        <f>302007.89/(6413.32+540.6)</f>
        <v>43.4298769614836</v>
      </c>
      <c r="G49" s="98">
        <f>1/12590.5*547138.48</f>
        <v>43.4564536753902</v>
      </c>
      <c r="H49" s="109">
        <f>234160.67/H5</f>
        <v>45.2282498054009</v>
      </c>
      <c r="I49" s="109">
        <f>234160.67/I5</f>
        <v>45.2282498054009</v>
      </c>
      <c r="J49" s="109">
        <f>183672.22/J5</f>
        <v>47.0270708994872</v>
      </c>
      <c r="K49" s="109">
        <f>203714.6/K5</f>
        <v>45.3696234613406</v>
      </c>
      <c r="L49" s="109">
        <f>200974.62/L5</f>
        <v>44.7593978766667</v>
      </c>
      <c r="M49" s="98">
        <f>1/2481.48*111135.79</f>
        <v>44.7860913648307</v>
      </c>
      <c r="N49" s="98"/>
      <c r="O49" s="98">
        <f>1/11420.35*484801.05</f>
        <v>42.4506297968101</v>
      </c>
      <c r="P49" s="116"/>
    </row>
    <row r="50" spans="1:16">
      <c r="A50" s="97" t="s">
        <v>52</v>
      </c>
      <c r="B50" s="97" t="s">
        <v>53</v>
      </c>
      <c r="C50" s="98">
        <f>C7+C26+C48+C49</f>
        <v>3138.82241099822</v>
      </c>
      <c r="D50" s="98">
        <f>D7+D26+D48+D49</f>
        <v>3042.78968974241</v>
      </c>
      <c r="E50" s="98">
        <f>E7+E26+E48+E49</f>
        <v>2772.01728395531</v>
      </c>
      <c r="F50" s="98">
        <f>F7+F26+F48+F49</f>
        <v>2692.02039529377</v>
      </c>
      <c r="G50" s="98">
        <f>G7+G26+G48+G49</f>
        <v>2611.84168931726</v>
      </c>
      <c r="H50" s="98">
        <f t="shared" ref="H50:M50" si="8">H7+H26+H48+H49</f>
        <v>2907.83667759427</v>
      </c>
      <c r="I50" s="98">
        <f t="shared" si="8"/>
        <v>2907.83667759427</v>
      </c>
      <c r="J50" s="98">
        <f t="shared" si="8"/>
        <v>2901.80250396892</v>
      </c>
      <c r="K50" s="98">
        <f t="shared" si="8"/>
        <v>2929.70201362956</v>
      </c>
      <c r="L50" s="98">
        <f t="shared" si="8"/>
        <v>2701.08754042467</v>
      </c>
      <c r="M50" s="98">
        <f t="shared" si="8"/>
        <v>3064.51789618775</v>
      </c>
      <c r="N50" s="98"/>
      <c r="O50" s="98">
        <f>O7+O26+O48+O49</f>
        <v>1133.9066764234</v>
      </c>
      <c r="P50" s="116"/>
    </row>
    <row r="51" ht="15" spans="1:1">
      <c r="A51" s="110" t="s">
        <v>54</v>
      </c>
    </row>
  </sheetData>
  <mergeCells count="6">
    <mergeCell ref="A1:P1"/>
    <mergeCell ref="C2:G2"/>
    <mergeCell ref="H2:M2"/>
    <mergeCell ref="O2:P2"/>
    <mergeCell ref="A2:A3"/>
    <mergeCell ref="B2:B3"/>
  </mergeCells>
  <pageMargins left="0.471527777777778" right="0.354166666666667" top="0.393055555555556" bottom="0.313888888888889" header="0.297916666666667" footer="0.15625"/>
  <pageSetup paperSize="9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8"/>
  <sheetViews>
    <sheetView workbookViewId="0">
      <pane xSplit="8" ySplit="3" topLeftCell="I19" activePane="bottomRight" state="frozenSplit"/>
      <selection/>
      <selection pane="topRight"/>
      <selection pane="bottomLeft"/>
      <selection pane="bottomRight" activeCell="B25" sqref="B25:B27"/>
    </sheetView>
  </sheetViews>
  <sheetFormatPr defaultColWidth="9" defaultRowHeight="14.25" customHeight="1"/>
  <cols>
    <col min="1" max="1" width="3.37037037037037" style="7" customWidth="1"/>
    <col min="2" max="2" width="4.37037037037037" style="7" customWidth="1"/>
    <col min="3" max="3" width="5.62962962962963" style="7" customWidth="1"/>
    <col min="4" max="4" width="4.62962962962963" style="7" customWidth="1"/>
    <col min="5" max="7" width="9.37037037037037" style="7" customWidth="1"/>
    <col min="8" max="8" width="9" style="8" customWidth="1"/>
    <col min="9" max="9" width="8.26851851851852" style="9" customWidth="1"/>
    <col min="10" max="10" width="9.44444444444444" style="7" customWidth="1"/>
    <col min="11" max="11" width="11.3333333333333" style="7" customWidth="1"/>
    <col min="12" max="12" width="7.72222222222222" style="7" customWidth="1"/>
    <col min="13" max="13" width="9" style="7" customWidth="1"/>
    <col min="14" max="14" width="8" style="7" customWidth="1"/>
    <col min="15" max="15" width="8.72222222222222" style="7" customWidth="1"/>
    <col min="16" max="17" width="9.90740740740741" style="7" customWidth="1"/>
    <col min="18" max="20" width="8.26851851851852" style="7" customWidth="1"/>
    <col min="21" max="21" width="9.37037037037037" style="7" customWidth="1"/>
    <col min="22" max="23" width="8.26851851851852" style="7" customWidth="1"/>
    <col min="24" max="24" width="13.6296296296296" style="7" customWidth="1"/>
    <col min="25" max="16384" width="9" style="7"/>
  </cols>
  <sheetData>
    <row r="1" ht="35" customHeight="1" spans="1:24">
      <c r="A1" s="10" t="s">
        <v>55</v>
      </c>
      <c r="B1" s="10"/>
      <c r="C1" s="10"/>
      <c r="D1" s="10"/>
      <c r="E1" s="10"/>
      <c r="F1" s="10"/>
      <c r="G1" s="10"/>
      <c r="H1" s="10"/>
      <c r="I1" s="5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ht="25.15" customHeight="1" spans="1:24">
      <c r="A2" s="11" t="s">
        <v>56</v>
      </c>
      <c r="B2" s="11" t="s">
        <v>57</v>
      </c>
      <c r="C2" s="11" t="s">
        <v>58</v>
      </c>
      <c r="D2" s="11" t="s">
        <v>59</v>
      </c>
      <c r="E2" s="11" t="s">
        <v>60</v>
      </c>
      <c r="F2" s="12" t="s">
        <v>61</v>
      </c>
      <c r="G2" s="13" t="s">
        <v>62</v>
      </c>
      <c r="H2" s="11" t="s">
        <v>63</v>
      </c>
      <c r="I2" s="60" t="s">
        <v>64</v>
      </c>
      <c r="J2" s="61"/>
      <c r="K2" s="11" t="s">
        <v>65</v>
      </c>
      <c r="L2" s="11"/>
      <c r="M2" s="11"/>
      <c r="N2" s="11"/>
      <c r="O2" s="62" t="s">
        <v>28</v>
      </c>
      <c r="P2" s="62"/>
      <c r="Q2" s="61" t="s">
        <v>66</v>
      </c>
      <c r="R2" s="61"/>
      <c r="S2" s="62" t="s">
        <v>67</v>
      </c>
      <c r="T2" s="62" t="s">
        <v>68</v>
      </c>
      <c r="U2" s="62" t="s">
        <v>69</v>
      </c>
      <c r="V2" s="62" t="s">
        <v>70</v>
      </c>
      <c r="W2" s="62" t="s">
        <v>71</v>
      </c>
      <c r="X2" s="33" t="s">
        <v>72</v>
      </c>
    </row>
    <row r="3" ht="38" customHeight="1" spans="1:24">
      <c r="A3" s="11"/>
      <c r="B3" s="11"/>
      <c r="C3" s="11"/>
      <c r="D3" s="11"/>
      <c r="E3" s="11"/>
      <c r="F3" s="14"/>
      <c r="G3" s="13"/>
      <c r="H3" s="11"/>
      <c r="I3" s="63" t="s">
        <v>73</v>
      </c>
      <c r="J3" s="61" t="s">
        <v>74</v>
      </c>
      <c r="K3" s="61" t="s">
        <v>75</v>
      </c>
      <c r="L3" s="62" t="s">
        <v>76</v>
      </c>
      <c r="M3" s="61" t="s">
        <v>77</v>
      </c>
      <c r="N3" s="62" t="s">
        <v>76</v>
      </c>
      <c r="O3" s="61" t="s">
        <v>78</v>
      </c>
      <c r="P3" s="64" t="s">
        <v>79</v>
      </c>
      <c r="Q3" s="61" t="s">
        <v>80</v>
      </c>
      <c r="R3" s="62" t="s">
        <v>76</v>
      </c>
      <c r="S3" s="62"/>
      <c r="T3" s="62"/>
      <c r="U3" s="62"/>
      <c r="V3" s="62"/>
      <c r="W3" s="62"/>
      <c r="X3" s="33"/>
    </row>
    <row r="4" s="1" customFormat="1" ht="15" customHeight="1" spans="1:24">
      <c r="A4" s="15">
        <v>1</v>
      </c>
      <c r="B4" s="16" t="s">
        <v>81</v>
      </c>
      <c r="C4" s="17" t="s">
        <v>7</v>
      </c>
      <c r="D4" s="18"/>
      <c r="E4" s="19">
        <v>8458.97</v>
      </c>
      <c r="F4" s="18">
        <v>7855.72</v>
      </c>
      <c r="G4" s="20" t="s">
        <v>82</v>
      </c>
      <c r="H4" s="17" t="s">
        <v>83</v>
      </c>
      <c r="I4" s="65">
        <v>301.051</v>
      </c>
      <c r="J4" s="17">
        <f>I4/F4*1000</f>
        <v>38.3225216784712</v>
      </c>
      <c r="K4" s="17">
        <v>2244.25</v>
      </c>
      <c r="L4" s="17">
        <f>K4/F4</f>
        <v>0.285683552876121</v>
      </c>
      <c r="M4" s="17">
        <f>2244.25+323.01</f>
        <v>2567.26</v>
      </c>
      <c r="N4" s="17">
        <f>M4/F4</f>
        <v>0.326801362574023</v>
      </c>
      <c r="O4" s="17">
        <v>27707.78</v>
      </c>
      <c r="P4" s="17">
        <f>O4/F4</f>
        <v>3.52708345002113</v>
      </c>
      <c r="Q4" s="17">
        <f>1121.36</f>
        <v>1121.36</v>
      </c>
      <c r="R4" s="17">
        <f>Q4/F4</f>
        <v>0.142744395166834</v>
      </c>
      <c r="S4" s="76">
        <f>7355.78/F4</f>
        <v>0.936359748056193</v>
      </c>
      <c r="T4" s="17">
        <f>26756.56/F4</f>
        <v>3.4059971587582</v>
      </c>
      <c r="U4" s="17">
        <v>0</v>
      </c>
      <c r="V4" s="77">
        <f>5447.1/F4</f>
        <v>0.693392839867001</v>
      </c>
      <c r="W4" s="77">
        <f>415.72/F4</f>
        <v>0.052919401404327</v>
      </c>
      <c r="X4" s="78"/>
    </row>
    <row r="5" s="1" customFormat="1" ht="15" customHeight="1" spans="1:24">
      <c r="A5" s="21"/>
      <c r="B5" s="22"/>
      <c r="C5" s="17"/>
      <c r="D5" s="18"/>
      <c r="E5" s="23"/>
      <c r="F5" s="18">
        <v>603.25</v>
      </c>
      <c r="G5" s="24"/>
      <c r="H5" s="25" t="s">
        <v>84</v>
      </c>
      <c r="I5" s="65">
        <v>90.335</v>
      </c>
      <c r="J5" s="17">
        <f t="shared" ref="J5:J24" si="0">I5/F5*1000</f>
        <v>149.7472026523</v>
      </c>
      <c r="K5" s="17">
        <f>1131.27</f>
        <v>1131.27</v>
      </c>
      <c r="L5" s="17">
        <f t="shared" ref="L5:L27" si="1">K5/F5</f>
        <v>1.87529216742644</v>
      </c>
      <c r="M5" s="17">
        <f>(1131.27+95.52)</f>
        <v>1226.79</v>
      </c>
      <c r="N5" s="17">
        <f t="shared" ref="N5:N27" si="2">M5/F5</f>
        <v>2.03363447990054</v>
      </c>
      <c r="O5" s="17">
        <v>4406.25</v>
      </c>
      <c r="P5" s="17">
        <f t="shared" ref="P5:P27" si="3">O5/F5</f>
        <v>7.3041856610029</v>
      </c>
      <c r="Q5" s="17">
        <v>97.6</v>
      </c>
      <c r="R5" s="17">
        <f t="shared" ref="R5:R27" si="4">Q5/F5</f>
        <v>0.161790302527973</v>
      </c>
      <c r="S5" s="76">
        <f>505.76/F5</f>
        <v>0.838392043099876</v>
      </c>
      <c r="T5" s="17">
        <f>2456.71/F5</f>
        <v>4.07245752175715</v>
      </c>
      <c r="U5" s="17">
        <v>0</v>
      </c>
      <c r="V5" s="77">
        <f>725.7/F5</f>
        <v>1.20298383754662</v>
      </c>
      <c r="W5" s="77">
        <v>0</v>
      </c>
      <c r="X5" s="78"/>
    </row>
    <row r="6" s="1" customFormat="1" ht="15" customHeight="1" spans="1:24">
      <c r="A6" s="26"/>
      <c r="B6" s="27"/>
      <c r="C6" s="17"/>
      <c r="D6" s="18"/>
      <c r="E6" s="28"/>
      <c r="F6" s="18">
        <v>8458.97</v>
      </c>
      <c r="G6" s="29"/>
      <c r="H6" s="30" t="s">
        <v>85</v>
      </c>
      <c r="I6" s="65">
        <v>390.618</v>
      </c>
      <c r="J6" s="17">
        <f t="shared" si="0"/>
        <v>46.1779625651823</v>
      </c>
      <c r="K6" s="17">
        <f>K4+K5</f>
        <v>3375.52</v>
      </c>
      <c r="L6" s="17">
        <f t="shared" si="1"/>
        <v>0.399046219575197</v>
      </c>
      <c r="M6" s="17">
        <f>M4+M5</f>
        <v>3794.05</v>
      </c>
      <c r="N6" s="17">
        <f t="shared" si="2"/>
        <v>0.448523874656134</v>
      </c>
      <c r="O6" s="17">
        <f>O4+O5</f>
        <v>32114.03</v>
      </c>
      <c r="P6" s="17">
        <f t="shared" si="3"/>
        <v>3.79644684872981</v>
      </c>
      <c r="Q6" s="17">
        <v>1218.96</v>
      </c>
      <c r="R6" s="17">
        <f t="shared" si="4"/>
        <v>0.144102650795546</v>
      </c>
      <c r="S6" s="76">
        <f>(7355.78+505.76)/F6</f>
        <v>0.929373197918896</v>
      </c>
      <c r="T6" s="17">
        <f>(26756.56+2456.71)/F6</f>
        <v>3.45352566565433</v>
      </c>
      <c r="U6" s="17">
        <v>0</v>
      </c>
      <c r="V6" s="77">
        <f>(5447.1+725.7)/F6</f>
        <v>0.729734234782722</v>
      </c>
      <c r="W6" s="77">
        <f>415.72/F6</f>
        <v>0.0491454633365528</v>
      </c>
      <c r="X6" s="78"/>
    </row>
    <row r="7" ht="15" customHeight="1" spans="1:24">
      <c r="A7" s="31">
        <v>2</v>
      </c>
      <c r="B7" s="32" t="s">
        <v>81</v>
      </c>
      <c r="C7" s="33" t="s">
        <v>12</v>
      </c>
      <c r="D7" s="34"/>
      <c r="E7" s="35">
        <v>5731.07</v>
      </c>
      <c r="F7" s="36">
        <v>5177.31</v>
      </c>
      <c r="G7" s="37" t="s">
        <v>82</v>
      </c>
      <c r="H7" s="34" t="s">
        <v>83</v>
      </c>
      <c r="I7" s="66">
        <v>190.696</v>
      </c>
      <c r="J7" s="33">
        <f t="shared" si="0"/>
        <v>36.8330271897955</v>
      </c>
      <c r="K7" s="33">
        <v>1574.63</v>
      </c>
      <c r="L7" s="33">
        <f t="shared" si="1"/>
        <v>0.30414056720575</v>
      </c>
      <c r="M7" s="33">
        <f>1574.63+196.27</f>
        <v>1770.9</v>
      </c>
      <c r="N7" s="33">
        <f t="shared" si="2"/>
        <v>0.342050215266229</v>
      </c>
      <c r="O7" s="33">
        <v>19294.91</v>
      </c>
      <c r="P7" s="33">
        <f t="shared" si="3"/>
        <v>3.72682145747502</v>
      </c>
      <c r="Q7" s="33">
        <v>665.75</v>
      </c>
      <c r="R7" s="33">
        <f t="shared" si="4"/>
        <v>0.128589943426219</v>
      </c>
      <c r="S7" s="79">
        <f>5509.3/F7</f>
        <v>1.0641240335232</v>
      </c>
      <c r="T7" s="33">
        <f>18379.29/F7</f>
        <v>3.54996899934522</v>
      </c>
      <c r="U7" s="33">
        <v>0</v>
      </c>
      <c r="V7" s="80">
        <f>3541.95/F7</f>
        <v>0.684129403107019</v>
      </c>
      <c r="W7" s="80">
        <f t="shared" ref="W7:W10" si="5">442.93/F7</f>
        <v>0.0855521496684572</v>
      </c>
      <c r="X7" s="81"/>
    </row>
    <row r="8" s="2" customFormat="1" ht="15" customHeight="1" spans="1:24">
      <c r="A8" s="38"/>
      <c r="B8" s="39"/>
      <c r="C8" s="40"/>
      <c r="D8" s="41"/>
      <c r="E8" s="42"/>
      <c r="F8" s="43">
        <v>553.76</v>
      </c>
      <c r="G8" s="44"/>
      <c r="H8" s="41" t="s">
        <v>84</v>
      </c>
      <c r="I8" s="67">
        <v>72.71</v>
      </c>
      <c r="J8" s="40">
        <f t="shared" si="0"/>
        <v>131.30236925744</v>
      </c>
      <c r="K8" s="40">
        <v>801.46</v>
      </c>
      <c r="L8" s="40">
        <f t="shared" si="1"/>
        <v>1.44730569199653</v>
      </c>
      <c r="M8" s="40">
        <f>801.46+74.96</f>
        <v>876.42</v>
      </c>
      <c r="N8" s="40">
        <f t="shared" si="2"/>
        <v>1.58267119329674</v>
      </c>
      <c r="O8" s="40">
        <v>4382.65</v>
      </c>
      <c r="P8" s="40">
        <f t="shared" si="3"/>
        <v>7.91434917653857</v>
      </c>
      <c r="Q8" s="40">
        <v>70.42</v>
      </c>
      <c r="R8" s="40">
        <f t="shared" si="4"/>
        <v>0.12716700375614</v>
      </c>
      <c r="S8" s="82">
        <f>544.2/F8</f>
        <v>0.982736203409419</v>
      </c>
      <c r="T8" s="40">
        <f>2287.45/F8</f>
        <v>4.1307606183184</v>
      </c>
      <c r="U8" s="40">
        <v>0</v>
      </c>
      <c r="V8" s="83">
        <f>805/F8</f>
        <v>1.45369835307715</v>
      </c>
      <c r="W8" s="83">
        <v>0</v>
      </c>
      <c r="X8" s="84"/>
    </row>
    <row r="9" ht="15" customHeight="1" spans="1:24">
      <c r="A9" s="45"/>
      <c r="B9" s="46"/>
      <c r="C9" s="33"/>
      <c r="D9" s="34"/>
      <c r="E9" s="47"/>
      <c r="F9" s="36">
        <v>5731.07</v>
      </c>
      <c r="G9" s="48"/>
      <c r="H9" s="49" t="s">
        <v>85</v>
      </c>
      <c r="I9" s="68">
        <v>263.406</v>
      </c>
      <c r="J9" s="33">
        <f t="shared" si="0"/>
        <v>45.9610509032345</v>
      </c>
      <c r="K9" s="33">
        <f>K7+K8</f>
        <v>2376.09</v>
      </c>
      <c r="L9" s="33">
        <f t="shared" si="1"/>
        <v>0.41459797210643</v>
      </c>
      <c r="M9" s="33">
        <f>M7+M8</f>
        <v>2647.32</v>
      </c>
      <c r="N9" s="33">
        <f t="shared" si="2"/>
        <v>0.461924213105057</v>
      </c>
      <c r="O9" s="33">
        <f>O7+O8</f>
        <v>23677.56</v>
      </c>
      <c r="P9" s="33">
        <f t="shared" si="3"/>
        <v>4.13143793392857</v>
      </c>
      <c r="Q9" s="33">
        <f>Q7+Q8</f>
        <v>736.17</v>
      </c>
      <c r="R9" s="33">
        <f t="shared" si="4"/>
        <v>0.128452453032331</v>
      </c>
      <c r="S9" s="79">
        <f>(5509.33+544.2)/F9</f>
        <v>1.05626523493868</v>
      </c>
      <c r="T9" s="33">
        <f>(18379.29+2287.45)/F9</f>
        <v>3.60608751943354</v>
      </c>
      <c r="U9" s="33">
        <v>0</v>
      </c>
      <c r="V9" s="80">
        <f>(3541.95+805)/F9</f>
        <v>0.758488380005828</v>
      </c>
      <c r="W9" s="80">
        <f t="shared" si="5"/>
        <v>0.07728574245298</v>
      </c>
      <c r="X9" s="81"/>
    </row>
    <row r="10" s="1" customFormat="1" ht="15" customHeight="1" spans="1:24">
      <c r="A10" s="15">
        <v>3</v>
      </c>
      <c r="B10" s="16" t="s">
        <v>81</v>
      </c>
      <c r="C10" s="17" t="s">
        <v>13</v>
      </c>
      <c r="D10" s="25"/>
      <c r="E10" s="19">
        <v>5731.07</v>
      </c>
      <c r="F10" s="18">
        <v>5177.31</v>
      </c>
      <c r="G10" s="20" t="s">
        <v>82</v>
      </c>
      <c r="H10" s="25" t="s">
        <v>83</v>
      </c>
      <c r="I10" s="69">
        <v>190.696</v>
      </c>
      <c r="J10" s="17">
        <f t="shared" si="0"/>
        <v>36.8330271897955</v>
      </c>
      <c r="K10" s="17">
        <v>1574.63</v>
      </c>
      <c r="L10" s="17">
        <f t="shared" si="1"/>
        <v>0.30414056720575</v>
      </c>
      <c r="M10" s="17">
        <f>1574.63+196.27</f>
        <v>1770.9</v>
      </c>
      <c r="N10" s="17">
        <f t="shared" si="2"/>
        <v>0.342050215266229</v>
      </c>
      <c r="O10" s="17">
        <v>19294.91</v>
      </c>
      <c r="P10" s="17">
        <f t="shared" si="3"/>
        <v>3.72682145747502</v>
      </c>
      <c r="Q10" s="17">
        <v>665.75</v>
      </c>
      <c r="R10" s="17">
        <f t="shared" si="4"/>
        <v>0.128589943426219</v>
      </c>
      <c r="S10" s="76">
        <v>1.0641240335232</v>
      </c>
      <c r="T10" s="17">
        <v>3.54996899934522</v>
      </c>
      <c r="U10" s="17">
        <v>0</v>
      </c>
      <c r="V10" s="77">
        <f>3541.95/F10</f>
        <v>0.684129403107019</v>
      </c>
      <c r="W10" s="77">
        <f t="shared" si="5"/>
        <v>0.0855521496684572</v>
      </c>
      <c r="X10" s="78"/>
    </row>
    <row r="11" s="1" customFormat="1" ht="15" customHeight="1" spans="1:24">
      <c r="A11" s="21"/>
      <c r="B11" s="22"/>
      <c r="C11" s="17"/>
      <c r="D11" s="25"/>
      <c r="E11" s="23"/>
      <c r="F11" s="18">
        <v>553.76</v>
      </c>
      <c r="G11" s="24"/>
      <c r="H11" s="25" t="s">
        <v>84</v>
      </c>
      <c r="I11" s="65">
        <v>72.71</v>
      </c>
      <c r="J11" s="17">
        <f t="shared" si="0"/>
        <v>131.30236925744</v>
      </c>
      <c r="K11" s="17">
        <v>801.46</v>
      </c>
      <c r="L11" s="17">
        <f t="shared" si="1"/>
        <v>1.44730569199653</v>
      </c>
      <c r="M11" s="17">
        <f>801.46+74.96</f>
        <v>876.42</v>
      </c>
      <c r="N11" s="17">
        <f t="shared" si="2"/>
        <v>1.58267119329674</v>
      </c>
      <c r="O11" s="17">
        <v>4382.65</v>
      </c>
      <c r="P11" s="17">
        <f t="shared" si="3"/>
        <v>7.91434917653857</v>
      </c>
      <c r="Q11" s="17">
        <v>70.42</v>
      </c>
      <c r="R11" s="17">
        <f t="shared" si="4"/>
        <v>0.12716700375614</v>
      </c>
      <c r="S11" s="76">
        <v>0.982736203409419</v>
      </c>
      <c r="T11" s="17">
        <v>4.1307606183184</v>
      </c>
      <c r="U11" s="17">
        <v>0</v>
      </c>
      <c r="V11" s="77">
        <f>805/F11</f>
        <v>1.45369835307715</v>
      </c>
      <c r="W11" s="77">
        <v>0</v>
      </c>
      <c r="X11" s="78"/>
    </row>
    <row r="12" s="1" customFormat="1" ht="15" customHeight="1" spans="1:24">
      <c r="A12" s="26"/>
      <c r="B12" s="27"/>
      <c r="C12" s="17"/>
      <c r="D12" s="25"/>
      <c r="E12" s="28"/>
      <c r="F12" s="18">
        <v>5731.07</v>
      </c>
      <c r="G12" s="29"/>
      <c r="H12" s="30" t="s">
        <v>85</v>
      </c>
      <c r="I12" s="65">
        <v>263.406</v>
      </c>
      <c r="J12" s="17">
        <f t="shared" si="0"/>
        <v>45.9610509032345</v>
      </c>
      <c r="K12" s="17">
        <f t="shared" ref="K12:O12" si="6">K10+K11</f>
        <v>2376.09</v>
      </c>
      <c r="L12" s="17">
        <f t="shared" si="1"/>
        <v>0.41459797210643</v>
      </c>
      <c r="M12" s="17">
        <f t="shared" si="6"/>
        <v>2647.32</v>
      </c>
      <c r="N12" s="17">
        <f t="shared" si="2"/>
        <v>0.461924213105057</v>
      </c>
      <c r="O12" s="17">
        <f t="shared" si="6"/>
        <v>23677.56</v>
      </c>
      <c r="P12" s="17">
        <f t="shared" si="3"/>
        <v>4.13143793392857</v>
      </c>
      <c r="Q12" s="17">
        <f>Q10+Q11</f>
        <v>736.17</v>
      </c>
      <c r="R12" s="17">
        <f t="shared" si="4"/>
        <v>0.128452453032331</v>
      </c>
      <c r="S12" s="76">
        <v>1.05626523493868</v>
      </c>
      <c r="T12" s="17">
        <v>3.60608751943354</v>
      </c>
      <c r="U12" s="17">
        <v>0</v>
      </c>
      <c r="V12" s="77">
        <f>(3541.95+805)/F12</f>
        <v>0.758488380005828</v>
      </c>
      <c r="W12" s="77">
        <f>442.93/F12</f>
        <v>0.07728574245298</v>
      </c>
      <c r="X12" s="78"/>
    </row>
    <row r="13" ht="15" customHeight="1" spans="1:24">
      <c r="A13" s="31">
        <v>4</v>
      </c>
      <c r="B13" s="32" t="s">
        <v>81</v>
      </c>
      <c r="C13" s="33" t="s">
        <v>8</v>
      </c>
      <c r="D13" s="34"/>
      <c r="E13" s="35">
        <v>10554.28</v>
      </c>
      <c r="F13" s="36">
        <v>9638.96</v>
      </c>
      <c r="G13" s="37" t="s">
        <v>82</v>
      </c>
      <c r="H13" s="34" t="s">
        <v>83</v>
      </c>
      <c r="I13" s="66">
        <v>344.768</v>
      </c>
      <c r="J13" s="33">
        <f t="shared" si="0"/>
        <v>35.7681741598679</v>
      </c>
      <c r="K13" s="33">
        <v>2869.69</v>
      </c>
      <c r="L13" s="33">
        <f t="shared" si="1"/>
        <v>0.297717803580469</v>
      </c>
      <c r="M13" s="33">
        <f>2869.69+435.57</f>
        <v>3305.26</v>
      </c>
      <c r="N13" s="33">
        <f t="shared" si="2"/>
        <v>0.342906288645248</v>
      </c>
      <c r="O13" s="33">
        <v>33878.69</v>
      </c>
      <c r="P13" s="33">
        <f t="shared" si="3"/>
        <v>3.51476611584652</v>
      </c>
      <c r="Q13" s="33">
        <v>1327.72</v>
      </c>
      <c r="R13" s="33">
        <f t="shared" si="4"/>
        <v>0.137745150929146</v>
      </c>
      <c r="S13" s="79">
        <f>6649.58/F13</f>
        <v>0.689864881688481</v>
      </c>
      <c r="T13" s="33">
        <f>32531.95/F13</f>
        <v>3.37504772299086</v>
      </c>
      <c r="U13" s="33">
        <v>0</v>
      </c>
      <c r="V13" s="80">
        <f>7132.67/F13</f>
        <v>0.739983359200578</v>
      </c>
      <c r="W13" s="80">
        <f>591.09/F13</f>
        <v>0.0613230058014558</v>
      </c>
      <c r="X13" s="81"/>
    </row>
    <row r="14" s="2" customFormat="1" ht="15" customHeight="1" spans="1:24">
      <c r="A14" s="38"/>
      <c r="B14" s="39"/>
      <c r="C14" s="40"/>
      <c r="D14" s="41"/>
      <c r="E14" s="42"/>
      <c r="F14" s="43">
        <v>915.32</v>
      </c>
      <c r="G14" s="44"/>
      <c r="H14" s="41" t="s">
        <v>84</v>
      </c>
      <c r="I14" s="67">
        <v>115.155</v>
      </c>
      <c r="J14" s="40">
        <f t="shared" si="0"/>
        <v>125.80846042914</v>
      </c>
      <c r="K14" s="40">
        <f>1525.76</f>
        <v>1525.76</v>
      </c>
      <c r="L14" s="40">
        <f t="shared" si="1"/>
        <v>1.66691430319451</v>
      </c>
      <c r="M14" s="40">
        <f>1525.76+129.9</f>
        <v>1655.66</v>
      </c>
      <c r="N14" s="40">
        <f t="shared" si="2"/>
        <v>1.8088318839313</v>
      </c>
      <c r="O14" s="40">
        <v>6851.81</v>
      </c>
      <c r="P14" s="40">
        <f t="shared" si="3"/>
        <v>7.48569899051698</v>
      </c>
      <c r="Q14" s="40">
        <v>146.42</v>
      </c>
      <c r="R14" s="40">
        <f t="shared" si="4"/>
        <v>0.159965913560285</v>
      </c>
      <c r="S14" s="82">
        <f>818.85/F14</f>
        <v>0.894605165406634</v>
      </c>
      <c r="T14" s="40">
        <f>3251.01/F14</f>
        <v>3.55177424288773</v>
      </c>
      <c r="U14" s="40">
        <v>0</v>
      </c>
      <c r="V14" s="83">
        <f>1139/F14</f>
        <v>1.24437355241883</v>
      </c>
      <c r="W14" s="83">
        <f>0</f>
        <v>0</v>
      </c>
      <c r="X14" s="84"/>
    </row>
    <row r="15" ht="15" customHeight="1" spans="1:24">
      <c r="A15" s="45"/>
      <c r="B15" s="46"/>
      <c r="C15" s="33"/>
      <c r="D15" s="34"/>
      <c r="E15" s="47"/>
      <c r="F15" s="36">
        <v>10554.28</v>
      </c>
      <c r="G15" s="48"/>
      <c r="H15" s="49" t="s">
        <v>85</v>
      </c>
      <c r="I15" s="68">
        <v>459.923</v>
      </c>
      <c r="J15" s="33">
        <f t="shared" si="0"/>
        <v>43.5769185581584</v>
      </c>
      <c r="K15" s="33">
        <f>K13+K14</f>
        <v>4395.45</v>
      </c>
      <c r="L15" s="33">
        <f t="shared" si="1"/>
        <v>0.416461378701342</v>
      </c>
      <c r="M15" s="33">
        <f>M13+M14</f>
        <v>4960.92</v>
      </c>
      <c r="N15" s="33">
        <f t="shared" si="2"/>
        <v>0.470038695202325</v>
      </c>
      <c r="O15" s="33">
        <f>O13+O14</f>
        <v>40730.5</v>
      </c>
      <c r="P15" s="33">
        <f t="shared" si="3"/>
        <v>3.85914529461034</v>
      </c>
      <c r="Q15" s="33">
        <f>Q13+Q14</f>
        <v>1474.14</v>
      </c>
      <c r="R15" s="33">
        <f t="shared" si="4"/>
        <v>0.139672246709392</v>
      </c>
      <c r="S15" s="79">
        <f>(6649.58+818.85)/F15</f>
        <v>0.707620984093657</v>
      </c>
      <c r="T15" s="33">
        <f>(32531.95+3251.01)/F15</f>
        <v>3.3903743315508</v>
      </c>
      <c r="U15" s="33">
        <v>0</v>
      </c>
      <c r="V15" s="80">
        <f>(7132.67+1139)/F15</f>
        <v>0.783726601909367</v>
      </c>
      <c r="W15" s="80">
        <f>591.09/F15</f>
        <v>0.0560047677340378</v>
      </c>
      <c r="X15" s="81"/>
    </row>
    <row r="16" s="1" customFormat="1" ht="15" customHeight="1" spans="1:24">
      <c r="A16" s="15">
        <v>5</v>
      </c>
      <c r="B16" s="16" t="s">
        <v>86</v>
      </c>
      <c r="C16" s="17" t="s">
        <v>14</v>
      </c>
      <c r="D16" s="25"/>
      <c r="E16" s="19">
        <v>4400.45</v>
      </c>
      <c r="F16" s="18">
        <v>3905.67</v>
      </c>
      <c r="G16" s="20" t="s">
        <v>82</v>
      </c>
      <c r="H16" s="25" t="s">
        <v>83</v>
      </c>
      <c r="I16" s="69">
        <v>166.45</v>
      </c>
      <c r="J16" s="17">
        <f t="shared" si="0"/>
        <v>42.6175278505352</v>
      </c>
      <c r="K16" s="17">
        <v>1179.86</v>
      </c>
      <c r="L16" s="17">
        <f t="shared" si="1"/>
        <v>0.302089014176825</v>
      </c>
      <c r="M16" s="17">
        <f>1179.86+161.5</f>
        <v>1341.36</v>
      </c>
      <c r="N16" s="17">
        <f t="shared" si="2"/>
        <v>0.343439153845563</v>
      </c>
      <c r="O16" s="17">
        <v>13583.57</v>
      </c>
      <c r="P16" s="17">
        <f t="shared" si="3"/>
        <v>3.47791032012433</v>
      </c>
      <c r="Q16" s="17">
        <v>537.18</v>
      </c>
      <c r="R16" s="17">
        <f t="shared" si="4"/>
        <v>0.137538501716735</v>
      </c>
      <c r="S16" s="76">
        <f>2972.19/F16</f>
        <v>0.760993632334529</v>
      </c>
      <c r="T16" s="17">
        <f>13679.02/F16</f>
        <v>3.50234914880161</v>
      </c>
      <c r="U16" s="17">
        <v>0</v>
      </c>
      <c r="V16" s="77">
        <f>3287.12/F16</f>
        <v>0.841627684878651</v>
      </c>
      <c r="W16" s="77">
        <f>442.93/F16</f>
        <v>0.113406918659283</v>
      </c>
      <c r="X16" s="78"/>
    </row>
    <row r="17" s="1" customFormat="1" ht="15" customHeight="1" spans="1:24">
      <c r="A17" s="21"/>
      <c r="B17" s="22"/>
      <c r="C17" s="17"/>
      <c r="D17" s="25"/>
      <c r="E17" s="23"/>
      <c r="F17" s="18">
        <v>494.78</v>
      </c>
      <c r="G17" s="24"/>
      <c r="H17" s="25" t="s">
        <v>84</v>
      </c>
      <c r="I17" s="65">
        <v>55.154</v>
      </c>
      <c r="J17" s="17">
        <f t="shared" si="0"/>
        <v>111.471765228991</v>
      </c>
      <c r="K17" s="17">
        <v>577.29</v>
      </c>
      <c r="L17" s="17">
        <f t="shared" si="1"/>
        <v>1.16676098468006</v>
      </c>
      <c r="M17" s="17">
        <f>577.29+95.48</f>
        <v>672.77</v>
      </c>
      <c r="N17" s="17">
        <f t="shared" si="2"/>
        <v>1.35973564008246</v>
      </c>
      <c r="O17" s="17">
        <v>3452.02</v>
      </c>
      <c r="P17" s="17">
        <f t="shared" si="3"/>
        <v>6.97687861271676</v>
      </c>
      <c r="Q17" s="17">
        <v>142.37</v>
      </c>
      <c r="R17" s="17">
        <f t="shared" si="4"/>
        <v>0.287744047859655</v>
      </c>
      <c r="S17" s="76">
        <f>436.53/F17</f>
        <v>0.882270908282469</v>
      </c>
      <c r="T17" s="17">
        <f>2244.86/F17</f>
        <v>4.53708719026638</v>
      </c>
      <c r="U17" s="17">
        <v>0</v>
      </c>
      <c r="V17" s="77">
        <v>0</v>
      </c>
      <c r="W17" s="77">
        <v>0</v>
      </c>
      <c r="X17" s="78"/>
    </row>
    <row r="18" s="1" customFormat="1" ht="15" customHeight="1" spans="1:24">
      <c r="A18" s="26"/>
      <c r="B18" s="27"/>
      <c r="C18" s="17"/>
      <c r="D18" s="25"/>
      <c r="E18" s="28"/>
      <c r="F18" s="18">
        <v>4400.45</v>
      </c>
      <c r="G18" s="29"/>
      <c r="H18" s="30" t="s">
        <v>85</v>
      </c>
      <c r="I18" s="65">
        <v>221.604</v>
      </c>
      <c r="J18" s="17">
        <f t="shared" si="0"/>
        <v>50.3593950618687</v>
      </c>
      <c r="K18" s="17">
        <f>K16+K17</f>
        <v>1757.15</v>
      </c>
      <c r="L18" s="17">
        <f t="shared" si="1"/>
        <v>0.39931143405788</v>
      </c>
      <c r="M18" s="17">
        <f>M16+M17</f>
        <v>2014.13</v>
      </c>
      <c r="N18" s="17">
        <f t="shared" si="2"/>
        <v>0.457710006931109</v>
      </c>
      <c r="O18" s="17">
        <f>O16+O17</f>
        <v>17035.59</v>
      </c>
      <c r="P18" s="17">
        <f t="shared" si="3"/>
        <v>3.87132906861798</v>
      </c>
      <c r="Q18" s="17">
        <f>Q16+Q17</f>
        <v>679.55</v>
      </c>
      <c r="R18" s="17">
        <f t="shared" si="4"/>
        <v>0.154427388108034</v>
      </c>
      <c r="S18" s="76">
        <f>(2972.19+436.53)/F18</f>
        <v>0.774629867399925</v>
      </c>
      <c r="T18" s="17">
        <f>(13679.02+2244.86)/F18</f>
        <v>3.61869354270586</v>
      </c>
      <c r="U18" s="17">
        <v>0</v>
      </c>
      <c r="V18" s="77">
        <f>3287.12/F18</f>
        <v>0.746996329920804</v>
      </c>
      <c r="W18" s="77">
        <f>442.93/F18</f>
        <v>0.100655614766672</v>
      </c>
      <c r="X18" s="78"/>
    </row>
    <row r="19" s="3" customFormat="1" ht="15" customHeight="1" spans="1:24">
      <c r="A19" s="31">
        <v>6</v>
      </c>
      <c r="B19" s="32" t="s">
        <v>86</v>
      </c>
      <c r="C19" s="33" t="s">
        <v>15</v>
      </c>
      <c r="D19" s="34"/>
      <c r="E19" s="35">
        <v>5003.55</v>
      </c>
      <c r="F19" s="36">
        <v>4490.11</v>
      </c>
      <c r="G19" s="37" t="s">
        <v>82</v>
      </c>
      <c r="H19" s="34" t="s">
        <v>83</v>
      </c>
      <c r="I19" s="66">
        <v>152.932</v>
      </c>
      <c r="J19" s="33">
        <f t="shared" si="0"/>
        <v>34.0597446387728</v>
      </c>
      <c r="K19" s="33">
        <v>1614.49</v>
      </c>
      <c r="L19" s="33">
        <f t="shared" si="1"/>
        <v>0.359565801283265</v>
      </c>
      <c r="M19" s="33">
        <f>1614.49+168.37</f>
        <v>1782.86</v>
      </c>
      <c r="N19" s="33">
        <f t="shared" si="2"/>
        <v>0.397063769039066</v>
      </c>
      <c r="O19" s="33">
        <v>1722.87</v>
      </c>
      <c r="P19" s="33">
        <f t="shared" si="3"/>
        <v>0.383703294574075</v>
      </c>
      <c r="Q19" s="33">
        <v>603.43</v>
      </c>
      <c r="R19" s="33">
        <f t="shared" si="4"/>
        <v>0.134390916926311</v>
      </c>
      <c r="S19" s="79">
        <f>3350.34/F19</f>
        <v>0.746159893632895</v>
      </c>
      <c r="T19" s="33">
        <f>15601.03/F19</f>
        <v>3.47453180434332</v>
      </c>
      <c r="U19" s="33">
        <v>0</v>
      </c>
      <c r="V19" s="80">
        <f>3346.71/F19</f>
        <v>0.745351450187189</v>
      </c>
      <c r="W19" s="80">
        <f>451.29/F19</f>
        <v>0.10050755994842</v>
      </c>
      <c r="X19" s="81"/>
    </row>
    <row r="20" s="3" customFormat="1" ht="15" customHeight="1" spans="1:24">
      <c r="A20" s="50"/>
      <c r="B20" s="51"/>
      <c r="C20" s="33"/>
      <c r="D20" s="34"/>
      <c r="E20" s="52"/>
      <c r="F20" s="36">
        <v>513.44</v>
      </c>
      <c r="G20" s="53"/>
      <c r="H20" s="34" t="s">
        <v>84</v>
      </c>
      <c r="I20" s="68">
        <v>69.334</v>
      </c>
      <c r="J20" s="33">
        <f t="shared" si="0"/>
        <v>135.038173885946</v>
      </c>
      <c r="K20" s="33">
        <v>724.1</v>
      </c>
      <c r="L20" s="33">
        <f t="shared" si="1"/>
        <v>1.41029136802742</v>
      </c>
      <c r="M20" s="33">
        <f>724.1+74.95</f>
        <v>799.05</v>
      </c>
      <c r="N20" s="33">
        <f t="shared" si="2"/>
        <v>1.55626752882518</v>
      </c>
      <c r="O20" s="33">
        <v>4258.72</v>
      </c>
      <c r="P20" s="33">
        <f t="shared" si="3"/>
        <v>8.29448426301028</v>
      </c>
      <c r="Q20" s="33">
        <v>115.82</v>
      </c>
      <c r="R20" s="33">
        <f t="shared" si="4"/>
        <v>0.225576503583671</v>
      </c>
      <c r="S20" s="79">
        <f>455.54/F20</f>
        <v>0.887231224680586</v>
      </c>
      <c r="T20" s="33">
        <f>2421.36/F20</f>
        <v>4.71595512620754</v>
      </c>
      <c r="U20" s="33">
        <v>0</v>
      </c>
      <c r="V20" s="80">
        <f>343.2/F20</f>
        <v>0.668432533499532</v>
      </c>
      <c r="W20" s="80">
        <v>0</v>
      </c>
      <c r="X20" s="81"/>
    </row>
    <row r="21" s="3" customFormat="1" ht="15" customHeight="1" spans="1:24">
      <c r="A21" s="45"/>
      <c r="B21" s="46"/>
      <c r="C21" s="33"/>
      <c r="D21" s="34"/>
      <c r="E21" s="47"/>
      <c r="F21" s="36">
        <v>5003.55</v>
      </c>
      <c r="G21" s="48"/>
      <c r="H21" s="49" t="s">
        <v>85</v>
      </c>
      <c r="I21" s="68">
        <v>222.266</v>
      </c>
      <c r="J21" s="33">
        <f t="shared" si="0"/>
        <v>44.4216606209591</v>
      </c>
      <c r="K21" s="33">
        <f>K19+K20</f>
        <v>2338.59</v>
      </c>
      <c r="L21" s="33">
        <f t="shared" si="1"/>
        <v>0.467386155829361</v>
      </c>
      <c r="M21" s="33">
        <f>M19+M20</f>
        <v>2581.91</v>
      </c>
      <c r="N21" s="33">
        <f t="shared" si="2"/>
        <v>0.516015628903479</v>
      </c>
      <c r="O21" s="33">
        <f>O19+O20</f>
        <v>5981.59</v>
      </c>
      <c r="P21" s="33">
        <f t="shared" si="3"/>
        <v>1.19546921685603</v>
      </c>
      <c r="Q21" s="33">
        <f>Q19+Q20</f>
        <v>719.25</v>
      </c>
      <c r="R21" s="33">
        <f t="shared" si="4"/>
        <v>0.143747938963336</v>
      </c>
      <c r="S21" s="79">
        <f>(3350.34+445.54)/F21</f>
        <v>0.758637367469097</v>
      </c>
      <c r="T21" s="33">
        <f>(15601.03+2421.36)/F21</f>
        <v>3.60192063634819</v>
      </c>
      <c r="U21" s="33">
        <v>0</v>
      </c>
      <c r="V21" s="80">
        <f>(3346.71+343.2)/F21</f>
        <v>0.737458404532782</v>
      </c>
      <c r="W21" s="80">
        <f>451.29/F21</f>
        <v>0.0901939622867764</v>
      </c>
      <c r="X21" s="81"/>
    </row>
    <row r="22" s="4" customFormat="1" ht="17.4" spans="1:24">
      <c r="A22" s="15">
        <v>8</v>
      </c>
      <c r="B22" s="16" t="s">
        <v>87</v>
      </c>
      <c r="C22" s="16" t="s">
        <v>9</v>
      </c>
      <c r="D22" s="16"/>
      <c r="E22" s="16">
        <f>F24</f>
        <v>14945.87</v>
      </c>
      <c r="F22" s="16">
        <v>14051.03</v>
      </c>
      <c r="G22" s="16" t="s">
        <v>88</v>
      </c>
      <c r="H22" s="17" t="s">
        <v>83</v>
      </c>
      <c r="I22" s="17">
        <v>558.96</v>
      </c>
      <c r="J22" s="17">
        <f>I22/F22</f>
        <v>0.0397807135846981</v>
      </c>
      <c r="K22" s="70">
        <v>4553.51</v>
      </c>
      <c r="L22" s="17">
        <f t="shared" si="1"/>
        <v>0.324069481027369</v>
      </c>
      <c r="M22" s="17">
        <v>5006.62</v>
      </c>
      <c r="N22" s="17">
        <f t="shared" si="2"/>
        <v>0.356316939042903</v>
      </c>
      <c r="O22" s="17">
        <v>46195.98</v>
      </c>
      <c r="P22" s="17">
        <f t="shared" si="3"/>
        <v>3.28772908462938</v>
      </c>
      <c r="Q22" s="70">
        <v>1892.31</v>
      </c>
      <c r="R22" s="17">
        <f t="shared" si="4"/>
        <v>0.13467411285863</v>
      </c>
      <c r="S22" s="76">
        <v>1.21504900352501</v>
      </c>
      <c r="T22" s="17">
        <v>3.2900911890445</v>
      </c>
      <c r="U22" s="70">
        <v>2.3748436947327</v>
      </c>
      <c r="V22" s="70">
        <v>0.918631587862242</v>
      </c>
      <c r="W22" s="70">
        <v>0.0601066256352737</v>
      </c>
      <c r="X22" s="78"/>
    </row>
    <row r="23" s="4" customFormat="1" ht="17.4" spans="1:24">
      <c r="A23" s="21"/>
      <c r="B23" s="22"/>
      <c r="C23" s="22"/>
      <c r="D23" s="22"/>
      <c r="E23" s="22"/>
      <c r="F23" s="22">
        <v>894.84</v>
      </c>
      <c r="G23" s="22"/>
      <c r="H23" s="25" t="s">
        <v>84</v>
      </c>
      <c r="I23" s="17">
        <v>103.275</v>
      </c>
      <c r="J23" s="17">
        <f>I23/F23</f>
        <v>0.115411693710607</v>
      </c>
      <c r="K23" s="17">
        <v>1531.09</v>
      </c>
      <c r="L23" s="17">
        <f t="shared" si="1"/>
        <v>1.71102096464172</v>
      </c>
      <c r="M23" s="17">
        <v>1539.44</v>
      </c>
      <c r="N23" s="17">
        <f t="shared" si="2"/>
        <v>1.72035224174154</v>
      </c>
      <c r="O23" s="17">
        <v>4130.64</v>
      </c>
      <c r="P23" s="17">
        <f t="shared" si="3"/>
        <v>4.6160654418667</v>
      </c>
      <c r="Q23" s="17">
        <v>77.43</v>
      </c>
      <c r="R23" s="17">
        <f t="shared" si="4"/>
        <v>0.0865294354297975</v>
      </c>
      <c r="S23" s="76">
        <v>0.855951902016003</v>
      </c>
      <c r="T23" s="17">
        <v>2.43606678288856</v>
      </c>
      <c r="U23" s="17">
        <v>1.52698806490546</v>
      </c>
      <c r="V23" s="77">
        <v>0</v>
      </c>
      <c r="W23" s="77">
        <v>0</v>
      </c>
      <c r="X23" s="78"/>
    </row>
    <row r="24" s="4" customFormat="1" ht="17.4" spans="1:24">
      <c r="A24" s="26"/>
      <c r="B24" s="27"/>
      <c r="C24" s="27"/>
      <c r="D24" s="27"/>
      <c r="E24" s="27"/>
      <c r="F24" s="27">
        <f t="shared" ref="F24:K24" si="7">F23+F22</f>
        <v>14945.87</v>
      </c>
      <c r="G24" s="27"/>
      <c r="H24" s="30" t="s">
        <v>85</v>
      </c>
      <c r="I24" s="17">
        <f t="shared" si="7"/>
        <v>662.235</v>
      </c>
      <c r="J24" s="17">
        <f>I24/F24</f>
        <v>0.0443088960361625</v>
      </c>
      <c r="K24" s="17">
        <f t="shared" si="7"/>
        <v>6084.6</v>
      </c>
      <c r="L24" s="17">
        <f t="shared" si="1"/>
        <v>0.407109121115064</v>
      </c>
      <c r="M24" s="17">
        <f t="shared" ref="M24:Q24" si="8">M23+M22</f>
        <v>6546.06</v>
      </c>
      <c r="N24" s="17">
        <f t="shared" si="2"/>
        <v>0.437984540210774</v>
      </c>
      <c r="O24" s="17">
        <f t="shared" si="8"/>
        <v>50326.62</v>
      </c>
      <c r="P24" s="17">
        <f t="shared" si="3"/>
        <v>3.36725931645331</v>
      </c>
      <c r="Q24" s="17">
        <f t="shared" si="8"/>
        <v>1969.74</v>
      </c>
      <c r="R24" s="17">
        <f t="shared" si="4"/>
        <v>0.131791591924726</v>
      </c>
      <c r="S24" s="17">
        <v>1.19354912092772</v>
      </c>
      <c r="T24" s="17">
        <v>3.23895899000861</v>
      </c>
      <c r="U24" s="17">
        <v>2.3240808330328</v>
      </c>
      <c r="V24" s="17">
        <v>0.863631223876562</v>
      </c>
      <c r="W24" s="17">
        <v>0.0565079182409589</v>
      </c>
      <c r="X24" s="78"/>
    </row>
    <row r="25" s="3" customFormat="1" ht="15" customHeight="1" spans="1:24">
      <c r="A25" s="31">
        <v>7</v>
      </c>
      <c r="B25" s="32" t="s">
        <v>86</v>
      </c>
      <c r="C25" s="33" t="s">
        <v>16</v>
      </c>
      <c r="D25" s="34"/>
      <c r="E25" s="35">
        <v>5003.3</v>
      </c>
      <c r="F25" s="36">
        <v>4490.11</v>
      </c>
      <c r="G25" s="37" t="s">
        <v>89</v>
      </c>
      <c r="H25" s="34" t="s">
        <v>83</v>
      </c>
      <c r="I25" s="66">
        <v>152.932</v>
      </c>
      <c r="J25" s="33">
        <f>I25/F25*1000</f>
        <v>34.0597446387728</v>
      </c>
      <c r="K25" s="33">
        <v>1614.49</v>
      </c>
      <c r="L25" s="33">
        <f t="shared" si="1"/>
        <v>0.359565801283265</v>
      </c>
      <c r="M25" s="33">
        <f>1614.49+168.37</f>
        <v>1782.86</v>
      </c>
      <c r="N25" s="33">
        <f t="shared" si="2"/>
        <v>0.397063769039066</v>
      </c>
      <c r="O25" s="33">
        <v>1722.87</v>
      </c>
      <c r="P25" s="33">
        <f t="shared" si="3"/>
        <v>0.383703294574075</v>
      </c>
      <c r="Q25" s="33">
        <v>603.43</v>
      </c>
      <c r="R25" s="33">
        <f t="shared" si="4"/>
        <v>0.134390916926311</v>
      </c>
      <c r="S25" s="79">
        <f>3350.34/F19</f>
        <v>0.746159893632895</v>
      </c>
      <c r="T25" s="33">
        <f>15601.03/F19</f>
        <v>3.47453180434332</v>
      </c>
      <c r="U25" s="33">
        <v>0</v>
      </c>
      <c r="V25" s="80">
        <f>3346.71/F25</f>
        <v>0.745351450187189</v>
      </c>
      <c r="W25" s="80">
        <f>451.29/F25</f>
        <v>0.10050755994842</v>
      </c>
      <c r="X25" s="81"/>
    </row>
    <row r="26" s="3" customFormat="1" ht="15" customHeight="1" spans="1:24">
      <c r="A26" s="50"/>
      <c r="B26" s="51"/>
      <c r="C26" s="33"/>
      <c r="D26" s="34"/>
      <c r="E26" s="52"/>
      <c r="F26" s="36">
        <v>513.19</v>
      </c>
      <c r="G26" s="53"/>
      <c r="H26" s="34" t="s">
        <v>84</v>
      </c>
      <c r="I26" s="68">
        <v>56.264</v>
      </c>
      <c r="J26" s="33">
        <f>I26/F26*1000</f>
        <v>109.635807400768</v>
      </c>
      <c r="K26" s="33">
        <v>599.22</v>
      </c>
      <c r="L26" s="33">
        <f t="shared" si="1"/>
        <v>1.16763771702488</v>
      </c>
      <c r="M26" s="33">
        <f>599.22+86.73</f>
        <v>685.95</v>
      </c>
      <c r="N26" s="33">
        <f t="shared" si="2"/>
        <v>1.33663945127536</v>
      </c>
      <c r="O26" s="33">
        <v>3558.74</v>
      </c>
      <c r="P26" s="33">
        <f t="shared" si="3"/>
        <v>6.93454665913209</v>
      </c>
      <c r="Q26" s="33">
        <v>154.73</v>
      </c>
      <c r="R26" s="33">
        <f t="shared" si="4"/>
        <v>0.301506264736257</v>
      </c>
      <c r="S26" s="79">
        <f>472.67/F26</f>
        <v>0.921042888598764</v>
      </c>
      <c r="T26" s="33">
        <f>2455.58/F26</f>
        <v>4.78493345544535</v>
      </c>
      <c r="U26" s="33">
        <v>0</v>
      </c>
      <c r="V26" s="80">
        <f>343.2/F26</f>
        <v>0.668758159745903</v>
      </c>
      <c r="W26" s="80">
        <v>0</v>
      </c>
      <c r="X26" s="81"/>
    </row>
    <row r="27" s="3" customFormat="1" ht="15" customHeight="1" spans="1:24">
      <c r="A27" s="45"/>
      <c r="B27" s="46"/>
      <c r="C27" s="33"/>
      <c r="D27" s="34"/>
      <c r="E27" s="47"/>
      <c r="F27" s="36">
        <v>5003.3</v>
      </c>
      <c r="G27" s="48"/>
      <c r="H27" s="49" t="s">
        <v>85</v>
      </c>
      <c r="I27" s="68">
        <v>209.196</v>
      </c>
      <c r="J27" s="33">
        <f>I27/F27*1000</f>
        <v>41.8116043411349</v>
      </c>
      <c r="K27" s="33">
        <f>K25+K26</f>
        <v>2213.71</v>
      </c>
      <c r="L27" s="33">
        <f t="shared" si="1"/>
        <v>0.442449983011213</v>
      </c>
      <c r="M27" s="33">
        <f>M25+M26</f>
        <v>2468.81</v>
      </c>
      <c r="N27" s="33">
        <f t="shared" si="2"/>
        <v>0.493436332020866</v>
      </c>
      <c r="O27" s="33">
        <f>O25+O26</f>
        <v>5281.61</v>
      </c>
      <c r="P27" s="33">
        <f t="shared" si="3"/>
        <v>1.05562528731038</v>
      </c>
      <c r="Q27" s="33">
        <f>Q25+Q26</f>
        <v>758.16</v>
      </c>
      <c r="R27" s="33">
        <f t="shared" si="4"/>
        <v>0.151531988887334</v>
      </c>
      <c r="S27" s="79">
        <f>(3350.34+472.67)/F27</f>
        <v>0.764097695520956</v>
      </c>
      <c r="T27" s="33">
        <f>(15601.03+2455.58)/F27</f>
        <v>3.60894009953431</v>
      </c>
      <c r="U27" s="33">
        <v>0</v>
      </c>
      <c r="V27" s="80">
        <f>(3346.71+343.2)/F27</f>
        <v>0.737495253132932</v>
      </c>
      <c r="W27" s="80">
        <f>451.29/F27</f>
        <v>0.0901984690104531</v>
      </c>
      <c r="X27" s="81"/>
    </row>
    <row r="28" s="4" customFormat="1" ht="17.4" spans="1:24">
      <c r="A28" s="15">
        <v>9</v>
      </c>
      <c r="B28" s="16" t="s">
        <v>90</v>
      </c>
      <c r="C28" s="16" t="s">
        <v>17</v>
      </c>
      <c r="D28" s="16"/>
      <c r="E28" s="16">
        <f>F30</f>
        <v>2481.48</v>
      </c>
      <c r="F28" s="16">
        <v>2198.03</v>
      </c>
      <c r="G28" s="16" t="s">
        <v>88</v>
      </c>
      <c r="H28" s="17" t="s">
        <v>83</v>
      </c>
      <c r="I28" s="17">
        <v>90.879</v>
      </c>
      <c r="J28" s="17">
        <f t="shared" ref="J28:J36" si="9">I28/F28</f>
        <v>0.0413456595223905</v>
      </c>
      <c r="K28" s="17">
        <v>760.656</v>
      </c>
      <c r="L28" s="17">
        <f t="shared" ref="L28:L36" si="10">K28/F28</f>
        <v>0.34606261061041</v>
      </c>
      <c r="M28" s="17">
        <v>814.076</v>
      </c>
      <c r="N28" s="17">
        <f t="shared" ref="N28:N36" si="11">M28/F28</f>
        <v>0.370366191544246</v>
      </c>
      <c r="O28" s="17">
        <v>8987.585</v>
      </c>
      <c r="P28" s="17">
        <f t="shared" ref="P28:P36" si="12">O28/F28</f>
        <v>4.08892735767938</v>
      </c>
      <c r="Q28" s="70">
        <v>288.17</v>
      </c>
      <c r="R28" s="17">
        <f t="shared" ref="R28:R36" si="13">Q28/F28</f>
        <v>0.131103761095162</v>
      </c>
      <c r="S28" s="76">
        <v>3.06891170730154</v>
      </c>
      <c r="T28" s="17">
        <v>3.53538395745281</v>
      </c>
      <c r="U28" s="17">
        <v>0.476594950933336</v>
      </c>
      <c r="V28" s="77">
        <v>1.35647375149566</v>
      </c>
      <c r="W28" s="77">
        <v>0.0762546462059208</v>
      </c>
      <c r="X28" s="78"/>
    </row>
    <row r="29" s="4" customFormat="1" ht="17.4" spans="1:24">
      <c r="A29" s="21"/>
      <c r="B29" s="22"/>
      <c r="C29" s="22"/>
      <c r="D29" s="22"/>
      <c r="E29" s="22"/>
      <c r="F29" s="22">
        <v>283.45</v>
      </c>
      <c r="G29" s="22"/>
      <c r="H29" s="25" t="s">
        <v>84</v>
      </c>
      <c r="I29" s="17">
        <v>37.856</v>
      </c>
      <c r="J29" s="17">
        <f t="shared" si="9"/>
        <v>0.133554418768742</v>
      </c>
      <c r="K29" s="17">
        <v>448.14</v>
      </c>
      <c r="L29" s="17">
        <f t="shared" si="10"/>
        <v>1.58101958017287</v>
      </c>
      <c r="M29" s="17">
        <v>455.27</v>
      </c>
      <c r="N29" s="17">
        <f t="shared" si="11"/>
        <v>1.60617392838243</v>
      </c>
      <c r="O29" s="70">
        <v>4846.82</v>
      </c>
      <c r="P29" s="17">
        <f t="shared" si="12"/>
        <v>17.0993826071618</v>
      </c>
      <c r="Q29" s="17">
        <v>45.68</v>
      </c>
      <c r="R29" s="17">
        <f t="shared" si="13"/>
        <v>0.161157170576821</v>
      </c>
      <c r="S29" s="76">
        <v>3.99491973893103</v>
      </c>
      <c r="T29" s="17">
        <v>4.25821132474863</v>
      </c>
      <c r="U29" s="17">
        <v>2.05849356147469</v>
      </c>
      <c r="V29" s="77">
        <v>0</v>
      </c>
      <c r="W29" s="77">
        <v>0</v>
      </c>
      <c r="X29" s="78"/>
    </row>
    <row r="30" s="4" customFormat="1" ht="17.4" spans="1:24">
      <c r="A30" s="26"/>
      <c r="B30" s="27"/>
      <c r="C30" s="27"/>
      <c r="D30" s="27"/>
      <c r="E30" s="27"/>
      <c r="F30" s="27">
        <f t="shared" ref="F30:K30" si="14">F29+F28</f>
        <v>2481.48</v>
      </c>
      <c r="G30" s="27"/>
      <c r="H30" s="30" t="s">
        <v>85</v>
      </c>
      <c r="I30" s="17">
        <f t="shared" si="14"/>
        <v>128.735</v>
      </c>
      <c r="J30" s="17">
        <f t="shared" si="9"/>
        <v>0.0518783145542177</v>
      </c>
      <c r="K30" s="17">
        <f t="shared" si="14"/>
        <v>1208.796</v>
      </c>
      <c r="L30" s="17">
        <f t="shared" si="10"/>
        <v>0.487127037090768</v>
      </c>
      <c r="M30" s="17">
        <f t="shared" ref="M30:Q30" si="15">M29+M28</f>
        <v>1269.346</v>
      </c>
      <c r="N30" s="17">
        <f t="shared" si="11"/>
        <v>0.511527797927044</v>
      </c>
      <c r="O30" s="17">
        <f t="shared" si="15"/>
        <v>13834.405</v>
      </c>
      <c r="P30" s="17">
        <f t="shared" si="12"/>
        <v>5.57506205973854</v>
      </c>
      <c r="Q30" s="17">
        <f t="shared" si="15"/>
        <v>333.85</v>
      </c>
      <c r="R30" s="17">
        <f t="shared" si="13"/>
        <v>0.134536647484566</v>
      </c>
      <c r="S30" s="17">
        <v>3.17468607443945</v>
      </c>
      <c r="T30" s="17">
        <v>3.61794977191031</v>
      </c>
      <c r="U30" s="17">
        <v>0.657289198381611</v>
      </c>
      <c r="V30" s="17">
        <v>1.20152892628593</v>
      </c>
      <c r="W30" s="17">
        <v>0.0675443686832052</v>
      </c>
      <c r="X30" s="78"/>
    </row>
    <row r="31" s="5" customFormat="1" ht="17.4" spans="1:24">
      <c r="A31" s="31">
        <v>10</v>
      </c>
      <c r="B31" s="32" t="s">
        <v>87</v>
      </c>
      <c r="C31" s="32" t="s">
        <v>10</v>
      </c>
      <c r="D31" s="32"/>
      <c r="E31" s="32">
        <f>F33</f>
        <v>6953.92</v>
      </c>
      <c r="F31" s="32">
        <v>6413.32</v>
      </c>
      <c r="G31" s="32" t="s">
        <v>88</v>
      </c>
      <c r="H31" s="34" t="s">
        <v>83</v>
      </c>
      <c r="I31" s="34">
        <v>240.993</v>
      </c>
      <c r="J31" s="33">
        <f t="shared" si="9"/>
        <v>0.0375769492244267</v>
      </c>
      <c r="K31" s="33">
        <v>2002.59</v>
      </c>
      <c r="L31" s="33">
        <f t="shared" si="10"/>
        <v>0.312254807182551</v>
      </c>
      <c r="M31" s="33">
        <v>2133.69</v>
      </c>
      <c r="N31" s="33">
        <f t="shared" si="11"/>
        <v>0.332696637622947</v>
      </c>
      <c r="O31" s="33">
        <v>22511.39</v>
      </c>
      <c r="P31" s="33">
        <f t="shared" si="12"/>
        <v>3.51009929334572</v>
      </c>
      <c r="Q31" s="73">
        <v>972.99</v>
      </c>
      <c r="R31" s="33">
        <f t="shared" si="13"/>
        <v>0.151713932877199</v>
      </c>
      <c r="S31" s="79">
        <v>0.713189112659278</v>
      </c>
      <c r="T31" s="79">
        <v>3.3581842165992</v>
      </c>
      <c r="U31" s="73">
        <v>2.3286628454529</v>
      </c>
      <c r="V31" s="80">
        <v>0.999522868030911</v>
      </c>
      <c r="W31" s="73">
        <v>0.0612724766579556</v>
      </c>
      <c r="X31" s="81"/>
    </row>
    <row r="32" s="5" customFormat="1" ht="17.4" spans="1:24">
      <c r="A32" s="50"/>
      <c r="B32" s="51"/>
      <c r="C32" s="51"/>
      <c r="D32" s="51"/>
      <c r="E32" s="51"/>
      <c r="F32" s="51">
        <v>540.6</v>
      </c>
      <c r="G32" s="51"/>
      <c r="H32" s="34" t="s">
        <v>84</v>
      </c>
      <c r="I32" s="33">
        <v>55.934</v>
      </c>
      <c r="J32" s="33">
        <f t="shared" si="9"/>
        <v>0.103466518682945</v>
      </c>
      <c r="K32" s="71">
        <v>802.08</v>
      </c>
      <c r="L32" s="33">
        <f t="shared" si="10"/>
        <v>1.48368479467259</v>
      </c>
      <c r="M32" s="71">
        <v>811.12</v>
      </c>
      <c r="N32" s="33">
        <f t="shared" si="11"/>
        <v>1.50040695523492</v>
      </c>
      <c r="O32" s="33">
        <v>3228.64</v>
      </c>
      <c r="P32" s="33">
        <f t="shared" si="12"/>
        <v>5.97232704402516</v>
      </c>
      <c r="Q32" s="33">
        <v>50.44</v>
      </c>
      <c r="R32" s="33">
        <f t="shared" si="13"/>
        <v>0.0933037365889752</v>
      </c>
      <c r="S32" s="79">
        <v>0.954217536071032</v>
      </c>
      <c r="T32" s="33">
        <v>2.70209027007029</v>
      </c>
      <c r="U32" s="33">
        <v>1.32045874953755</v>
      </c>
      <c r="V32" s="80">
        <v>0</v>
      </c>
      <c r="W32" s="80">
        <v>0</v>
      </c>
      <c r="X32" s="81"/>
    </row>
    <row r="33" s="5" customFormat="1" ht="17.4" spans="1:24">
      <c r="A33" s="45"/>
      <c r="B33" s="46"/>
      <c r="C33" s="46"/>
      <c r="D33" s="46"/>
      <c r="E33" s="46"/>
      <c r="F33" s="46">
        <f t="shared" ref="F33:K33" si="16">F32+F31</f>
        <v>6953.92</v>
      </c>
      <c r="G33" s="46"/>
      <c r="H33" s="49" t="s">
        <v>85</v>
      </c>
      <c r="I33" s="33">
        <f t="shared" si="16"/>
        <v>296.927</v>
      </c>
      <c r="J33" s="33">
        <f t="shared" si="9"/>
        <v>0.0426992257604344</v>
      </c>
      <c r="K33" s="33">
        <f t="shared" si="16"/>
        <v>2804.67</v>
      </c>
      <c r="L33" s="33">
        <f t="shared" si="10"/>
        <v>0.403322154985965</v>
      </c>
      <c r="M33" s="33">
        <f t="shared" ref="M33:Q33" si="17">M32+M31</f>
        <v>2944.81</v>
      </c>
      <c r="N33" s="33">
        <f t="shared" si="11"/>
        <v>0.423474817081589</v>
      </c>
      <c r="O33" s="33">
        <f t="shared" si="17"/>
        <v>25740.03</v>
      </c>
      <c r="P33" s="33">
        <f t="shared" si="12"/>
        <v>3.7015136786158</v>
      </c>
      <c r="Q33" s="33">
        <f t="shared" si="17"/>
        <v>1023.43</v>
      </c>
      <c r="R33" s="33">
        <f t="shared" si="13"/>
        <v>0.14717310524136</v>
      </c>
      <c r="S33" s="33">
        <v>0.731926740600985</v>
      </c>
      <c r="T33" s="33">
        <v>3.30717926004326</v>
      </c>
      <c r="U33" s="33">
        <v>2.25028473148958</v>
      </c>
      <c r="V33" s="33">
        <v>0.921819635543693</v>
      </c>
      <c r="W33" s="33">
        <v>0.0565091344162717</v>
      </c>
      <c r="X33" s="81"/>
    </row>
    <row r="34" s="4" customFormat="1" ht="17.4" spans="1:24">
      <c r="A34" s="15">
        <v>11</v>
      </c>
      <c r="B34" s="16" t="s">
        <v>87</v>
      </c>
      <c r="C34" s="16" t="s">
        <v>11</v>
      </c>
      <c r="D34" s="16"/>
      <c r="E34" s="16">
        <f>F36</f>
        <v>12590.5</v>
      </c>
      <c r="F34" s="16">
        <v>11709.65</v>
      </c>
      <c r="G34" s="16" t="s">
        <v>88</v>
      </c>
      <c r="H34" s="25" t="s">
        <v>83</v>
      </c>
      <c r="I34" s="25">
        <v>475.3</v>
      </c>
      <c r="J34" s="17">
        <f t="shared" si="9"/>
        <v>0.0405904531732375</v>
      </c>
      <c r="K34" s="72">
        <v>3568.13</v>
      </c>
      <c r="L34" s="17">
        <f t="shared" si="10"/>
        <v>0.304717049612926</v>
      </c>
      <c r="M34" s="70">
        <v>3921.96</v>
      </c>
      <c r="N34" s="17">
        <f t="shared" si="11"/>
        <v>0.33493400742123</v>
      </c>
      <c r="O34" s="17">
        <v>42643.82</v>
      </c>
      <c r="P34" s="17">
        <f t="shared" si="12"/>
        <v>3.64176726033656</v>
      </c>
      <c r="Q34" s="17">
        <v>1768.6</v>
      </c>
      <c r="R34" s="17">
        <f t="shared" si="13"/>
        <v>0.151037819234563</v>
      </c>
      <c r="S34" s="76">
        <v>0.942270691267459</v>
      </c>
      <c r="T34" s="17">
        <v>3.45375139308177</v>
      </c>
      <c r="U34" s="17">
        <v>2.37109734278992</v>
      </c>
      <c r="V34" s="70">
        <v>0.834674819486492</v>
      </c>
      <c r="W34" s="70">
        <v>0.0448629976130798</v>
      </c>
      <c r="X34" s="78"/>
    </row>
    <row r="35" s="4" customFormat="1" ht="17.4" spans="1:24">
      <c r="A35" s="21"/>
      <c r="B35" s="22"/>
      <c r="C35" s="22"/>
      <c r="D35" s="22"/>
      <c r="E35" s="22"/>
      <c r="F35" s="22">
        <v>880.85</v>
      </c>
      <c r="G35" s="22"/>
      <c r="H35" s="25" t="s">
        <v>84</v>
      </c>
      <c r="I35" s="17">
        <v>93.525</v>
      </c>
      <c r="J35" s="17">
        <f t="shared" si="9"/>
        <v>0.106175852869388</v>
      </c>
      <c r="K35" s="72">
        <v>1277.56</v>
      </c>
      <c r="L35" s="17">
        <f t="shared" si="10"/>
        <v>1.45037179996594</v>
      </c>
      <c r="M35" s="72">
        <v>1288.54</v>
      </c>
      <c r="N35" s="17">
        <f t="shared" si="11"/>
        <v>1.46283703241187</v>
      </c>
      <c r="O35" s="70">
        <v>3855.9</v>
      </c>
      <c r="P35" s="17">
        <f t="shared" si="12"/>
        <v>4.37747630129988</v>
      </c>
      <c r="Q35" s="17">
        <v>78.98</v>
      </c>
      <c r="R35" s="17">
        <f t="shared" si="13"/>
        <v>0.089663393313277</v>
      </c>
      <c r="S35" s="76">
        <v>0.905103025486746</v>
      </c>
      <c r="T35" s="17">
        <v>2.71608105806891</v>
      </c>
      <c r="U35" s="17">
        <v>1.2033830958733</v>
      </c>
      <c r="V35" s="70">
        <v>0</v>
      </c>
      <c r="W35" s="77">
        <v>0</v>
      </c>
      <c r="X35" s="78"/>
    </row>
    <row r="36" s="4" customFormat="1" ht="17.4" spans="1:24">
      <c r="A36" s="26"/>
      <c r="B36" s="27"/>
      <c r="C36" s="27"/>
      <c r="D36" s="27"/>
      <c r="E36" s="27"/>
      <c r="F36" s="27">
        <f t="shared" ref="F36:K36" si="18">F35+F34</f>
        <v>12590.5</v>
      </c>
      <c r="G36" s="27"/>
      <c r="H36" s="30" t="s">
        <v>85</v>
      </c>
      <c r="I36" s="17">
        <f t="shared" si="18"/>
        <v>568.825</v>
      </c>
      <c r="J36" s="17">
        <f t="shared" si="9"/>
        <v>0.0451789047297566</v>
      </c>
      <c r="K36" s="17">
        <f t="shared" si="18"/>
        <v>4845.69</v>
      </c>
      <c r="L36" s="17">
        <f t="shared" si="10"/>
        <v>0.384868750248203</v>
      </c>
      <c r="M36" s="17">
        <f t="shared" ref="M36:Q36" si="19">M35+M34</f>
        <v>5210.5</v>
      </c>
      <c r="N36" s="17">
        <f t="shared" si="11"/>
        <v>0.413843771097256</v>
      </c>
      <c r="O36" s="17">
        <f t="shared" si="19"/>
        <v>46499.72</v>
      </c>
      <c r="P36" s="17">
        <f t="shared" si="12"/>
        <v>3.69323855287717</v>
      </c>
      <c r="Q36" s="17">
        <f t="shared" si="19"/>
        <v>1847.58</v>
      </c>
      <c r="R36" s="17">
        <f t="shared" si="13"/>
        <v>0.146743973630912</v>
      </c>
      <c r="S36" s="17">
        <v>0.939670386402446</v>
      </c>
      <c r="T36" s="17">
        <v>3.40214288550892</v>
      </c>
      <c r="U36" s="17">
        <v>2.28940232715142</v>
      </c>
      <c r="V36" s="17">
        <v>0.776279734720623</v>
      </c>
      <c r="W36" s="17">
        <v>0.0417243159525039</v>
      </c>
      <c r="X36" s="78"/>
    </row>
    <row r="37" s="5" customFormat="1" ht="17.4" spans="1:24">
      <c r="A37" s="31">
        <v>12</v>
      </c>
      <c r="B37" s="32"/>
      <c r="C37" s="32" t="s">
        <v>18</v>
      </c>
      <c r="D37" s="32"/>
      <c r="E37" s="32">
        <f>F39</f>
        <v>11420.35</v>
      </c>
      <c r="F37" s="32">
        <v>0</v>
      </c>
      <c r="G37" s="32"/>
      <c r="H37" s="34" t="s">
        <v>83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81"/>
    </row>
    <row r="38" s="5" customFormat="1" ht="17.4" spans="1:24">
      <c r="A38" s="50"/>
      <c r="B38" s="51"/>
      <c r="C38" s="51"/>
      <c r="D38" s="51"/>
      <c r="E38" s="51"/>
      <c r="F38" s="51">
        <v>11420.35</v>
      </c>
      <c r="G38" s="51"/>
      <c r="H38" s="34" t="s">
        <v>84</v>
      </c>
      <c r="I38" s="33">
        <v>907.016</v>
      </c>
      <c r="J38" s="33">
        <f>I38/F38</f>
        <v>0.0794210335059784</v>
      </c>
      <c r="K38" s="73">
        <v>10254.67</v>
      </c>
      <c r="L38" s="33">
        <f>K38/F38</f>
        <v>0.897929573086639</v>
      </c>
      <c r="M38" s="33">
        <v>10263.18</v>
      </c>
      <c r="N38" s="33">
        <f>M38/F38</f>
        <v>0.89867473413687</v>
      </c>
      <c r="O38" s="33">
        <v>23064.06</v>
      </c>
      <c r="P38" s="33">
        <f>O38/F38</f>
        <v>2.01955806958631</v>
      </c>
      <c r="Q38" s="33">
        <v>289.46</v>
      </c>
      <c r="R38" s="33">
        <f>Q38/F38</f>
        <v>0.0253459832667125</v>
      </c>
      <c r="S38" s="79">
        <v>1.13303882980819</v>
      </c>
      <c r="T38" s="33">
        <v>0.453525504910095</v>
      </c>
      <c r="U38" s="33">
        <v>0.284779363154369</v>
      </c>
      <c r="V38" s="73">
        <v>0.0173908855683057</v>
      </c>
      <c r="W38" s="80">
        <v>0.966971239935729</v>
      </c>
      <c r="X38" s="81"/>
    </row>
    <row r="39" s="5" customFormat="1" ht="17.4" spans="1:24">
      <c r="A39" s="45"/>
      <c r="B39" s="46"/>
      <c r="C39" s="46"/>
      <c r="D39" s="46"/>
      <c r="E39" s="46"/>
      <c r="F39" s="46">
        <f t="shared" ref="F39:K39" si="20">F38+F37</f>
        <v>11420.35</v>
      </c>
      <c r="G39" s="46"/>
      <c r="H39" s="49" t="s">
        <v>85</v>
      </c>
      <c r="I39" s="33">
        <f t="shared" si="20"/>
        <v>907.016</v>
      </c>
      <c r="J39" s="33">
        <f>I39/F39</f>
        <v>0.0794210335059784</v>
      </c>
      <c r="K39" s="33">
        <f t="shared" si="20"/>
        <v>10254.67</v>
      </c>
      <c r="L39" s="33">
        <f>K39/F39</f>
        <v>0.897929573086639</v>
      </c>
      <c r="M39" s="33">
        <f t="shared" ref="M39:Q39" si="21">M38+M37</f>
        <v>10263.18</v>
      </c>
      <c r="N39" s="33">
        <f>M39/F39</f>
        <v>0.89867473413687</v>
      </c>
      <c r="O39" s="33">
        <f t="shared" si="21"/>
        <v>23064.06</v>
      </c>
      <c r="P39" s="33">
        <f>O39/F39</f>
        <v>2.01955806958631</v>
      </c>
      <c r="Q39" s="33">
        <f t="shared" si="21"/>
        <v>289.46</v>
      </c>
      <c r="R39" s="33">
        <f>Q39/F39</f>
        <v>0.0253459832667125</v>
      </c>
      <c r="S39" s="33">
        <v>1.13303882980819</v>
      </c>
      <c r="T39" s="33">
        <v>0.453525504910095</v>
      </c>
      <c r="U39" s="33">
        <v>0.284779363154369</v>
      </c>
      <c r="V39" s="33">
        <v>0.0173908855683057</v>
      </c>
      <c r="W39" s="33">
        <v>0.966971239935729</v>
      </c>
      <c r="X39" s="81"/>
    </row>
    <row r="40" spans="1:24">
      <c r="A40" s="31">
        <v>13</v>
      </c>
      <c r="B40" s="32"/>
      <c r="C40" s="33"/>
      <c r="D40" s="34"/>
      <c r="E40" s="35"/>
      <c r="F40" s="35"/>
      <c r="G40" s="37"/>
      <c r="H40" s="34" t="s">
        <v>83</v>
      </c>
      <c r="I40" s="66"/>
      <c r="J40" s="33"/>
      <c r="K40" s="33"/>
      <c r="L40" s="33"/>
      <c r="M40" s="33"/>
      <c r="N40" s="33"/>
      <c r="O40" s="33"/>
      <c r="P40" s="33"/>
      <c r="Q40" s="33"/>
      <c r="R40" s="33"/>
      <c r="S40" s="79"/>
      <c r="T40" s="33"/>
      <c r="U40" s="33"/>
      <c r="V40" s="80"/>
      <c r="W40" s="80"/>
      <c r="X40" s="81"/>
    </row>
    <row r="41" spans="1:24">
      <c r="A41" s="50"/>
      <c r="B41" s="51"/>
      <c r="C41" s="33"/>
      <c r="D41" s="34"/>
      <c r="E41" s="52"/>
      <c r="F41" s="52"/>
      <c r="G41" s="53"/>
      <c r="H41" s="34" t="s">
        <v>84</v>
      </c>
      <c r="I41" s="68"/>
      <c r="J41" s="33"/>
      <c r="K41" s="33"/>
      <c r="L41" s="33"/>
      <c r="M41" s="33"/>
      <c r="N41" s="33"/>
      <c r="O41" s="33"/>
      <c r="P41" s="33"/>
      <c r="Q41" s="33"/>
      <c r="R41" s="33"/>
      <c r="S41" s="79"/>
      <c r="T41" s="33"/>
      <c r="U41" s="33"/>
      <c r="V41" s="80"/>
      <c r="W41" s="80"/>
      <c r="X41" s="81"/>
    </row>
    <row r="42" spans="1:24">
      <c r="A42" s="45"/>
      <c r="B42" s="46"/>
      <c r="C42" s="33"/>
      <c r="D42" s="34"/>
      <c r="E42" s="47"/>
      <c r="F42" s="47"/>
      <c r="G42" s="48"/>
      <c r="H42" s="49" t="s">
        <v>85</v>
      </c>
      <c r="I42" s="68"/>
      <c r="J42" s="33"/>
      <c r="K42" s="33"/>
      <c r="L42" s="33"/>
      <c r="M42" s="33"/>
      <c r="N42" s="33"/>
      <c r="O42" s="33"/>
      <c r="P42" s="33"/>
      <c r="Q42" s="33"/>
      <c r="R42" s="33"/>
      <c r="S42" s="79"/>
      <c r="T42" s="33"/>
      <c r="U42" s="33"/>
      <c r="V42" s="80"/>
      <c r="W42" s="80"/>
      <c r="X42" s="81"/>
    </row>
    <row r="43" spans="1:24">
      <c r="A43" s="31">
        <v>14</v>
      </c>
      <c r="B43" s="32"/>
      <c r="C43" s="33"/>
      <c r="D43" s="34"/>
      <c r="E43" s="35"/>
      <c r="F43" s="35"/>
      <c r="G43" s="37"/>
      <c r="H43" s="34" t="s">
        <v>83</v>
      </c>
      <c r="I43" s="66"/>
      <c r="J43" s="33"/>
      <c r="K43" s="33"/>
      <c r="L43" s="33"/>
      <c r="M43" s="33"/>
      <c r="N43" s="33"/>
      <c r="O43" s="33"/>
      <c r="P43" s="33"/>
      <c r="Q43" s="33"/>
      <c r="R43" s="33"/>
      <c r="S43" s="79"/>
      <c r="T43" s="33"/>
      <c r="U43" s="33"/>
      <c r="V43" s="80"/>
      <c r="W43" s="80"/>
      <c r="X43" s="81"/>
    </row>
    <row r="44" spans="1:24">
      <c r="A44" s="50"/>
      <c r="B44" s="51"/>
      <c r="C44" s="33"/>
      <c r="D44" s="34"/>
      <c r="E44" s="52"/>
      <c r="F44" s="52"/>
      <c r="G44" s="53"/>
      <c r="H44" s="34" t="s">
        <v>84</v>
      </c>
      <c r="I44" s="68"/>
      <c r="J44" s="33"/>
      <c r="K44" s="33"/>
      <c r="L44" s="33"/>
      <c r="M44" s="33"/>
      <c r="N44" s="33"/>
      <c r="O44" s="33"/>
      <c r="P44" s="33"/>
      <c r="Q44" s="33"/>
      <c r="R44" s="33"/>
      <c r="S44" s="79"/>
      <c r="T44" s="33"/>
      <c r="U44" s="33"/>
      <c r="V44" s="80"/>
      <c r="W44" s="80"/>
      <c r="X44" s="81"/>
    </row>
    <row r="45" spans="1:24">
      <c r="A45" s="45"/>
      <c r="B45" s="46"/>
      <c r="C45" s="33"/>
      <c r="D45" s="34"/>
      <c r="E45" s="47"/>
      <c r="F45" s="47"/>
      <c r="G45" s="48"/>
      <c r="H45" s="49" t="s">
        <v>85</v>
      </c>
      <c r="I45" s="68"/>
      <c r="J45" s="33"/>
      <c r="K45" s="33"/>
      <c r="L45" s="33"/>
      <c r="M45" s="33"/>
      <c r="N45" s="33"/>
      <c r="O45" s="33"/>
      <c r="P45" s="33"/>
      <c r="Q45" s="33"/>
      <c r="R45" s="33"/>
      <c r="S45" s="79"/>
      <c r="T45" s="33"/>
      <c r="U45" s="33"/>
      <c r="V45" s="80"/>
      <c r="W45" s="80"/>
      <c r="X45" s="81"/>
    </row>
    <row r="46" s="6" customFormat="1" ht="15.6" spans="1:24">
      <c r="A46" s="54" t="s">
        <v>91</v>
      </c>
      <c r="B46" s="55" t="s">
        <v>92</v>
      </c>
      <c r="C46" s="55"/>
      <c r="D46" s="55"/>
      <c r="E46" s="55"/>
      <c r="F46" s="55"/>
      <c r="G46" s="56"/>
      <c r="H46" s="54"/>
      <c r="I46" s="74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</row>
    <row r="47" s="6" customFormat="1" ht="15.6" spans="1:24">
      <c r="A47" s="54"/>
      <c r="B47" s="55" t="s">
        <v>93</v>
      </c>
      <c r="C47" s="55"/>
      <c r="D47" s="55"/>
      <c r="E47" s="55"/>
      <c r="F47" s="55"/>
      <c r="G47" s="55"/>
      <c r="H47" s="54"/>
      <c r="I47" s="74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</row>
    <row r="48" s="6" customFormat="1" ht="15.6" spans="1:24">
      <c r="A48" s="54"/>
      <c r="B48" s="57" t="s">
        <v>94</v>
      </c>
      <c r="C48" s="57"/>
      <c r="D48" s="57"/>
      <c r="E48" s="57"/>
      <c r="F48" s="57"/>
      <c r="G48" s="57"/>
      <c r="H48" s="54"/>
      <c r="I48" s="74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</row>
    <row r="49" s="6" customFormat="1" ht="15.6" spans="1:24">
      <c r="A49" s="54"/>
      <c r="B49" s="57" t="s">
        <v>95</v>
      </c>
      <c r="C49" s="57"/>
      <c r="D49" s="57"/>
      <c r="E49" s="57"/>
      <c r="F49" s="57"/>
      <c r="G49" s="57"/>
      <c r="H49" s="54"/>
      <c r="I49" s="74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</row>
    <row r="50" customHeight="1" spans="1:24">
      <c r="A50" s="5"/>
      <c r="B50" s="5"/>
      <c r="C50" s="5"/>
      <c r="D50" s="5"/>
      <c r="E50" s="5"/>
      <c r="F50" s="5"/>
      <c r="G50" s="5"/>
      <c r="H50" s="58"/>
      <c r="I50" s="7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customHeight="1" spans="1:24">
      <c r="A51" s="5"/>
      <c r="B51" s="5"/>
      <c r="C51" s="5"/>
      <c r="D51" s="5"/>
      <c r="E51" s="5"/>
      <c r="F51" s="5"/>
      <c r="G51" s="5"/>
      <c r="H51" s="58"/>
      <c r="I51" s="7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customHeight="1" spans="1:24">
      <c r="A52" s="5"/>
      <c r="B52" s="5"/>
      <c r="C52" s="5"/>
      <c r="D52" s="5"/>
      <c r="E52" s="5"/>
      <c r="F52" s="5"/>
      <c r="G52" s="5"/>
      <c r="H52" s="58"/>
      <c r="I52" s="7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customHeight="1" spans="1:24">
      <c r="A53" s="5"/>
      <c r="B53" s="5"/>
      <c r="C53" s="5"/>
      <c r="D53" s="5"/>
      <c r="E53" s="5"/>
      <c r="F53" s="5"/>
      <c r="G53" s="5"/>
      <c r="H53" s="58"/>
      <c r="I53" s="7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customHeight="1" spans="1:24">
      <c r="A54" s="5"/>
      <c r="B54" s="5"/>
      <c r="C54" s="5"/>
      <c r="D54" s="5"/>
      <c r="E54" s="5"/>
      <c r="F54" s="5"/>
      <c r="G54" s="5"/>
      <c r="H54" s="58"/>
      <c r="I54" s="7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customHeight="1" spans="1:24">
      <c r="A55" s="5"/>
      <c r="B55" s="5"/>
      <c r="C55" s="5"/>
      <c r="D55" s="5"/>
      <c r="E55" s="5"/>
      <c r="F55" s="5"/>
      <c r="G55" s="5"/>
      <c r="H55" s="58"/>
      <c r="I55" s="7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customHeight="1" spans="1:24">
      <c r="A56" s="5"/>
      <c r="B56" s="5"/>
      <c r="C56" s="5"/>
      <c r="D56" s="5"/>
      <c r="E56" s="5"/>
      <c r="F56" s="5"/>
      <c r="G56" s="5"/>
      <c r="H56" s="58"/>
      <c r="I56" s="7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customHeight="1" spans="1:24">
      <c r="A57" s="5"/>
      <c r="B57" s="5"/>
      <c r="C57" s="5"/>
      <c r="D57" s="5"/>
      <c r="E57" s="5"/>
      <c r="F57" s="5"/>
      <c r="G57" s="5"/>
      <c r="H57" s="58"/>
      <c r="I57" s="7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customHeight="1" spans="1:24">
      <c r="A58" s="5"/>
      <c r="B58" s="5"/>
      <c r="C58" s="5"/>
      <c r="D58" s="5"/>
      <c r="E58" s="5"/>
      <c r="F58" s="5"/>
      <c r="G58" s="5"/>
      <c r="H58" s="58"/>
      <c r="I58" s="7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customHeight="1" spans="1:24">
      <c r="A59" s="5"/>
      <c r="B59" s="5"/>
      <c r="C59" s="5"/>
      <c r="D59" s="5"/>
      <c r="E59" s="5"/>
      <c r="F59" s="5"/>
      <c r="G59" s="5"/>
      <c r="H59" s="58"/>
      <c r="I59" s="7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customHeight="1" spans="1:24">
      <c r="A60" s="5"/>
      <c r="B60" s="5"/>
      <c r="C60" s="5"/>
      <c r="D60" s="5"/>
      <c r="E60" s="5"/>
      <c r="F60" s="5"/>
      <c r="G60" s="5"/>
      <c r="H60" s="58"/>
      <c r="I60" s="7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customHeight="1" spans="1:24">
      <c r="A61" s="5"/>
      <c r="B61" s="5"/>
      <c r="C61" s="5"/>
      <c r="D61" s="5"/>
      <c r="E61" s="5"/>
      <c r="F61" s="5"/>
      <c r="G61" s="5"/>
      <c r="H61" s="58"/>
      <c r="I61" s="7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customHeight="1" spans="1:24">
      <c r="A62" s="5"/>
      <c r="B62" s="5"/>
      <c r="C62" s="5"/>
      <c r="D62" s="5"/>
      <c r="E62" s="5"/>
      <c r="F62" s="5"/>
      <c r="G62" s="5"/>
      <c r="H62" s="58"/>
      <c r="I62" s="7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customHeight="1" spans="1:24">
      <c r="A63" s="5"/>
      <c r="B63" s="5"/>
      <c r="C63" s="5"/>
      <c r="D63" s="5"/>
      <c r="E63" s="5"/>
      <c r="F63" s="5"/>
      <c r="G63" s="5"/>
      <c r="H63" s="58"/>
      <c r="I63" s="7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customHeight="1" spans="1:24">
      <c r="A64" s="5"/>
      <c r="B64" s="5"/>
      <c r="C64" s="5"/>
      <c r="D64" s="5"/>
      <c r="E64" s="5"/>
      <c r="F64" s="5"/>
      <c r="G64" s="5"/>
      <c r="H64" s="58"/>
      <c r="I64" s="7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customHeight="1" spans="1:24">
      <c r="A65" s="5"/>
      <c r="B65" s="5"/>
      <c r="C65" s="5"/>
      <c r="D65" s="5"/>
      <c r="E65" s="5"/>
      <c r="F65" s="5"/>
      <c r="G65" s="5"/>
      <c r="H65" s="58"/>
      <c r="I65" s="7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customHeight="1" spans="1:24">
      <c r="A66" s="5"/>
      <c r="B66" s="5"/>
      <c r="C66" s="5"/>
      <c r="D66" s="5"/>
      <c r="E66" s="5"/>
      <c r="F66" s="5"/>
      <c r="G66" s="5"/>
      <c r="H66" s="58"/>
      <c r="I66" s="7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customHeight="1" spans="1:24">
      <c r="A67" s="5"/>
      <c r="B67" s="5"/>
      <c r="C67" s="5"/>
      <c r="D67" s="5"/>
      <c r="E67" s="5"/>
      <c r="F67" s="5"/>
      <c r="G67" s="5"/>
      <c r="H67" s="58"/>
      <c r="I67" s="7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customHeight="1" spans="1:24">
      <c r="A68" s="5"/>
      <c r="B68" s="5"/>
      <c r="C68" s="5"/>
      <c r="D68" s="5"/>
      <c r="E68" s="5"/>
      <c r="F68" s="5"/>
      <c r="G68" s="5"/>
      <c r="H68" s="58"/>
      <c r="I68" s="7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customHeight="1" spans="1:24">
      <c r="A69" s="5"/>
      <c r="B69" s="5"/>
      <c r="C69" s="5"/>
      <c r="D69" s="5"/>
      <c r="E69" s="5"/>
      <c r="F69" s="5"/>
      <c r="G69" s="5"/>
      <c r="H69" s="58"/>
      <c r="I69" s="7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customHeight="1" spans="1:24">
      <c r="A70" s="5"/>
      <c r="B70" s="5"/>
      <c r="C70" s="5"/>
      <c r="D70" s="5"/>
      <c r="E70" s="5"/>
      <c r="F70" s="5"/>
      <c r="G70" s="5"/>
      <c r="H70" s="58"/>
      <c r="I70" s="7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customHeight="1" spans="1:24">
      <c r="A71" s="5"/>
      <c r="B71" s="5"/>
      <c r="C71" s="5"/>
      <c r="D71" s="5"/>
      <c r="E71" s="5"/>
      <c r="F71" s="5"/>
      <c r="G71" s="5"/>
      <c r="H71" s="58"/>
      <c r="I71" s="7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customHeight="1" spans="1:24">
      <c r="A72" s="5"/>
      <c r="B72" s="5"/>
      <c r="C72" s="5"/>
      <c r="D72" s="5"/>
      <c r="E72" s="5"/>
      <c r="F72" s="5"/>
      <c r="G72" s="5"/>
      <c r="H72" s="58"/>
      <c r="I72" s="7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customHeight="1" spans="1:24">
      <c r="A73" s="5"/>
      <c r="B73" s="5"/>
      <c r="C73" s="5"/>
      <c r="D73" s="5"/>
      <c r="E73" s="5"/>
      <c r="F73" s="5"/>
      <c r="G73" s="5"/>
      <c r="H73" s="58"/>
      <c r="I73" s="7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customHeight="1" spans="1:24">
      <c r="A74" s="5"/>
      <c r="B74" s="5"/>
      <c r="C74" s="5"/>
      <c r="D74" s="5"/>
      <c r="E74" s="5"/>
      <c r="F74" s="5"/>
      <c r="G74" s="5"/>
      <c r="H74" s="58"/>
      <c r="I74" s="7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customHeight="1" spans="1:24">
      <c r="A75" s="5"/>
      <c r="B75" s="5"/>
      <c r="C75" s="5"/>
      <c r="D75" s="5"/>
      <c r="E75" s="5"/>
      <c r="F75" s="5"/>
      <c r="G75" s="5"/>
      <c r="H75" s="58"/>
      <c r="I75" s="7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customHeight="1" spans="1:24">
      <c r="A76" s="5"/>
      <c r="B76" s="5"/>
      <c r="C76" s="5"/>
      <c r="D76" s="5"/>
      <c r="E76" s="5"/>
      <c r="F76" s="5"/>
      <c r="G76" s="5"/>
      <c r="H76" s="58"/>
      <c r="I76" s="7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customHeight="1" spans="1:24">
      <c r="A77" s="5"/>
      <c r="B77" s="5"/>
      <c r="C77" s="5"/>
      <c r="D77" s="5"/>
      <c r="E77" s="5"/>
      <c r="F77" s="5"/>
      <c r="G77" s="5"/>
      <c r="H77" s="58"/>
      <c r="I77" s="7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customHeight="1" spans="1:24">
      <c r="A78" s="5"/>
      <c r="B78" s="5"/>
      <c r="C78" s="5"/>
      <c r="D78" s="5"/>
      <c r="E78" s="5"/>
      <c r="F78" s="5"/>
      <c r="G78" s="5"/>
      <c r="H78" s="58"/>
      <c r="I78" s="7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customHeight="1" spans="1:24">
      <c r="A79" s="5"/>
      <c r="B79" s="5"/>
      <c r="C79" s="5"/>
      <c r="D79" s="5"/>
      <c r="E79" s="5"/>
      <c r="F79" s="5"/>
      <c r="G79" s="5"/>
      <c r="H79" s="58"/>
      <c r="I79" s="7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customHeight="1" spans="1:24">
      <c r="A80" s="5"/>
      <c r="B80" s="5"/>
      <c r="C80" s="5"/>
      <c r="D80" s="5"/>
      <c r="E80" s="5"/>
      <c r="F80" s="5"/>
      <c r="G80" s="5"/>
      <c r="H80" s="58"/>
      <c r="I80" s="7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customHeight="1" spans="1:24">
      <c r="A81" s="5"/>
      <c r="B81" s="5"/>
      <c r="C81" s="5"/>
      <c r="D81" s="5"/>
      <c r="E81" s="5"/>
      <c r="F81" s="5"/>
      <c r="G81" s="5"/>
      <c r="H81" s="58"/>
      <c r="I81" s="7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customHeight="1" spans="1:24">
      <c r="A82" s="5"/>
      <c r="B82" s="5"/>
      <c r="C82" s="5"/>
      <c r="D82" s="5"/>
      <c r="E82" s="5"/>
      <c r="F82" s="5"/>
      <c r="G82" s="5"/>
      <c r="H82" s="58"/>
      <c r="I82" s="7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customHeight="1" spans="1:24">
      <c r="A83" s="5"/>
      <c r="B83" s="5"/>
      <c r="C83" s="5"/>
      <c r="D83" s="5"/>
      <c r="E83" s="5"/>
      <c r="F83" s="5"/>
      <c r="G83" s="5"/>
      <c r="H83" s="58"/>
      <c r="I83" s="7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customHeight="1" spans="1:24">
      <c r="A84" s="5"/>
      <c r="B84" s="5"/>
      <c r="C84" s="5"/>
      <c r="D84" s="5"/>
      <c r="E84" s="5"/>
      <c r="F84" s="5"/>
      <c r="G84" s="5"/>
      <c r="H84" s="58"/>
      <c r="I84" s="7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customHeight="1" spans="1:24">
      <c r="A85" s="5"/>
      <c r="B85" s="5"/>
      <c r="C85" s="5"/>
      <c r="D85" s="5"/>
      <c r="E85" s="5"/>
      <c r="F85" s="5"/>
      <c r="G85" s="5"/>
      <c r="H85" s="58"/>
      <c r="I85" s="7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customHeight="1" spans="1:24">
      <c r="A86" s="5"/>
      <c r="B86" s="5"/>
      <c r="C86" s="5"/>
      <c r="D86" s="5"/>
      <c r="E86" s="5"/>
      <c r="F86" s="5"/>
      <c r="G86" s="5"/>
      <c r="H86" s="58"/>
      <c r="I86" s="7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customHeight="1" spans="1:24">
      <c r="A87" s="5"/>
      <c r="B87" s="5"/>
      <c r="C87" s="5"/>
      <c r="D87" s="5"/>
      <c r="E87" s="5"/>
      <c r="F87" s="5"/>
      <c r="G87" s="5"/>
      <c r="H87" s="58"/>
      <c r="I87" s="7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customHeight="1" spans="1:24">
      <c r="A88" s="5"/>
      <c r="B88" s="5"/>
      <c r="C88" s="5"/>
      <c r="D88" s="5"/>
      <c r="E88" s="5"/>
      <c r="F88" s="5"/>
      <c r="G88" s="5"/>
      <c r="H88" s="58"/>
      <c r="I88" s="7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customHeight="1" spans="1:24">
      <c r="A89" s="5"/>
      <c r="B89" s="5"/>
      <c r="C89" s="5"/>
      <c r="D89" s="5"/>
      <c r="E89" s="5"/>
      <c r="F89" s="5"/>
      <c r="G89" s="5"/>
      <c r="H89" s="58"/>
      <c r="I89" s="7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customHeight="1" spans="1:24">
      <c r="A90" s="5"/>
      <c r="B90" s="5"/>
      <c r="C90" s="5"/>
      <c r="D90" s="5"/>
      <c r="E90" s="5"/>
      <c r="F90" s="5"/>
      <c r="G90" s="5"/>
      <c r="H90" s="58"/>
      <c r="I90" s="7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customHeight="1" spans="1:24">
      <c r="A91" s="5"/>
      <c r="B91" s="5"/>
      <c r="C91" s="5"/>
      <c r="D91" s="5"/>
      <c r="E91" s="5"/>
      <c r="F91" s="5"/>
      <c r="G91" s="5"/>
      <c r="H91" s="58"/>
      <c r="I91" s="7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customHeight="1" spans="1:24">
      <c r="A92" s="5"/>
      <c r="B92" s="5"/>
      <c r="C92" s="5"/>
      <c r="D92" s="5"/>
      <c r="E92" s="5"/>
      <c r="F92" s="5"/>
      <c r="G92" s="5"/>
      <c r="H92" s="58"/>
      <c r="I92" s="7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customHeight="1" spans="1:24">
      <c r="A93" s="5"/>
      <c r="B93" s="5"/>
      <c r="C93" s="5"/>
      <c r="D93" s="5"/>
      <c r="E93" s="5"/>
      <c r="F93" s="5"/>
      <c r="G93" s="5"/>
      <c r="H93" s="58"/>
      <c r="I93" s="7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customHeight="1" spans="1:24">
      <c r="A94" s="5"/>
      <c r="B94" s="5"/>
      <c r="C94" s="5"/>
      <c r="D94" s="5"/>
      <c r="E94" s="5"/>
      <c r="F94" s="5"/>
      <c r="G94" s="5"/>
      <c r="H94" s="58"/>
      <c r="I94" s="7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customHeight="1" spans="1:24">
      <c r="A95" s="5"/>
      <c r="B95" s="5"/>
      <c r="C95" s="5"/>
      <c r="D95" s="5"/>
      <c r="E95" s="5"/>
      <c r="F95" s="5"/>
      <c r="G95" s="5"/>
      <c r="H95" s="58"/>
      <c r="I95" s="7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customHeight="1" spans="1:24">
      <c r="A96" s="5"/>
      <c r="B96" s="5"/>
      <c r="C96" s="5"/>
      <c r="D96" s="5"/>
      <c r="E96" s="5"/>
      <c r="F96" s="5"/>
      <c r="G96" s="5"/>
      <c r="H96" s="58"/>
      <c r="I96" s="7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customHeight="1" spans="1:24">
      <c r="A97" s="5"/>
      <c r="B97" s="5"/>
      <c r="C97" s="5"/>
      <c r="D97" s="5"/>
      <c r="E97" s="5"/>
      <c r="F97" s="5"/>
      <c r="G97" s="5"/>
      <c r="H97" s="58"/>
      <c r="I97" s="7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customHeight="1" spans="1:24">
      <c r="A98" s="5"/>
      <c r="B98" s="5"/>
      <c r="C98" s="5"/>
      <c r="D98" s="5"/>
      <c r="E98" s="5"/>
      <c r="F98" s="5"/>
      <c r="G98" s="5"/>
      <c r="H98" s="58"/>
      <c r="I98" s="7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</sheetData>
  <mergeCells count="108">
    <mergeCell ref="A1:X1"/>
    <mergeCell ref="I2:J2"/>
    <mergeCell ref="K2:N2"/>
    <mergeCell ref="O2:P2"/>
    <mergeCell ref="Q2:R2"/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B2:B3"/>
    <mergeCell ref="B4:B6"/>
    <mergeCell ref="B7:B9"/>
    <mergeCell ref="B10:B12"/>
    <mergeCell ref="B13:B15"/>
    <mergeCell ref="B16:B18"/>
    <mergeCell ref="B19:B21"/>
    <mergeCell ref="B22:B24"/>
    <mergeCell ref="B25:B27"/>
    <mergeCell ref="B28:B30"/>
    <mergeCell ref="B31:B33"/>
    <mergeCell ref="B34:B36"/>
    <mergeCell ref="B37:B39"/>
    <mergeCell ref="B40:B42"/>
    <mergeCell ref="B43:B45"/>
    <mergeCell ref="C2:C3"/>
    <mergeCell ref="C4:C6"/>
    <mergeCell ref="C7:C9"/>
    <mergeCell ref="C10:C12"/>
    <mergeCell ref="C13:C15"/>
    <mergeCell ref="C16:C18"/>
    <mergeCell ref="C19:C21"/>
    <mergeCell ref="C22:C24"/>
    <mergeCell ref="C25:C27"/>
    <mergeCell ref="C28:C30"/>
    <mergeCell ref="C31:C33"/>
    <mergeCell ref="C34:C36"/>
    <mergeCell ref="C37:C39"/>
    <mergeCell ref="C40:C42"/>
    <mergeCell ref="C43:C45"/>
    <mergeCell ref="D2:D3"/>
    <mergeCell ref="D4:D6"/>
    <mergeCell ref="D7:D9"/>
    <mergeCell ref="D10:D12"/>
    <mergeCell ref="D13:D15"/>
    <mergeCell ref="D16:D18"/>
    <mergeCell ref="D19:D21"/>
    <mergeCell ref="D22:D24"/>
    <mergeCell ref="D25:D27"/>
    <mergeCell ref="D28:D30"/>
    <mergeCell ref="D31:D33"/>
    <mergeCell ref="D34:D36"/>
    <mergeCell ref="D37:D39"/>
    <mergeCell ref="D40:D42"/>
    <mergeCell ref="D43:D45"/>
    <mergeCell ref="E2:E3"/>
    <mergeCell ref="E4:E6"/>
    <mergeCell ref="E7:E9"/>
    <mergeCell ref="E10:E12"/>
    <mergeCell ref="E13:E15"/>
    <mergeCell ref="E16:E18"/>
    <mergeCell ref="E19:E21"/>
    <mergeCell ref="E22:E24"/>
    <mergeCell ref="E25:E27"/>
    <mergeCell ref="E28:E30"/>
    <mergeCell ref="E31:E33"/>
    <mergeCell ref="E34:E36"/>
    <mergeCell ref="E37:E39"/>
    <mergeCell ref="E40:E42"/>
    <mergeCell ref="E43:E45"/>
    <mergeCell ref="F2:F3"/>
    <mergeCell ref="F22:F24"/>
    <mergeCell ref="F28:F30"/>
    <mergeCell ref="F31:F33"/>
    <mergeCell ref="F34:F36"/>
    <mergeCell ref="F37:F39"/>
    <mergeCell ref="G2:G3"/>
    <mergeCell ref="G4:G6"/>
    <mergeCell ref="G7:G9"/>
    <mergeCell ref="G10:G12"/>
    <mergeCell ref="G13:G15"/>
    <mergeCell ref="G16:G18"/>
    <mergeCell ref="G19:G21"/>
    <mergeCell ref="G22:G24"/>
    <mergeCell ref="G25:G27"/>
    <mergeCell ref="G28:G30"/>
    <mergeCell ref="G31:G33"/>
    <mergeCell ref="G34:G36"/>
    <mergeCell ref="G37:G39"/>
    <mergeCell ref="G40:G42"/>
    <mergeCell ref="G43:G45"/>
    <mergeCell ref="H2:H3"/>
    <mergeCell ref="S2:S3"/>
    <mergeCell ref="T2:T3"/>
    <mergeCell ref="U2:U3"/>
    <mergeCell ref="V2:V3"/>
    <mergeCell ref="W2:W3"/>
    <mergeCell ref="X2:X3"/>
  </mergeCells>
  <pageMargins left="0.471527777777778" right="0.313888888888889" top="0.471527777777778" bottom="0.432638888888889" header="0.313888888888889" footer="0.313888888888889"/>
  <pageSetup paperSize="9" firstPageNumber="4294963191" orientation="landscape" useFirstPageNumber="1" horizontalDpi="300" verticalDpi="1200"/>
  <headerFooter alignWithMargins="0"/>
  <ignoredErrors>
    <ignoredError sqref="W1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ld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总包造价指标表</vt:lpstr>
      <vt:lpstr>总包含量指标表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春风十李</cp:lastModifiedBy>
  <dcterms:created xsi:type="dcterms:W3CDTF">2016-09-20T03:37:00Z</dcterms:created>
  <cp:lastPrinted>2018-01-16T09:46:00Z</cp:lastPrinted>
  <dcterms:modified xsi:type="dcterms:W3CDTF">2018-11-20T03:00:10Z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