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rese\Google Drive\Volleyball\2016 VB\"/>
    </mc:Choice>
  </mc:AlternateContent>
  <workbookProtection workbookPassword="C67E" lockStructure="1"/>
  <bookViews>
    <workbookView xWindow="0" yWindow="0" windowWidth="20490" windowHeight="7530"/>
  </bookViews>
  <sheets>
    <sheet name="DATA ENTRY" sheetId="4" r:id="rId1"/>
    <sheet name="Printout" sheetId="2" r:id="rId2"/>
    <sheet name="database" sheetId="1" r:id="rId3"/>
    <sheet name="Instructions" sheetId="3" r:id="rId4"/>
  </sheets>
  <definedNames>
    <definedName name="Z_68CA99EB_C196_46E7_AC9D_43F9554C0015_.wvu.Cols" localSheetId="0" hidden="1">'DATA ENTRY'!$H:$P</definedName>
    <definedName name="Z_68CA99EB_C196_46E7_AC9D_43F9554C0015_.wvu.Cols" localSheetId="3" hidden="1">Instructions!$A:$E</definedName>
    <definedName name="Z_68CA99EB_C196_46E7_AC9D_43F9554C0015_.wvu.Cols" localSheetId="1" hidden="1">Printout!$E:$E,Printout!$H:$Q,Printout!$T:$X</definedName>
  </definedNames>
  <calcPr calcId="171027"/>
  <customWorkbookViews>
    <customWorkbookView name="testing1" guid="{68CA99EB-C196-46E7-AC9D-43F9554C0015}" maximized="1" xWindow="1" yWindow="1" windowWidth="1401" windowHeight="594" activeSheetId="3"/>
  </customWorkbookViews>
</workbook>
</file>

<file path=xl/calcChain.xml><?xml version="1.0" encoding="utf-8"?>
<calcChain xmlns="http://schemas.openxmlformats.org/spreadsheetml/2006/main">
  <c r="D13" i="1" l="1"/>
  <c r="C13" i="1"/>
  <c r="AD13" i="1"/>
  <c r="AC13" i="1"/>
  <c r="AB13" i="1"/>
  <c r="D21" i="3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B13" i="1"/>
  <c r="C19" i="2"/>
  <c r="D19" i="2"/>
  <c r="E19" i="2"/>
  <c r="F19" i="2"/>
  <c r="G19" i="2"/>
  <c r="J19" i="2"/>
  <c r="C20" i="2"/>
  <c r="D20" i="2"/>
  <c r="H20" i="2" s="1"/>
  <c r="E20" i="2"/>
  <c r="F20" i="2"/>
  <c r="G20" i="2"/>
  <c r="J20" i="2"/>
  <c r="C21" i="2"/>
  <c r="D21" i="2"/>
  <c r="E21" i="2"/>
  <c r="F21" i="2"/>
  <c r="G21" i="2"/>
  <c r="J21" i="2"/>
  <c r="C18" i="2"/>
  <c r="D18" i="2"/>
  <c r="C5" i="2"/>
  <c r="F18" i="2"/>
  <c r="G26" i="2"/>
  <c r="F26" i="2"/>
  <c r="E26" i="2"/>
  <c r="D26" i="2"/>
  <c r="I26" i="2" s="1"/>
  <c r="C26" i="2"/>
  <c r="B26" i="2"/>
  <c r="G25" i="2"/>
  <c r="F25" i="2"/>
  <c r="E25" i="2"/>
  <c r="D25" i="2"/>
  <c r="I25" i="2" s="1"/>
  <c r="C25" i="2"/>
  <c r="B25" i="2"/>
  <c r="G24" i="2"/>
  <c r="F24" i="2"/>
  <c r="E24" i="2"/>
  <c r="D24" i="2"/>
  <c r="C24" i="2"/>
  <c r="B24" i="2"/>
  <c r="G23" i="2"/>
  <c r="F23" i="2"/>
  <c r="E23" i="2"/>
  <c r="D23" i="2"/>
  <c r="I23" i="2" s="1"/>
  <c r="C23" i="2"/>
  <c r="B23" i="2"/>
  <c r="G22" i="2"/>
  <c r="F22" i="2"/>
  <c r="E22" i="2"/>
  <c r="D22" i="2"/>
  <c r="C22" i="2"/>
  <c r="B22" i="2"/>
  <c r="C7" i="2"/>
  <c r="B21" i="2"/>
  <c r="B20" i="2"/>
  <c r="B27" i="2"/>
  <c r="C27" i="2"/>
  <c r="D27" i="2"/>
  <c r="E27" i="2"/>
  <c r="F27" i="2"/>
  <c r="G27" i="2"/>
  <c r="H19" i="4"/>
  <c r="K19" i="4"/>
  <c r="L19" i="4"/>
  <c r="M19" i="4"/>
  <c r="H40" i="4"/>
  <c r="K40" i="4"/>
  <c r="L40" i="4"/>
  <c r="M40" i="4"/>
  <c r="H41" i="4"/>
  <c r="K41" i="4"/>
  <c r="L41" i="4"/>
  <c r="M41" i="4"/>
  <c r="H42" i="4"/>
  <c r="K42" i="4"/>
  <c r="L42" i="4"/>
  <c r="M42" i="4"/>
  <c r="H43" i="4"/>
  <c r="K43" i="4"/>
  <c r="L43" i="4"/>
  <c r="M43" i="4"/>
  <c r="H44" i="4"/>
  <c r="K44" i="4"/>
  <c r="L44" i="4"/>
  <c r="M44" i="4"/>
  <c r="H45" i="4"/>
  <c r="K45" i="4"/>
  <c r="L45" i="4"/>
  <c r="M45" i="4"/>
  <c r="H46" i="4"/>
  <c r="K46" i="4"/>
  <c r="L46" i="4"/>
  <c r="M46" i="4"/>
  <c r="H47" i="4"/>
  <c r="K47" i="4"/>
  <c r="L47" i="4"/>
  <c r="M47" i="4"/>
  <c r="C48" i="4"/>
  <c r="D48" i="4"/>
  <c r="E48" i="4"/>
  <c r="G48" i="4"/>
  <c r="A13" i="1"/>
  <c r="J19" i="4" s="1"/>
  <c r="I19" i="4" s="1"/>
  <c r="B3" i="3"/>
  <c r="B7" i="3" s="1"/>
  <c r="A14" i="3"/>
  <c r="B14" i="3"/>
  <c r="A15" i="3"/>
  <c r="B15" i="3"/>
  <c r="A16" i="3"/>
  <c r="C21" i="3" s="1"/>
  <c r="B16" i="3"/>
  <c r="A17" i="3"/>
  <c r="C22" i="3" s="1"/>
  <c r="B17" i="3"/>
  <c r="A18" i="3"/>
  <c r="B18" i="3"/>
  <c r="A19" i="3"/>
  <c r="B19" i="3"/>
  <c r="A20" i="3"/>
  <c r="B20" i="3"/>
  <c r="A21" i="3"/>
  <c r="E25" i="3" s="1"/>
  <c r="A22" i="3"/>
  <c r="A23" i="3"/>
  <c r="E28" i="3" s="1"/>
  <c r="A24" i="3"/>
  <c r="A25" i="3"/>
  <c r="D25" i="3"/>
  <c r="A26" i="3"/>
  <c r="D26" i="3"/>
  <c r="A27" i="3"/>
  <c r="D27" i="3"/>
  <c r="A28" i="3"/>
  <c r="D28" i="3"/>
  <c r="A29" i="3"/>
  <c r="C31" i="3" s="1"/>
  <c r="A30" i="3"/>
  <c r="A31" i="3"/>
  <c r="C33" i="3" s="1"/>
  <c r="B31" i="3"/>
  <c r="A32" i="3"/>
  <c r="C34" i="3" s="1"/>
  <c r="B32" i="3"/>
  <c r="A33" i="3"/>
  <c r="C40" i="3" s="1"/>
  <c r="B33" i="3"/>
  <c r="A34" i="3"/>
  <c r="C41" i="3" s="1"/>
  <c r="B34" i="3"/>
  <c r="A35" i="3"/>
  <c r="B35" i="3"/>
  <c r="D35" i="3"/>
  <c r="A36" i="3"/>
  <c r="B36" i="3"/>
  <c r="D36" i="3"/>
  <c r="A37" i="3"/>
  <c r="B37" i="3"/>
  <c r="A40" i="3"/>
  <c r="B40" i="3"/>
  <c r="A41" i="3"/>
  <c r="B41" i="3"/>
  <c r="A42" i="3"/>
  <c r="B42" i="3"/>
  <c r="A43" i="3"/>
  <c r="A44" i="3"/>
  <c r="A45" i="3"/>
  <c r="A53" i="3"/>
  <c r="B53" i="3"/>
  <c r="A54" i="3"/>
  <c r="B54" i="3"/>
  <c r="A55" i="3"/>
  <c r="B55" i="3"/>
  <c r="B59" i="3"/>
  <c r="B67" i="3" s="1"/>
  <c r="B60" i="3"/>
  <c r="B68" i="3" s="1"/>
  <c r="B61" i="3"/>
  <c r="B69" i="3" s="1"/>
  <c r="B62" i="3"/>
  <c r="B70" i="3" s="1"/>
  <c r="B63" i="3"/>
  <c r="B71" i="3" s="1"/>
  <c r="B64" i="3"/>
  <c r="B73" i="3" s="1"/>
  <c r="B76" i="3"/>
  <c r="B82" i="3" s="1"/>
  <c r="B77" i="3"/>
  <c r="B83" i="3" s="1"/>
  <c r="B78" i="3"/>
  <c r="B85" i="3" s="1"/>
  <c r="B79" i="3"/>
  <c r="B86" i="3" s="1"/>
  <c r="S1" i="2"/>
  <c r="C9" i="2"/>
  <c r="H14" i="2"/>
  <c r="B21" i="3" s="1"/>
  <c r="I14" i="2"/>
  <c r="B22" i="3" s="1"/>
  <c r="J14" i="2"/>
  <c r="B23" i="3" s="1"/>
  <c r="K14" i="2"/>
  <c r="B24" i="3" s="1"/>
  <c r="L14" i="2"/>
  <c r="B25" i="3" s="1"/>
  <c r="M14" i="2"/>
  <c r="B26" i="3" s="1"/>
  <c r="N14" i="2"/>
  <c r="B27" i="3" s="1"/>
  <c r="O14" i="2"/>
  <c r="B28" i="3" s="1"/>
  <c r="P14" i="2"/>
  <c r="B29" i="3" s="1"/>
  <c r="Q14" i="2"/>
  <c r="B30" i="3" s="1"/>
  <c r="B16" i="2"/>
  <c r="C16" i="2"/>
  <c r="D16" i="2"/>
  <c r="E16" i="2"/>
  <c r="F16" i="2"/>
  <c r="G16" i="2"/>
  <c r="J16" i="2"/>
  <c r="A17" i="2"/>
  <c r="B17" i="2"/>
  <c r="C17" i="2"/>
  <c r="D17" i="2"/>
  <c r="E17" i="2"/>
  <c r="F17" i="2"/>
  <c r="G17" i="2"/>
  <c r="J17" i="2"/>
  <c r="A18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B18" i="2"/>
  <c r="E18" i="2"/>
  <c r="G18" i="2"/>
  <c r="J18" i="2"/>
  <c r="B19" i="2"/>
  <c r="J22" i="2"/>
  <c r="J23" i="2"/>
  <c r="J24" i="2"/>
  <c r="J25" i="2"/>
  <c r="J26" i="2"/>
  <c r="J27" i="2"/>
  <c r="B28" i="2"/>
  <c r="C28" i="2"/>
  <c r="H28" i="2" s="1"/>
  <c r="D28" i="2"/>
  <c r="E28" i="2"/>
  <c r="F28" i="2"/>
  <c r="G28" i="2"/>
  <c r="J28" i="2"/>
  <c r="B29" i="2"/>
  <c r="C29" i="2"/>
  <c r="D29" i="2"/>
  <c r="I29" i="2" s="1"/>
  <c r="E29" i="2"/>
  <c r="F29" i="2"/>
  <c r="G29" i="2"/>
  <c r="J29" i="2"/>
  <c r="B30" i="2"/>
  <c r="C30" i="2"/>
  <c r="H30" i="2" s="1"/>
  <c r="D30" i="2"/>
  <c r="E30" i="2"/>
  <c r="F30" i="2"/>
  <c r="G30" i="2"/>
  <c r="J30" i="2"/>
  <c r="B31" i="2"/>
  <c r="C31" i="2"/>
  <c r="H31" i="2" s="1"/>
  <c r="D31" i="2"/>
  <c r="I31" i="2" s="1"/>
  <c r="E31" i="2"/>
  <c r="F31" i="2"/>
  <c r="G31" i="2"/>
  <c r="J31" i="2"/>
  <c r="B32" i="2"/>
  <c r="C32" i="2"/>
  <c r="H32" i="2" s="1"/>
  <c r="D32" i="2"/>
  <c r="E32" i="2"/>
  <c r="F32" i="2"/>
  <c r="G32" i="2"/>
  <c r="J32" i="2"/>
  <c r="B33" i="2"/>
  <c r="C33" i="2"/>
  <c r="D33" i="2"/>
  <c r="I33" i="2" s="1"/>
  <c r="E33" i="2"/>
  <c r="F33" i="2"/>
  <c r="G33" i="2"/>
  <c r="J33" i="2"/>
  <c r="B34" i="2"/>
  <c r="C34" i="2"/>
  <c r="H34" i="2" s="1"/>
  <c r="D34" i="2"/>
  <c r="E34" i="2"/>
  <c r="F34" i="2"/>
  <c r="G34" i="2"/>
  <c r="J34" i="2"/>
  <c r="B35" i="2"/>
  <c r="C35" i="2"/>
  <c r="H35" i="2" s="1"/>
  <c r="D35" i="2"/>
  <c r="I35" i="2" s="1"/>
  <c r="E35" i="2"/>
  <c r="F35" i="2"/>
  <c r="G35" i="2"/>
  <c r="J35" i="2"/>
  <c r="B36" i="2"/>
  <c r="C36" i="2"/>
  <c r="H36" i="2" s="1"/>
  <c r="D36" i="2"/>
  <c r="I36" i="2" s="1"/>
  <c r="E36" i="2"/>
  <c r="F36" i="2"/>
  <c r="G36" i="2"/>
  <c r="J36" i="2"/>
  <c r="B37" i="2"/>
  <c r="C37" i="2"/>
  <c r="D37" i="2"/>
  <c r="I37" i="2" s="1"/>
  <c r="E37" i="2"/>
  <c r="F37" i="2"/>
  <c r="G37" i="2"/>
  <c r="J37" i="2"/>
  <c r="B38" i="2"/>
  <c r="C38" i="2"/>
  <c r="H38" i="2" s="1"/>
  <c r="D38" i="2"/>
  <c r="I38" i="2" s="1"/>
  <c r="E38" i="2"/>
  <c r="F38" i="2"/>
  <c r="G38" i="2"/>
  <c r="J38" i="2"/>
  <c r="B39" i="2"/>
  <c r="C39" i="2"/>
  <c r="H39" i="2" s="1"/>
  <c r="D39" i="2"/>
  <c r="I39" i="2" s="1"/>
  <c r="E39" i="2"/>
  <c r="F39" i="2"/>
  <c r="G39" i="2"/>
  <c r="J39" i="2"/>
  <c r="B40" i="2"/>
  <c r="C40" i="2"/>
  <c r="H40" i="2" s="1"/>
  <c r="D40" i="2"/>
  <c r="I40" i="2" s="1"/>
  <c r="E40" i="2"/>
  <c r="F40" i="2"/>
  <c r="G40" i="2"/>
  <c r="J40" i="2"/>
  <c r="B41" i="2"/>
  <c r="C41" i="2"/>
  <c r="H41" i="2" s="1"/>
  <c r="D41" i="2"/>
  <c r="I41" i="2" s="1"/>
  <c r="E41" i="2"/>
  <c r="F41" i="2"/>
  <c r="G41" i="2"/>
  <c r="J41" i="2"/>
  <c r="B42" i="2"/>
  <c r="C42" i="2"/>
  <c r="H42" i="2" s="1"/>
  <c r="D42" i="2"/>
  <c r="E42" i="2"/>
  <c r="F42" i="2"/>
  <c r="G42" i="2"/>
  <c r="J42" i="2"/>
  <c r="B43" i="2"/>
  <c r="C43" i="2"/>
  <c r="H43" i="2" s="1"/>
  <c r="D43" i="2"/>
  <c r="I43" i="2" s="1"/>
  <c r="E43" i="2"/>
  <c r="F43" i="2"/>
  <c r="G43" i="2"/>
  <c r="J43" i="2"/>
  <c r="B44" i="2"/>
  <c r="C44" i="2"/>
  <c r="H44" i="2" s="1"/>
  <c r="D44" i="2"/>
  <c r="I44" i="2" s="1"/>
  <c r="E44" i="2"/>
  <c r="F44" i="2"/>
  <c r="G44" i="2"/>
  <c r="J44" i="2"/>
  <c r="D45" i="2"/>
  <c r="D46" i="2"/>
  <c r="E27" i="3"/>
  <c r="C35" i="3"/>
  <c r="I34" i="2"/>
  <c r="J40" i="4"/>
  <c r="I40" i="4" s="1"/>
  <c r="J42" i="4"/>
  <c r="I42" i="4" s="1"/>
  <c r="J44" i="4"/>
  <c r="I44" i="4" s="1"/>
  <c r="J46" i="4"/>
  <c r="I46" i="4" s="1"/>
  <c r="J41" i="4"/>
  <c r="I41" i="4" s="1"/>
  <c r="J43" i="4"/>
  <c r="I43" i="4" s="1"/>
  <c r="J45" i="4"/>
  <c r="I45" i="4" s="1"/>
  <c r="J47" i="4"/>
  <c r="I47" i="4" s="1"/>
  <c r="C32" i="3"/>
  <c r="H22" i="2"/>
  <c r="H27" i="2"/>
  <c r="C36" i="3" l="1"/>
  <c r="C27" i="3"/>
  <c r="I22" i="2"/>
  <c r="N22" i="2" s="1"/>
  <c r="Q22" i="2" s="1"/>
  <c r="K42" i="2"/>
  <c r="O42" i="2" s="1"/>
  <c r="K34" i="2"/>
  <c r="O34" i="2" s="1"/>
  <c r="L22" i="2"/>
  <c r="K19" i="2"/>
  <c r="O19" i="2" s="1"/>
  <c r="L27" i="2"/>
  <c r="K27" i="2"/>
  <c r="O27" i="2" s="1"/>
  <c r="M34" i="2"/>
  <c r="D24" i="3"/>
  <c r="K29" i="2"/>
  <c r="O29" i="2" s="1"/>
  <c r="K16" i="2"/>
  <c r="O16" i="2" s="1"/>
  <c r="D22" i="3"/>
  <c r="K40" i="2"/>
  <c r="O40" i="2" s="1"/>
  <c r="K28" i="2"/>
  <c r="O28" i="2" s="1"/>
  <c r="K26" i="2"/>
  <c r="O26" i="2" s="1"/>
  <c r="K20" i="2"/>
  <c r="O20" i="2" s="1"/>
  <c r="M22" i="2"/>
  <c r="N26" i="2"/>
  <c r="K21" i="2"/>
  <c r="O21" i="2" s="1"/>
  <c r="C28" i="3"/>
  <c r="K25" i="2"/>
  <c r="O25" i="2" s="1"/>
  <c r="Q27" i="2"/>
  <c r="W27" i="2" s="1"/>
  <c r="L31" i="2"/>
  <c r="I27" i="2"/>
  <c r="N27" i="2" s="1"/>
  <c r="E22" i="3"/>
  <c r="Q38" i="2"/>
  <c r="W38" i="2" s="1"/>
  <c r="N37" i="2"/>
  <c r="N33" i="2"/>
  <c r="M29" i="2"/>
  <c r="I16" i="2"/>
  <c r="N16" i="2" s="1"/>
  <c r="C37" i="3"/>
  <c r="C30" i="3"/>
  <c r="K32" i="2"/>
  <c r="O32" i="2" s="1"/>
  <c r="N23" i="2"/>
  <c r="N25" i="2"/>
  <c r="L30" i="2"/>
  <c r="I21" i="2"/>
  <c r="M21" i="2" s="1"/>
  <c r="Q35" i="2"/>
  <c r="W35" i="2" s="1"/>
  <c r="I28" i="2"/>
  <c r="N28" i="2" s="1"/>
  <c r="Q26" i="2"/>
  <c r="S26" i="2" s="1"/>
  <c r="U26" i="2" s="1"/>
  <c r="H33" i="2"/>
  <c r="L33" i="2" s="1"/>
  <c r="H29" i="2"/>
  <c r="L29" i="2" s="1"/>
  <c r="H26" i="2"/>
  <c r="L26" i="2" s="1"/>
  <c r="P26" i="2" s="1"/>
  <c r="Q29" i="4" s="1"/>
  <c r="D29" i="3"/>
  <c r="C24" i="3"/>
  <c r="C25" i="3"/>
  <c r="D30" i="3"/>
  <c r="M39" i="2"/>
  <c r="Q24" i="2"/>
  <c r="S24" i="2" s="1"/>
  <c r="U24" i="2" s="1"/>
  <c r="E21" i="3"/>
  <c r="Q39" i="2"/>
  <c r="S39" i="2" s="1"/>
  <c r="U39" i="2" s="1"/>
  <c r="B72" i="3"/>
  <c r="Q28" i="2"/>
  <c r="R31" i="4" s="1"/>
  <c r="B84" i="3"/>
  <c r="I18" i="2"/>
  <c r="M18" i="2" s="1"/>
  <c r="K18" i="2"/>
  <c r="O18" i="2" s="1"/>
  <c r="I17" i="2"/>
  <c r="M17" i="2" s="1"/>
  <c r="K22" i="2"/>
  <c r="O22" i="2" s="1"/>
  <c r="Q21" i="2"/>
  <c r="W21" i="2" s="1"/>
  <c r="K24" i="2"/>
  <c r="O24" i="2" s="1"/>
  <c r="I24" i="2"/>
  <c r="M24" i="2" s="1"/>
  <c r="H25" i="2"/>
  <c r="L25" i="2" s="1"/>
  <c r="Q29" i="2"/>
  <c r="S29" i="2" s="1"/>
  <c r="U29" i="2" s="1"/>
  <c r="K37" i="2"/>
  <c r="O37" i="2" s="1"/>
  <c r="N36" i="2"/>
  <c r="Q23" i="2"/>
  <c r="S23" i="2" s="1"/>
  <c r="U23" i="2" s="1"/>
  <c r="C29" i="3"/>
  <c r="Q32" i="2"/>
  <c r="S32" i="2" s="1"/>
  <c r="U32" i="2" s="1"/>
  <c r="K23" i="2"/>
  <c r="O23" i="2" s="1"/>
  <c r="E24" i="3"/>
  <c r="M37" i="2"/>
  <c r="M41" i="2"/>
  <c r="N40" i="2"/>
  <c r="N34" i="2"/>
  <c r="H24" i="2"/>
  <c r="L24" i="2" s="1"/>
  <c r="H23" i="2"/>
  <c r="L23" i="2" s="1"/>
  <c r="M23" i="2"/>
  <c r="H21" i="2"/>
  <c r="L21" i="2" s="1"/>
  <c r="N44" i="2"/>
  <c r="M44" i="2"/>
  <c r="K44" i="2"/>
  <c r="O44" i="2" s="1"/>
  <c r="L42" i="2"/>
  <c r="Q41" i="2"/>
  <c r="W41" i="2" s="1"/>
  <c r="L39" i="2"/>
  <c r="Q30" i="2"/>
  <c r="W30" i="2" s="1"/>
  <c r="H16" i="2"/>
  <c r="L16" i="2" s="1"/>
  <c r="L41" i="2"/>
  <c r="L28" i="2"/>
  <c r="P28" i="2" s="1"/>
  <c r="V28" i="2" s="1"/>
  <c r="L44" i="2"/>
  <c r="N41" i="2"/>
  <c r="K39" i="2"/>
  <c r="O39" i="2" s="1"/>
  <c r="M38" i="2"/>
  <c r="M36" i="2"/>
  <c r="L36" i="2"/>
  <c r="K33" i="2"/>
  <c r="O33" i="2" s="1"/>
  <c r="C26" i="3"/>
  <c r="L35" i="2"/>
  <c r="P37" i="2"/>
  <c r="V37" i="2" s="1"/>
  <c r="M31" i="2"/>
  <c r="N31" i="2"/>
  <c r="M26" i="2"/>
  <c r="K31" i="2"/>
  <c r="O31" i="2" s="1"/>
  <c r="P44" i="2"/>
  <c r="V44" i="2" s="1"/>
  <c r="Q44" i="2"/>
  <c r="R47" i="4" s="1"/>
  <c r="Q36" i="2"/>
  <c r="S36" i="2" s="1"/>
  <c r="U36" i="2" s="1"/>
  <c r="Q33" i="2"/>
  <c r="R36" i="4" s="1"/>
  <c r="P41" i="2"/>
  <c r="R41" i="2" s="1"/>
  <c r="T41" i="2" s="1"/>
  <c r="L40" i="2"/>
  <c r="P38" i="2"/>
  <c r="V38" i="2" s="1"/>
  <c r="Q40" i="2"/>
  <c r="Q31" i="2"/>
  <c r="W31" i="2" s="1"/>
  <c r="M40" i="2"/>
  <c r="P40" i="2"/>
  <c r="V40" i="2" s="1"/>
  <c r="Q37" i="2"/>
  <c r="R40" i="4" s="1"/>
  <c r="H37" i="2"/>
  <c r="L37" i="2" s="1"/>
  <c r="K30" i="2"/>
  <c r="O30" i="2" s="1"/>
  <c r="I30" i="2"/>
  <c r="M30" i="2" s="1"/>
  <c r="N39" i="2"/>
  <c r="Q42" i="2"/>
  <c r="R45" i="4" s="1"/>
  <c r="K43" i="2"/>
  <c r="O43" i="2" s="1"/>
  <c r="L38" i="2"/>
  <c r="K36" i="2"/>
  <c r="O36" i="2" s="1"/>
  <c r="P35" i="2"/>
  <c r="V35" i="2" s="1"/>
  <c r="L34" i="2"/>
  <c r="M33" i="2"/>
  <c r="L32" i="2"/>
  <c r="P27" i="2"/>
  <c r="R27" i="2" s="1"/>
  <c r="T27" i="2" s="1"/>
  <c r="K41" i="2"/>
  <c r="O41" i="2" s="1"/>
  <c r="L20" i="2"/>
  <c r="M25" i="2"/>
  <c r="P25" i="2" s="1"/>
  <c r="N29" i="2"/>
  <c r="P29" i="2" s="1"/>
  <c r="V29" i="2" s="1"/>
  <c r="N43" i="2"/>
  <c r="K35" i="2"/>
  <c r="O35" i="2" s="1"/>
  <c r="P36" i="2"/>
  <c r="R36" i="2" s="1"/>
  <c r="T36" i="2" s="1"/>
  <c r="I20" i="2"/>
  <c r="N20" i="2" s="1"/>
  <c r="P39" i="2"/>
  <c r="Q42" i="4" s="1"/>
  <c r="K17" i="2"/>
  <c r="O17" i="2" s="1"/>
  <c r="I19" i="2"/>
  <c r="N19" i="2" s="1"/>
  <c r="H19" i="2"/>
  <c r="L19" i="2" s="1"/>
  <c r="H18" i="2"/>
  <c r="L18" i="2" s="1"/>
  <c r="H17" i="2"/>
  <c r="L17" i="2" s="1"/>
  <c r="P34" i="2"/>
  <c r="R34" i="2" s="1"/>
  <c r="T34" i="2" s="1"/>
  <c r="P42" i="2"/>
  <c r="R42" i="2" s="1"/>
  <c r="T42" i="2" s="1"/>
  <c r="M35" i="2"/>
  <c r="N35" i="2"/>
  <c r="N38" i="2"/>
  <c r="P43" i="2"/>
  <c r="R43" i="2" s="1"/>
  <c r="T43" i="2" s="1"/>
  <c r="Q43" i="2"/>
  <c r="W43" i="2" s="1"/>
  <c r="P33" i="2"/>
  <c r="V33" i="2" s="1"/>
  <c r="E26" i="3"/>
  <c r="L43" i="2"/>
  <c r="M43" i="2"/>
  <c r="I42" i="2"/>
  <c r="N42" i="2" s="1"/>
  <c r="K38" i="2"/>
  <c r="O38" i="2" s="1"/>
  <c r="Q34" i="2"/>
  <c r="I32" i="2"/>
  <c r="C8" i="3"/>
  <c r="B8" i="3"/>
  <c r="C9" i="3"/>
  <c r="A6" i="3"/>
  <c r="B10" i="3"/>
  <c r="A7" i="3"/>
  <c r="C7" i="3"/>
  <c r="A10" i="3"/>
  <c r="C10" i="3"/>
  <c r="B9" i="3"/>
  <c r="A8" i="3"/>
  <c r="A9" i="3"/>
  <c r="P47" i="4"/>
  <c r="O47" i="4"/>
  <c r="C42" i="3"/>
  <c r="O43" i="4"/>
  <c r="N43" i="4"/>
  <c r="P43" i="4"/>
  <c r="N46" i="4"/>
  <c r="O46" i="4"/>
  <c r="P46" i="4"/>
  <c r="O45" i="4"/>
  <c r="P45" i="4"/>
  <c r="N45" i="4"/>
  <c r="O40" i="4"/>
  <c r="N40" i="4"/>
  <c r="P40" i="4"/>
  <c r="P19" i="4"/>
  <c r="O19" i="4"/>
  <c r="N19" i="4"/>
  <c r="P42" i="4"/>
  <c r="O42" i="4"/>
  <c r="N42" i="4"/>
  <c r="O41" i="4"/>
  <c r="N41" i="4"/>
  <c r="P41" i="4"/>
  <c r="P44" i="4"/>
  <c r="N44" i="4"/>
  <c r="O44" i="4"/>
  <c r="N47" i="4"/>
  <c r="P22" i="2" l="1"/>
  <c r="V22" i="2" s="1"/>
  <c r="M16" i="2"/>
  <c r="Q16" i="2" s="1"/>
  <c r="W39" i="2"/>
  <c r="R38" i="4"/>
  <c r="W24" i="2"/>
  <c r="M28" i="2"/>
  <c r="X38" i="2"/>
  <c r="M27" i="2"/>
  <c r="R42" i="4"/>
  <c r="S42" i="4" s="1"/>
  <c r="S38" i="2"/>
  <c r="U38" i="2" s="1"/>
  <c r="R30" i="4"/>
  <c r="N21" i="2"/>
  <c r="S27" i="2"/>
  <c r="U27" i="2" s="1"/>
  <c r="X35" i="2"/>
  <c r="S35" i="2"/>
  <c r="U35" i="2" s="1"/>
  <c r="R41" i="4"/>
  <c r="R29" i="4"/>
  <c r="S29" i="4" s="1"/>
  <c r="W26" i="2"/>
  <c r="P31" i="2"/>
  <c r="V31" i="2" s="1"/>
  <c r="X31" i="2" s="1"/>
  <c r="Q25" i="2"/>
  <c r="W25" i="2" s="1"/>
  <c r="R27" i="4"/>
  <c r="N24" i="2"/>
  <c r="W32" i="2"/>
  <c r="W28" i="2"/>
  <c r="X28" i="2" s="1"/>
  <c r="S28" i="2"/>
  <c r="U28" i="2" s="1"/>
  <c r="R35" i="4"/>
  <c r="N18" i="2"/>
  <c r="Q18" i="2" s="1"/>
  <c r="W18" i="2" s="1"/>
  <c r="R32" i="4"/>
  <c r="R26" i="2"/>
  <c r="T26" i="2" s="1"/>
  <c r="W29" i="2"/>
  <c r="X29" i="2" s="1"/>
  <c r="V26" i="2"/>
  <c r="S21" i="2"/>
  <c r="U21" i="2" s="1"/>
  <c r="N17" i="2"/>
  <c r="Q17" i="2" s="1"/>
  <c r="R24" i="4"/>
  <c r="W23" i="2"/>
  <c r="R29" i="2"/>
  <c r="T29" i="2" s="1"/>
  <c r="S31" i="2"/>
  <c r="U31" i="2" s="1"/>
  <c r="W44" i="2"/>
  <c r="X44" i="2" s="1"/>
  <c r="S44" i="2"/>
  <c r="U44" i="2" s="1"/>
  <c r="R44" i="4"/>
  <c r="S41" i="2"/>
  <c r="U41" i="2" s="1"/>
  <c r="R34" i="4"/>
  <c r="P16" i="2"/>
  <c r="V16" i="2" s="1"/>
  <c r="R37" i="2"/>
  <c r="T37" i="2" s="1"/>
  <c r="R35" i="2"/>
  <c r="T35" i="2" s="1"/>
  <c r="P24" i="2"/>
  <c r="Q27" i="4" s="1"/>
  <c r="W36" i="2"/>
  <c r="Q40" i="4"/>
  <c r="S40" i="4" s="1"/>
  <c r="Q45" i="4"/>
  <c r="S45" i="4" s="1"/>
  <c r="Q30" i="4"/>
  <c r="R38" i="2"/>
  <c r="T38" i="2" s="1"/>
  <c r="R39" i="4"/>
  <c r="V41" i="2"/>
  <c r="X41" i="2" s="1"/>
  <c r="Q47" i="4"/>
  <c r="S47" i="4" s="1"/>
  <c r="P23" i="2"/>
  <c r="Q26" i="4" s="1"/>
  <c r="S26" i="4" s="1"/>
  <c r="R33" i="4"/>
  <c r="W37" i="2"/>
  <c r="X37" i="2" s="1"/>
  <c r="S30" i="2"/>
  <c r="U30" i="2" s="1"/>
  <c r="Q44" i="4"/>
  <c r="Q43" i="4"/>
  <c r="Q31" i="4"/>
  <c r="S31" i="4" s="1"/>
  <c r="R25" i="2"/>
  <c r="T25" i="2" s="1"/>
  <c r="Q28" i="4"/>
  <c r="V25" i="2"/>
  <c r="W22" i="2"/>
  <c r="P21" i="2"/>
  <c r="Q24" i="4" s="1"/>
  <c r="M20" i="2"/>
  <c r="Q20" i="2" s="1"/>
  <c r="Q41" i="4"/>
  <c r="Q38" i="4"/>
  <c r="M19" i="2"/>
  <c r="Q19" i="2" s="1"/>
  <c r="W19" i="2" s="1"/>
  <c r="Q37" i="4"/>
  <c r="W42" i="2"/>
  <c r="S42" i="2"/>
  <c r="U42" i="2" s="1"/>
  <c r="S40" i="2"/>
  <c r="U40" i="2" s="1"/>
  <c r="W40" i="2"/>
  <c r="X40" i="2" s="1"/>
  <c r="R28" i="2"/>
  <c r="T28" i="2" s="1"/>
  <c r="R44" i="2"/>
  <c r="T44" i="2" s="1"/>
  <c r="R33" i="2"/>
  <c r="T33" i="2" s="1"/>
  <c r="V27" i="2"/>
  <c r="X27" i="2" s="1"/>
  <c r="S37" i="2"/>
  <c r="U37" i="2" s="1"/>
  <c r="S43" i="2"/>
  <c r="U43" i="2" s="1"/>
  <c r="N30" i="2"/>
  <c r="P30" i="2" s="1"/>
  <c r="Q32" i="4"/>
  <c r="R40" i="2"/>
  <c r="T40" i="2" s="1"/>
  <c r="W33" i="2"/>
  <c r="X33" i="2" s="1"/>
  <c r="S33" i="2"/>
  <c r="U33" i="2" s="1"/>
  <c r="R46" i="4"/>
  <c r="R43" i="4"/>
  <c r="V34" i="2"/>
  <c r="Q36" i="4"/>
  <c r="S36" i="4" s="1"/>
  <c r="R39" i="2"/>
  <c r="T39" i="2" s="1"/>
  <c r="P20" i="2"/>
  <c r="Q39" i="4"/>
  <c r="V36" i="2"/>
  <c r="V39" i="2"/>
  <c r="V42" i="2"/>
  <c r="N32" i="2"/>
  <c r="M32" i="2"/>
  <c r="Q46" i="4"/>
  <c r="V43" i="2"/>
  <c r="X43" i="2" s="1"/>
  <c r="W34" i="2"/>
  <c r="R37" i="4"/>
  <c r="S34" i="2"/>
  <c r="U34" i="2" s="1"/>
  <c r="M42" i="2"/>
  <c r="Q25" i="4" l="1"/>
  <c r="S25" i="4" s="1"/>
  <c r="X22" i="2"/>
  <c r="R22" i="2"/>
  <c r="T22" i="2" s="1"/>
  <c r="P17" i="2"/>
  <c r="V17" i="2" s="1"/>
  <c r="S41" i="4"/>
  <c r="X25" i="2"/>
  <c r="Q34" i="4"/>
  <c r="S34" i="4" s="1"/>
  <c r="X39" i="2"/>
  <c r="S38" i="4"/>
  <c r="X26" i="2"/>
  <c r="S30" i="4"/>
  <c r="S27" i="4"/>
  <c r="R31" i="2"/>
  <c r="T31" i="2" s="1"/>
  <c r="Q33" i="4"/>
  <c r="S33" i="4" s="1"/>
  <c r="R30" i="2"/>
  <c r="T30" i="2" s="1"/>
  <c r="V30" i="2"/>
  <c r="X30" i="2" s="1"/>
  <c r="R28" i="4"/>
  <c r="S28" i="4" s="1"/>
  <c r="P32" i="2"/>
  <c r="P18" i="2"/>
  <c r="Q21" i="4" s="1"/>
  <c r="S25" i="2"/>
  <c r="U25" i="2" s="1"/>
  <c r="R21" i="4"/>
  <c r="S32" i="4"/>
  <c r="S18" i="2"/>
  <c r="U18" i="2" s="1"/>
  <c r="S24" i="4"/>
  <c r="W17" i="2"/>
  <c r="R20" i="4"/>
  <c r="S17" i="2"/>
  <c r="U17" i="2" s="1"/>
  <c r="S43" i="4"/>
  <c r="S44" i="4"/>
  <c r="R24" i="2"/>
  <c r="T24" i="2" s="1"/>
  <c r="R16" i="2"/>
  <c r="V24" i="2"/>
  <c r="X24" i="2" s="1"/>
  <c r="S39" i="4"/>
  <c r="X36" i="2"/>
  <c r="X42" i="2"/>
  <c r="R23" i="2"/>
  <c r="T23" i="2" s="1"/>
  <c r="V23" i="2"/>
  <c r="X23" i="2" s="1"/>
  <c r="S37" i="4"/>
  <c r="P19" i="2"/>
  <c r="V19" i="2" s="1"/>
  <c r="X19" i="2" s="1"/>
  <c r="S22" i="2"/>
  <c r="U22" i="2" s="1"/>
  <c r="V21" i="2"/>
  <c r="X21" i="2" s="1"/>
  <c r="R21" i="2"/>
  <c r="T21" i="2" s="1"/>
  <c r="S20" i="2"/>
  <c r="U20" i="2" s="1"/>
  <c r="W20" i="2"/>
  <c r="R22" i="4"/>
  <c r="S19" i="2"/>
  <c r="U19" i="2" s="1"/>
  <c r="S46" i="4"/>
  <c r="X34" i="2"/>
  <c r="V20" i="2"/>
  <c r="Q23" i="4"/>
  <c r="S23" i="4" s="1"/>
  <c r="R20" i="2"/>
  <c r="T20" i="2" s="1"/>
  <c r="W16" i="2"/>
  <c r="X16" i="2" s="1"/>
  <c r="S16" i="2"/>
  <c r="X17" i="2" l="1"/>
  <c r="Q20" i="4"/>
  <c r="S20" i="4" s="1"/>
  <c r="R18" i="2"/>
  <c r="T18" i="2" s="1"/>
  <c r="V32" i="2"/>
  <c r="X32" i="2" s="1"/>
  <c r="Q35" i="4"/>
  <c r="S35" i="4" s="1"/>
  <c r="R32" i="2"/>
  <c r="T32" i="2" s="1"/>
  <c r="V18" i="2"/>
  <c r="X18" i="2" s="1"/>
  <c r="S21" i="4"/>
  <c r="Q22" i="4"/>
  <c r="S22" i="4" s="1"/>
  <c r="C46" i="2"/>
  <c r="X20" i="2"/>
  <c r="R17" i="2" l="1"/>
  <c r="T17" i="2" s="1"/>
  <c r="R19" i="2"/>
  <c r="T19" i="2" s="1"/>
  <c r="F45" i="2"/>
  <c r="C45" i="2" l="1"/>
  <c r="C47" i="2" s="1"/>
</calcChain>
</file>

<file path=xl/sharedStrings.xml><?xml version="1.0" encoding="utf-8"?>
<sst xmlns="http://schemas.openxmlformats.org/spreadsheetml/2006/main" count="398" uniqueCount="253">
  <si>
    <t>HIGH SCHOOL</t>
  </si>
  <si>
    <t>CHICO</t>
  </si>
  <si>
    <t>COLUSA</t>
  </si>
  <si>
    <t>GRIDLEY</t>
  </si>
  <si>
    <t>OROVILLE</t>
  </si>
  <si>
    <t>PARADISE</t>
  </si>
  <si>
    <t>BIGGS</t>
  </si>
  <si>
    <t>CHESTER</t>
  </si>
  <si>
    <t>CORNING</t>
  </si>
  <si>
    <t>DELTA</t>
  </si>
  <si>
    <t>DURHAM</t>
  </si>
  <si>
    <t>ELK CREEK</t>
  </si>
  <si>
    <t>ESPARTO</t>
  </si>
  <si>
    <t>LASSEN</t>
  </si>
  <si>
    <t>LIVE OAK</t>
  </si>
  <si>
    <t>LOS MOLINOS</t>
  </si>
  <si>
    <t>MAXWELL</t>
  </si>
  <si>
    <t>ORLAND</t>
  </si>
  <si>
    <t>PIERCE</t>
  </si>
  <si>
    <t>PRINCETON</t>
  </si>
  <si>
    <t>RIO VISTA</t>
  </si>
  <si>
    <t>SUTTER</t>
  </si>
  <si>
    <t>WHEATLAND</t>
  </si>
  <si>
    <t>WILLOWS</t>
  </si>
  <si>
    <t>WILLIAMS</t>
  </si>
  <si>
    <t>WINTERS</t>
  </si>
  <si>
    <t>NCVOA - CHICO</t>
  </si>
  <si>
    <t>NAME:</t>
  </si>
  <si>
    <t>ADDRESS:</t>
  </si>
  <si>
    <t>CITY/ST/ZIP:</t>
  </si>
  <si>
    <t>MILEAGE WILL BE REIMBURSED DURING THE MIDDLE OF DECEMBER.</t>
  </si>
  <si>
    <t>DATE</t>
  </si>
  <si>
    <t>MATCH SITE</t>
  </si>
  <si>
    <t>PARTNER</t>
  </si>
  <si>
    <t>LEFT FROM</t>
  </si>
  <si>
    <t>DROVE / RODE</t>
  </si>
  <si>
    <t>EAST NICOLAUS</t>
  </si>
  <si>
    <t>HAMILTON</t>
  </si>
  <si>
    <t>LAS PLUMAS</t>
  </si>
  <si>
    <t>MERCY</t>
  </si>
  <si>
    <t>PARADISE ADVENTIST</t>
  </si>
  <si>
    <t>PLEASANT VALLEY</t>
  </si>
  <si>
    <t>RED BLUFF</t>
  </si>
  <si>
    <t>YUBA CITY</t>
  </si>
  <si>
    <t>MARYSVILLE</t>
  </si>
  <si>
    <t>RATES</t>
  </si>
  <si>
    <t>MILEAGE</t>
  </si>
  <si>
    <t>DRIVER</t>
  </si>
  <si>
    <t>RIDER</t>
  </si>
  <si>
    <t>OVER</t>
  </si>
  <si>
    <t>mileage drove</t>
  </si>
  <si>
    <t>mileage rode</t>
  </si>
  <si>
    <t>pierce</t>
  </si>
  <si>
    <t>drive payment</t>
  </si>
  <si>
    <t>ride payment</t>
  </si>
  <si>
    <t>SAMPLE</t>
  </si>
  <si>
    <t>****</t>
  </si>
  <si>
    <t>?</t>
  </si>
  <si>
    <t>zunknown</t>
  </si>
  <si>
    <t>Additional Help for hidden columns</t>
  </si>
  <si>
    <t>automatically computed</t>
  </si>
  <si>
    <r>
      <t xml:space="preserve">PLEASE LIST </t>
    </r>
    <r>
      <rPr>
        <b/>
        <sz val="10"/>
        <rFont val="Arial"/>
        <family val="2"/>
      </rPr>
      <t>ALL</t>
    </r>
    <r>
      <rPr>
        <sz val="10"/>
        <rFont val="Arial"/>
        <family val="2"/>
      </rPr>
      <t xml:space="preserve"> MATCHES THAT YOU ATTENDED AND WHETHER YOU DROVE OR RODE!</t>
    </r>
  </si>
  <si>
    <t>"Database" worksheet</t>
  </si>
  <si>
    <t>CITY FROM</t>
  </si>
  <si>
    <t>Butte College</t>
  </si>
  <si>
    <t>drove</t>
  </si>
  <si>
    <t>Chico High</t>
  </si>
  <si>
    <t>City TO/High School</t>
  </si>
  <si>
    <t>Oroville High</t>
  </si>
  <si>
    <t>Marysville</t>
  </si>
  <si>
    <t>Yuba City</t>
  </si>
  <si>
    <t>Unknown road @39.736730, -121.818910</t>
  </si>
  <si>
    <t>town of</t>
  </si>
  <si>
    <t>Will S Green Ave @39.199570, -122.023080</t>
  </si>
  <si>
    <t>B St @39.414340, -121.706580 to:C St @39.415390, -121.705940</t>
  </si>
  <si>
    <t>google maps reference</t>
  </si>
  <si>
    <t>@ park &amp; ride</t>
  </si>
  <si>
    <t>@ high school</t>
  </si>
  <si>
    <t>CA-20 &amp; CA-70 Marysville, CA 95901</t>
  </si>
  <si>
    <t>300 E Spruce St Gridley, CA 95948</t>
  </si>
  <si>
    <t>@ hwy 20 &amp; hwy 70</t>
  </si>
  <si>
    <t>@ Walmart</t>
  </si>
  <si>
    <t>CA-162/Oroville Dam Blvd E @39.498030, -121.572980</t>
  </si>
  <si>
    <t>960 Wildwood Road Arbuckle, Ca 95912</t>
  </si>
  <si>
    <t>CA-99 N @39.141840, -121.634550</t>
  </si>
  <si>
    <t>@ hwy 20 &amp; hwy 99</t>
  </si>
  <si>
    <t>1st St @40.302810, -121.230240</t>
  </si>
  <si>
    <t>Chico Senior High School 901 Esplanade, Chico, CA</t>
  </si>
  <si>
    <t>643 Blackburn Ave Corning, CA 96021</t>
  </si>
  <si>
    <t>Putney Dr @39.647280, -121.803470</t>
  </si>
  <si>
    <t>Nicolaus Ave @38.910520, -121.526520</t>
  </si>
  <si>
    <t>County Road 309/Sanhedrin Rd @39.606540, -122.538430</t>
  </si>
  <si>
    <t>Netherlands Ave @38.416410, -121.528250</t>
  </si>
  <si>
    <t>Plainfield St @38.691130, -122.016100</t>
  </si>
  <si>
    <t>Canal St/County Road 203 @39.745060, -122.019590</t>
  </si>
  <si>
    <t>Las Plumas Ave @39.480450, -121.537330</t>
  </si>
  <si>
    <t>CA-36/Main St @40.416880, -120.654790</t>
  </si>
  <si>
    <t>2351 Pennington Rd Live Oak, CA 95953</t>
  </si>
  <si>
    <t>Grant St @40.024920, -122.095130</t>
  </si>
  <si>
    <t>515 Oak St Maxwell, CA 95955</t>
  </si>
  <si>
    <t>Antelope Blvd @40.179630, -122.227470 to:233 Riverside Way Red Bluff, CA 96080</t>
  </si>
  <si>
    <t>1535 Bridge St Oroville, CA 95966</t>
  </si>
  <si>
    <t>Academy Dr @39.754460, -121.617250</t>
  </si>
  <si>
    <t>East Ave @39.761150, -121.817390</t>
  </si>
  <si>
    <t>State St @39.401650, -122.011530</t>
  </si>
  <si>
    <t>Antelope Blvd @40.180060, -122.226510 to:1260 Union Street, Red Bluff, Ca  96080</t>
  </si>
  <si>
    <t>CA-12 @38.116090, -121.411890 to:S 7th St @38.157100, -121.698650</t>
  </si>
  <si>
    <t>CA-20 @39.142250, -121.750830 to:2665 Acacia Ave, Sutter, Sutter, California 95982, United States</t>
  </si>
  <si>
    <t>Wheatland Rd @39.007410, -121.431690</t>
  </si>
  <si>
    <t>11th St @39.155730, -122.156280</t>
  </si>
  <si>
    <t>N Merrill Ave @39.523390, -122.203200</t>
  </si>
  <si>
    <t>Forest Ranch</t>
  </si>
  <si>
    <t>Butte City</t>
  </si>
  <si>
    <t>Orland</t>
  </si>
  <si>
    <t>Red Bluff</t>
  </si>
  <si>
    <t>CA-162 @39.460550, -121.992590</t>
  </si>
  <si>
    <t>Nopel Ave @39.874460, -121.681360</t>
  </si>
  <si>
    <t>1260 Union Street, Red Bluff, Ca  96080 to:Antelope Blvd @40.180060, -122.226510</t>
  </si>
  <si>
    <t>updated using google maps Sept 2007</t>
  </si>
  <si>
    <t>same as yellow, BUT check directions (these miles are on back roads)</t>
  </si>
  <si>
    <t>in town miles that are NOT zero</t>
  </si>
  <si>
    <t>differences</t>
  </si>
  <si>
    <t>mileage drove errors</t>
  </si>
  <si>
    <t>mileage rode errors</t>
  </si>
  <si>
    <t>Please Enter All Data</t>
  </si>
  <si>
    <t>Hamilton</t>
  </si>
  <si>
    <t>Willows</t>
  </si>
  <si>
    <t>3rd St @39.751650, -122.192750</t>
  </si>
  <si>
    <t>County Road 89/Railroad Ave @38.526180, -121.971060</t>
  </si>
  <si>
    <t>Providence</t>
  </si>
  <si>
    <t>ENTER   Drove or Rode</t>
  </si>
  <si>
    <t>HOME CITY:</t>
  </si>
  <si>
    <t>MAILING CITY:</t>
  </si>
  <si>
    <t>STATE:</t>
  </si>
  <si>
    <t>ZIP:</t>
  </si>
  <si>
    <t>If this doesn't work, select that cell and enter the mileage value yourself.</t>
  </si>
  <si>
    <t>&lt;--- Enter Home City for mileages to be computed</t>
  </si>
  <si>
    <t>&lt;--- Enter Mailing Address</t>
  </si>
  <si>
    <t>&lt;--- Enter Name</t>
  </si>
  <si>
    <t>&lt;--- Only necessary if different than Home City</t>
  </si>
  <si>
    <t>MEETING LOCATION</t>
  </si>
  <si>
    <t>chico</t>
  </si>
  <si>
    <t>Note: All miles are one way</t>
  </si>
  <si>
    <t>left from</t>
  </si>
  <si>
    <t>meeting location</t>
  </si>
  <si>
    <t>match site</t>
  </si>
  <si>
    <t>drove / rode</t>
  </si>
  <si>
    <t>ROW #</t>
  </si>
  <si>
    <t>esparto</t>
  </si>
  <si>
    <r>
      <t>THEN Printout the "</t>
    </r>
    <r>
      <rPr>
        <sz val="14"/>
        <color indexed="10"/>
        <rFont val="Arial"/>
        <family val="2"/>
      </rPr>
      <t>Printout"</t>
    </r>
    <r>
      <rPr>
        <sz val="14"/>
        <rFont val="Arial"/>
        <family val="2"/>
      </rPr>
      <t xml:space="preserve"> worksheet</t>
    </r>
  </si>
  <si>
    <t>&lt;---  See diagram below.</t>
  </si>
  <si>
    <t>Note: Row # ONE is not included with the "totals" that this document computes.</t>
  </si>
  <si>
    <t>Colored Cells MUST have</t>
  </si>
  <si>
    <t>data entered in them</t>
  </si>
  <si>
    <t>rode</t>
  </si>
  <si>
    <t>left &amp; meeting</t>
  </si>
  <si>
    <t>meeting &amp; match</t>
  </si>
  <si>
    <t>not in database</t>
  </si>
  <si>
    <t>column</t>
  </si>
  <si>
    <t>information</t>
  </si>
  <si>
    <t>column name</t>
  </si>
  <si>
    <t>reference number for printout</t>
  </si>
  <si>
    <t>copied from "data entry" sheet</t>
  </si>
  <si>
    <t>DISPLAYED</t>
  </si>
  <si>
    <t>ERRORS</t>
  </si>
  <si>
    <t>use manual entry from "data entry sheet"</t>
  </si>
  <si>
    <t>use '0' for errors</t>
  </si>
  <si>
    <t>nothing in row 1</t>
  </si>
  <si>
    <t>row 1 not used at bottom</t>
  </si>
  <si>
    <t>cell</t>
  </si>
  <si>
    <t>row name</t>
  </si>
  <si>
    <t>copied from "data entry" sheet using "date" format</t>
  </si>
  <si>
    <t>display driver rates</t>
  </si>
  <si>
    <t>display rider rates</t>
  </si>
  <si>
    <t>display which rows have manual entries for mileage (blank if NO manual entries)</t>
  </si>
  <si>
    <t>driver mileage rate / units</t>
  </si>
  <si>
    <t>rider mileage rate / units</t>
  </si>
  <si>
    <t>rider mileage rate over so many miles / units</t>
  </si>
  <si>
    <t>TABLE A9:T56</t>
  </si>
  <si>
    <t>rows</t>
  </si>
  <si>
    <t>City name for "home city", "left from", and "meeting location"</t>
  </si>
  <si>
    <t>heading for "town of" as opposed to the high school</t>
  </si>
  <si>
    <t>location in city</t>
  </si>
  <si>
    <t>google maps reference (use maps.google.com) to high school</t>
  </si>
  <si>
    <t>column number in the table</t>
  </si>
  <si>
    <t>Database values</t>
  </si>
  <si>
    <t>columns</t>
  </si>
  <si>
    <t>City name for "meeting location" and "match site"</t>
  </si>
  <si>
    <t>heading for "town of" as opposed to the high school (note: the red is for mileage within the city)</t>
  </si>
  <si>
    <t>To add "city from":</t>
  </si>
  <si>
    <t>To add "city to":</t>
  </si>
  <si>
    <t>1). Insert a row so the new city is alphabetically in the correct place</t>
  </si>
  <si>
    <t>1). Insert a column so the new city is alphabetically in the correct place</t>
  </si>
  <si>
    <t>TOTALS</t>
  </si>
  <si>
    <t>RIDING</t>
  </si>
  <si>
    <t>DRIVING</t>
  </si>
  <si>
    <t>Butte College to Pierce (leg 1)</t>
  </si>
  <si>
    <t>Pierce to Esparto (leg 2)</t>
  </si>
  <si>
    <t>Esparto to Pierce (leg 3)</t>
  </si>
  <si>
    <t>Pierce to Chico (leg 4)</t>
  </si>
  <si>
    <t>I drove from Butte College to Pierce where I MET my partner</t>
  </si>
  <si>
    <t>I ____ from Esparto to Pierce to pick up my car</t>
  </si>
  <si>
    <t>PARTNER'S MEETING LOCATION</t>
  </si>
  <si>
    <t>match site no no's</t>
  </si>
  <si>
    <t>List Below</t>
  </si>
  <si>
    <t>oroville</t>
  </si>
  <si>
    <t>meeting location no no's</t>
  </si>
  <si>
    <t>Durham</t>
  </si>
  <si>
    <t>Lakeridge Circle @39.814490, -121.590900</t>
  </si>
  <si>
    <t>updated using google maps Nov 2007</t>
  </si>
  <si>
    <t>Magalia</t>
  </si>
  <si>
    <t>NOTE: The blank line is the entry in the 'ENTER Drove or Rode' column (in the example above, "rode")</t>
  </si>
  <si>
    <t>I drove from Pierce to Chico where I live</t>
  </si>
  <si>
    <t>I ____ from Pierce to Esparto where I officiated the match</t>
  </si>
  <si>
    <t>updated using google maps Aug 2008</t>
  </si>
  <si>
    <t>39.759418, -122.246504</t>
  </si>
  <si>
    <t>5911 Maxwell Dr, Paradise, CA 95969 (Paradise Senior High School)</t>
  </si>
  <si>
    <t>3536 Butte Campus Dr, Oroville, CA 95965 (Butte-Glenn Community College District)</t>
  </si>
  <si>
    <t>Elk Creek</t>
  </si>
  <si>
    <t>Co. Rd. 309/Sanhedrin Rd @39.606540, -122.538430</t>
  </si>
  <si>
    <t>updated using google maps Nov 2012</t>
  </si>
  <si>
    <t>Corning</t>
  </si>
  <si>
    <t>Los Molinos</t>
  </si>
  <si>
    <t>Capay</t>
  </si>
  <si>
    <t>Capay Store Cutting Ave</t>
  </si>
  <si>
    <t>NAME</t>
  </si>
  <si>
    <t>MILES (round trip)</t>
  </si>
  <si>
    <t>One-way formula is =IF(ISNUMBER(S17),IF(S17/2&gt;database!$C$6,database!$C$5,0),0)</t>
  </si>
  <si>
    <t>Round trip formula is =IF(ISNUMBER(S17),IF(S17&gt;database!$C$6,database!$C$5,0),0)</t>
  </si>
  <si>
    <t>Ride Payment Formula</t>
  </si>
  <si>
    <t>5850 Clark Rd, Paradise, CA 95969</t>
  </si>
  <si>
    <t>updated using google maps Sept 2013</t>
  </si>
  <si>
    <t>Mineral</t>
  </si>
  <si>
    <t>Williams</t>
  </si>
  <si>
    <t>CHAMPION CHRISTIAN</t>
  </si>
  <si>
    <t>Updated using google maps Oct. 2014</t>
  </si>
  <si>
    <t>Chico Country Day</t>
  </si>
  <si>
    <t>Updated using google maps Sept 2015</t>
  </si>
  <si>
    <t>Chico Country Day 102 W 11th St, Chico, CA 95928</t>
  </si>
  <si>
    <t>Antelope</t>
  </si>
  <si>
    <t>Added using google maps Nov 2015</t>
  </si>
  <si>
    <t>Vacaville</t>
  </si>
  <si>
    <t>"@High school</t>
  </si>
  <si>
    <t>100 West Monte Vista Avenue, Vacaville, CA 95688</t>
  </si>
  <si>
    <t>2016 MILEAGE REPORT</t>
  </si>
  <si>
    <t>2016 Mileage Chart and Worksheet</t>
  </si>
  <si>
    <r>
      <rPr>
        <b/>
        <sz val="10"/>
        <rFont val="Arial"/>
        <family val="2"/>
      </rPr>
      <t>2016 NCVOA Mileage</t>
    </r>
    <r>
      <rPr>
        <sz val="10"/>
        <rFont val="Arial"/>
        <family val="2"/>
      </rPr>
      <t xml:space="preserve"> </t>
    </r>
  </si>
  <si>
    <t>(updated 02/28/2016)</t>
  </si>
  <si>
    <t>Last Updated February 28, 2016</t>
  </si>
  <si>
    <r>
      <rPr>
        <b/>
        <sz val="10"/>
        <color theme="1"/>
        <rFont val="Arial"/>
        <family val="2"/>
      </rPr>
      <t xml:space="preserve">If "ENTER DATA" appears, </t>
    </r>
    <r>
      <rPr>
        <b/>
        <sz val="10"/>
        <color rgb="FFFF0000"/>
        <rFont val="Arial"/>
        <family val="2"/>
      </rPr>
      <t>CHECK ALL SPELLING.</t>
    </r>
  </si>
  <si>
    <t xml:space="preserve"> down from 57.5 cents for 2015</t>
  </si>
  <si>
    <t xml:space="preserve">=54 cents per mile </t>
  </si>
  <si>
    <t>When greater than 90 miles round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</si>
</sst>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&quot;$&quot;#,##0.000"/>
    <numFmt numFmtId="166" formatCode="&quot;$&quot;#,##0.00"/>
    <numFmt numFmtId="167" formatCode="m/d/yy"/>
  </numFmts>
  <fonts count="27">
    <font>
      <sz val="10"/>
      <name val="Arial"/>
    </font>
    <font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7.5"/>
      <name val="Arial"/>
      <family val="2"/>
    </font>
    <font>
      <sz val="14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color indexed="61"/>
      <name val="Arial"/>
      <family val="2"/>
    </font>
    <font>
      <sz val="16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Inherit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166" fontId="0" fillId="0" borderId="0" xfId="0" applyNumberFormat="1" applyAlignment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0" xfId="0" applyAlignment="1">
      <alignment vertical="top" wrapText="1"/>
    </xf>
    <xf numFmtId="166" fontId="0" fillId="0" borderId="0" xfId="0" applyNumberFormat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4" fillId="0" borderId="0" xfId="0" applyFont="1" applyFill="1"/>
    <xf numFmtId="0" fontId="16" fillId="0" borderId="0" xfId="0" applyFont="1" applyFill="1"/>
    <xf numFmtId="0" fontId="16" fillId="0" borderId="0" xfId="0" applyFont="1"/>
    <xf numFmtId="0" fontId="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6" borderId="1" xfId="0" applyFill="1" applyBorder="1" applyAlignment="1" applyProtection="1">
      <alignment horizontal="center" vertical="center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right"/>
      <protection hidden="1"/>
    </xf>
    <xf numFmtId="0" fontId="0" fillId="6" borderId="0" xfId="0" applyFill="1" applyAlignment="1" applyProtection="1">
      <alignment horizontal="center"/>
      <protection hidden="1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0" xfId="0" applyFill="1" applyBorder="1" applyAlignment="1" applyProtection="1">
      <alignment horizontal="left"/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3" xfId="0" applyFill="1" applyBorder="1" applyAlignment="1" applyProtection="1">
      <alignment horizontal="center"/>
      <protection hidden="1"/>
    </xf>
    <xf numFmtId="167" fontId="0" fillId="6" borderId="4" xfId="0" applyNumberFormat="1" applyFill="1" applyBorder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6" borderId="5" xfId="0" applyNumberFormat="1" applyFill="1" applyBorder="1" applyAlignment="1" applyProtection="1">
      <alignment horizontal="center" vertical="center" wrapText="1"/>
      <protection hidden="1"/>
    </xf>
    <xf numFmtId="0" fontId="0" fillId="6" borderId="6" xfId="0" applyFill="1" applyBorder="1" applyAlignment="1" applyProtection="1">
      <alignment horizontal="center" vertical="center" wrapText="1"/>
      <protection hidden="1"/>
    </xf>
    <xf numFmtId="0" fontId="0" fillId="6" borderId="7" xfId="0" applyFill="1" applyBorder="1" applyAlignment="1" applyProtection="1">
      <alignment horizontal="center"/>
      <protection hidden="1"/>
    </xf>
    <xf numFmtId="167" fontId="0" fillId="6" borderId="1" xfId="0" applyNumberFormat="1" applyFill="1" applyBorder="1" applyAlignment="1" applyProtection="1">
      <alignment horizontal="center" vertical="center"/>
      <protection hidden="1"/>
    </xf>
    <xf numFmtId="0" fontId="0" fillId="6" borderId="8" xfId="0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0" fillId="6" borderId="10" xfId="0" applyNumberFormat="1" applyFill="1" applyBorder="1" applyAlignment="1" applyProtection="1">
      <alignment horizontal="center"/>
      <protection hidden="1"/>
    </xf>
    <xf numFmtId="0" fontId="0" fillId="6" borderId="11" xfId="0" applyFill="1" applyBorder="1" applyAlignment="1" applyProtection="1">
      <alignment horizontal="center"/>
      <protection hidden="1"/>
    </xf>
    <xf numFmtId="167" fontId="0" fillId="6" borderId="12" xfId="0" applyNumberFormat="1" applyFill="1" applyBorder="1" applyAlignment="1" applyProtection="1">
      <alignment horizontal="center" vertical="center"/>
      <protection hidden="1"/>
    </xf>
    <xf numFmtId="0" fontId="0" fillId="6" borderId="12" xfId="0" applyFill="1" applyBorder="1" applyAlignment="1" applyProtection="1">
      <alignment horizontal="center" vertical="center"/>
      <protection hidden="1"/>
    </xf>
    <xf numFmtId="0" fontId="0" fillId="6" borderId="12" xfId="0" applyFill="1" applyBorder="1" applyAlignment="1" applyProtection="1">
      <alignment horizontal="center"/>
      <protection hidden="1"/>
    </xf>
    <xf numFmtId="0" fontId="0" fillId="6" borderId="13" xfId="0" applyFill="1" applyBorder="1" applyAlignment="1" applyProtection="1">
      <alignment horizontal="center"/>
      <protection hidden="1"/>
    </xf>
    <xf numFmtId="166" fontId="0" fillId="6" borderId="0" xfId="0" applyNumberFormat="1" applyFill="1" applyBorder="1" applyAlignment="1" applyProtection="1">
      <alignment horizontal="center"/>
      <protection hidden="1"/>
    </xf>
    <xf numFmtId="0" fontId="0" fillId="6" borderId="2" xfId="0" applyFill="1" applyBorder="1" applyAlignment="1" applyProtection="1">
      <alignment horizontal="right"/>
      <protection hidden="1"/>
    </xf>
    <xf numFmtId="166" fontId="0" fillId="6" borderId="9" xfId="0" applyNumberFormat="1" applyFill="1" applyBorder="1" applyAlignment="1" applyProtection="1">
      <alignment horizontal="center"/>
      <protection hidden="1"/>
    </xf>
    <xf numFmtId="166" fontId="0" fillId="6" borderId="0" xfId="0" applyNumberFormat="1" applyFill="1" applyAlignment="1" applyProtection="1">
      <alignment horizontal="center"/>
      <protection hidden="1"/>
    </xf>
    <xf numFmtId="164" fontId="0" fillId="7" borderId="9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164" fontId="0" fillId="8" borderId="14" xfId="0" applyNumberFormat="1" applyFill="1" applyBorder="1" applyAlignment="1" applyProtection="1">
      <alignment horizontal="center"/>
      <protection locked="0"/>
    </xf>
    <xf numFmtId="164" fontId="0" fillId="7" borderId="14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4" xfId="0" applyFill="1" applyBorder="1" applyAlignment="1" applyProtection="1">
      <alignment horizontal="center"/>
      <protection locked="0"/>
    </xf>
    <xf numFmtId="0" fontId="0" fillId="8" borderId="15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2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6" borderId="0" xfId="0" quotePrefix="1" applyFill="1" applyProtection="1">
      <protection hidden="1"/>
    </xf>
    <xf numFmtId="0" fontId="9" fillId="6" borderId="0" xfId="0" applyFont="1" applyFill="1" applyAlignment="1" applyProtection="1">
      <alignment horizontal="right"/>
      <protection hidden="1"/>
    </xf>
    <xf numFmtId="0" fontId="0" fillId="6" borderId="0" xfId="0" applyFill="1" applyBorder="1" applyAlignment="1" applyProtection="1">
      <alignment horizontal="right"/>
      <protection hidden="1"/>
    </xf>
    <xf numFmtId="0" fontId="8" fillId="6" borderId="4" xfId="0" applyFont="1" applyFill="1" applyBorder="1" applyAlignment="1" applyProtection="1">
      <alignment horizontal="center"/>
      <protection hidden="1"/>
    </xf>
    <xf numFmtId="0" fontId="5" fillId="6" borderId="0" xfId="0" applyFont="1" applyFill="1" applyProtection="1">
      <protection hidden="1"/>
    </xf>
    <xf numFmtId="0" fontId="9" fillId="6" borderId="0" xfId="0" applyFont="1" applyFill="1" applyProtection="1">
      <protection hidden="1"/>
    </xf>
    <xf numFmtId="0" fontId="0" fillId="0" borderId="0" xfId="0" applyAlignment="1" applyProtection="1">
      <alignment vertical="top" wrapText="1"/>
      <protection hidden="1"/>
    </xf>
    <xf numFmtId="0" fontId="5" fillId="6" borderId="0" xfId="0" applyFont="1" applyFill="1" applyAlignment="1" applyProtection="1">
      <alignment horizontal="center"/>
      <protection hidden="1"/>
    </xf>
    <xf numFmtId="0" fontId="5" fillId="6" borderId="0" xfId="0" quotePrefix="1" applyFont="1" applyFill="1" applyProtection="1">
      <protection hidden="1"/>
    </xf>
    <xf numFmtId="0" fontId="5" fillId="6" borderId="0" xfId="0" applyFont="1" applyFill="1" applyAlignment="1" applyProtection="1">
      <alignment horizontal="left"/>
      <protection hidden="1"/>
    </xf>
    <xf numFmtId="0" fontId="1" fillId="9" borderId="1" xfId="0" applyFont="1" applyFill="1" applyBorder="1" applyAlignment="1">
      <alignment horizontal="center"/>
    </xf>
    <xf numFmtId="49" fontId="5" fillId="0" borderId="0" xfId="0" applyNumberFormat="1" applyFont="1" applyAlignment="1">
      <alignment vertical="top" wrapText="1"/>
    </xf>
    <xf numFmtId="0" fontId="17" fillId="3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0" fillId="6" borderId="1" xfId="0" applyFont="1" applyFill="1" applyBorder="1" applyAlignment="1" applyProtection="1">
      <alignment horizontal="center" vertical="center"/>
      <protection hidden="1"/>
    </xf>
    <xf numFmtId="0" fontId="20" fillId="6" borderId="4" xfId="0" applyFont="1" applyFill="1" applyBorder="1" applyAlignment="1" applyProtection="1">
      <alignment horizontal="center"/>
      <protection hidden="1"/>
    </xf>
    <xf numFmtId="0" fontId="20" fillId="6" borderId="1" xfId="0" applyFont="1" applyFill="1" applyBorder="1" applyAlignment="1" applyProtection="1">
      <alignment horizontal="center"/>
      <protection hidden="1"/>
    </xf>
    <xf numFmtId="0" fontId="20" fillId="6" borderId="16" xfId="0" applyFont="1" applyFill="1" applyBorder="1" applyAlignment="1" applyProtection="1">
      <alignment horizontal="center"/>
      <protection hidden="1"/>
    </xf>
    <xf numFmtId="0" fontId="20" fillId="6" borderId="17" xfId="0" applyFont="1" applyFill="1" applyBorder="1" applyAlignment="1" applyProtection="1">
      <alignment horizontal="center"/>
      <protection hidden="1"/>
    </xf>
    <xf numFmtId="0" fontId="1" fillId="10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5" fillId="11" borderId="1" xfId="0" applyFont="1" applyFill="1" applyBorder="1" applyAlignment="1" applyProtection="1">
      <alignment horizontal="center" vertical="center"/>
      <protection locked="0" hidden="1"/>
    </xf>
    <xf numFmtId="167" fontId="0" fillId="12" borderId="1" xfId="0" applyNumberFormat="1" applyFill="1" applyBorder="1" applyAlignment="1" applyProtection="1">
      <alignment horizontal="center" vertical="center"/>
      <protection locked="0" hidden="1"/>
    </xf>
    <xf numFmtId="0" fontId="5" fillId="12" borderId="1" xfId="0" applyFont="1" applyFill="1" applyBorder="1" applyAlignment="1" applyProtection="1">
      <alignment horizontal="center" vertical="center"/>
      <protection locked="0" hidden="1"/>
    </xf>
    <xf numFmtId="0" fontId="6" fillId="10" borderId="1" xfId="0" applyFont="1" applyFill="1" applyBorder="1" applyAlignment="1">
      <alignment horizontal="center"/>
    </xf>
    <xf numFmtId="0" fontId="0" fillId="6" borderId="0" xfId="0" applyFill="1" applyAlignment="1" applyProtection="1">
      <alignment horizontal="center" vertical="top" wrapText="1"/>
      <protection hidden="1"/>
    </xf>
    <xf numFmtId="0" fontId="0" fillId="6" borderId="0" xfId="0" applyFill="1" applyAlignment="1" applyProtection="1">
      <alignment horizontal="center" vertical="top"/>
      <protection hidden="1"/>
    </xf>
    <xf numFmtId="0" fontId="6" fillId="13" borderId="1" xfId="0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  <protection locked="0" hidden="1"/>
    </xf>
    <xf numFmtId="0" fontId="0" fillId="6" borderId="16" xfId="0" applyFill="1" applyBorder="1" applyAlignment="1" applyProtection="1">
      <alignment horizontal="center"/>
      <protection locked="0" hidden="1"/>
    </xf>
    <xf numFmtId="0" fontId="0" fillId="6" borderId="17" xfId="0" applyFill="1" applyBorder="1" applyAlignment="1" applyProtection="1">
      <alignment horizontal="center"/>
      <protection locked="0" hidden="1"/>
    </xf>
    <xf numFmtId="0" fontId="5" fillId="6" borderId="0" xfId="0" applyFont="1" applyFill="1" applyAlignment="1" applyProtection="1">
      <alignment horizontal="right"/>
      <protection hidden="1"/>
    </xf>
    <xf numFmtId="0" fontId="5" fillId="0" borderId="0" xfId="0" applyFont="1"/>
    <xf numFmtId="0" fontId="8" fillId="6" borderId="0" xfId="0" applyFont="1" applyFill="1" applyProtection="1">
      <protection hidden="1"/>
    </xf>
    <xf numFmtId="0" fontId="15" fillId="6" borderId="0" xfId="0" applyFont="1" applyFill="1" applyAlignment="1" applyProtection="1">
      <alignment horizontal="center"/>
      <protection hidden="1"/>
    </xf>
    <xf numFmtId="0" fontId="7" fillId="6" borderId="0" xfId="1" quotePrefix="1" applyFill="1" applyAlignment="1" applyProtection="1">
      <protection hidden="1"/>
    </xf>
    <xf numFmtId="0" fontId="4" fillId="6" borderId="0" xfId="0" quotePrefix="1" applyFont="1" applyFill="1" applyProtection="1">
      <protection hidden="1"/>
    </xf>
    <xf numFmtId="0" fontId="4" fillId="6" borderId="0" xfId="0" applyFont="1" applyFill="1" applyProtection="1">
      <protection hidden="1"/>
    </xf>
    <xf numFmtId="0" fontId="0" fillId="6" borderId="18" xfId="0" applyFill="1" applyBorder="1" applyAlignment="1" applyProtection="1">
      <alignment horizontal="center"/>
      <protection hidden="1"/>
    </xf>
    <xf numFmtId="0" fontId="7" fillId="8" borderId="5" xfId="1" applyFill="1" applyBorder="1" applyAlignment="1" applyProtection="1">
      <alignment horizontal="center" vertical="center"/>
      <protection hidden="1"/>
    </xf>
    <xf numFmtId="0" fontId="0" fillId="7" borderId="5" xfId="0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8" borderId="16" xfId="0" applyFill="1" applyBorder="1" applyAlignment="1" applyProtection="1">
      <alignment horizontal="center" vertical="center"/>
      <protection hidden="1"/>
    </xf>
    <xf numFmtId="0" fontId="0" fillId="7" borderId="16" xfId="0" applyFill="1" applyBorder="1" applyAlignment="1" applyProtection="1">
      <alignment horizontal="center" vertical="center" wrapText="1"/>
      <protection hidden="1"/>
    </xf>
    <xf numFmtId="0" fontId="0" fillId="14" borderId="0" xfId="0" applyFill="1"/>
    <xf numFmtId="0" fontId="1" fillId="1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1" fillId="15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22" fillId="15" borderId="0" xfId="0" applyFont="1" applyFill="1"/>
    <xf numFmtId="0" fontId="0" fillId="0" borderId="0" xfId="0" applyFill="1" applyAlignment="1">
      <alignment horizontal="left"/>
    </xf>
    <xf numFmtId="0" fontId="0" fillId="16" borderId="0" xfId="0" applyFill="1"/>
    <xf numFmtId="0" fontId="1" fillId="16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5" fillId="6" borderId="0" xfId="0" applyFont="1" applyFill="1" applyAlignment="1" applyProtection="1">
      <protection hidden="1"/>
    </xf>
    <xf numFmtId="0" fontId="0" fillId="6" borderId="0" xfId="0" applyFill="1" applyAlignment="1" applyProtection="1">
      <protection hidden="1"/>
    </xf>
    <xf numFmtId="0" fontId="0" fillId="0" borderId="0" xfId="0" applyAlignment="1">
      <alignment horizontal="left" vertical="top" wrapText="1"/>
    </xf>
    <xf numFmtId="0" fontId="0" fillId="17" borderId="0" xfId="0" applyFill="1"/>
    <xf numFmtId="0" fontId="0" fillId="17" borderId="0" xfId="0" applyFill="1" applyAlignment="1">
      <alignment horizontal="left"/>
    </xf>
    <xf numFmtId="0" fontId="1" fillId="17" borderId="1" xfId="0" applyFont="1" applyFill="1" applyBorder="1" applyAlignment="1">
      <alignment horizontal="center"/>
    </xf>
    <xf numFmtId="0" fontId="5" fillId="17" borderId="0" xfId="0" applyFont="1" applyFill="1"/>
    <xf numFmtId="0" fontId="5" fillId="0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165" fontId="26" fillId="0" borderId="0" xfId="0" applyNumberFormat="1" applyFont="1" applyProtection="1"/>
    <xf numFmtId="166" fontId="26" fillId="0" borderId="0" xfId="0" applyNumberFormat="1" applyFont="1"/>
    <xf numFmtId="0" fontId="26" fillId="0" borderId="0" xfId="0" applyFont="1"/>
    <xf numFmtId="165" fontId="0" fillId="6" borderId="36" xfId="0" applyNumberFormat="1" applyFill="1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6" borderId="0" xfId="0" applyFill="1" applyBorder="1" applyAlignment="1" applyProtection="1">
      <alignment wrapText="1"/>
      <protection hidden="1"/>
    </xf>
    <xf numFmtId="166" fontId="0" fillId="6" borderId="32" xfId="0" applyNumberFormat="1" applyFill="1" applyBorder="1" applyAlignment="1" applyProtection="1">
      <alignment vertical="center" wrapText="1"/>
      <protection hidden="1"/>
    </xf>
    <xf numFmtId="166" fontId="0" fillId="6" borderId="21" xfId="0" applyNumberFormat="1" applyFill="1" applyBorder="1" applyAlignment="1" applyProtection="1">
      <alignment vertical="center" wrapText="1"/>
      <protection hidden="1"/>
    </xf>
    <xf numFmtId="166" fontId="0" fillId="6" borderId="9" xfId="0" applyNumberFormat="1" applyFill="1" applyBorder="1" applyAlignment="1" applyProtection="1">
      <alignment vertical="center" wrapText="1"/>
      <protection hidden="1"/>
    </xf>
    <xf numFmtId="0" fontId="25" fillId="0" borderId="0" xfId="0" quotePrefix="1" applyFont="1" applyAlignment="1">
      <alignment horizontal="left" indent="1"/>
    </xf>
    <xf numFmtId="0" fontId="0" fillId="6" borderId="19" xfId="0" applyFill="1" applyBorder="1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20" xfId="0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2" xfId="0" applyBorder="1" applyAlignment="1" applyProtection="1">
      <alignment wrapText="1"/>
      <protection hidden="1"/>
    </xf>
    <xf numFmtId="0" fontId="0" fillId="0" borderId="9" xfId="0" applyBorder="1" applyAlignment="1" applyProtection="1">
      <alignment wrapText="1"/>
      <protection hidden="1"/>
    </xf>
    <xf numFmtId="0" fontId="0" fillId="6" borderId="22" xfId="0" applyFill="1" applyBorder="1" applyAlignment="1" applyProtection="1">
      <alignment horizontal="center" vertical="center" wrapText="1"/>
      <protection hidden="1"/>
    </xf>
    <xf numFmtId="0" fontId="0" fillId="6" borderId="23" xfId="0" applyFill="1" applyBorder="1" applyAlignment="1" applyProtection="1">
      <alignment horizontal="center" vertical="center" wrapText="1"/>
      <protection hidden="1"/>
    </xf>
    <xf numFmtId="0" fontId="0" fillId="6" borderId="24" xfId="0" applyFill="1" applyBorder="1" applyAlignment="1" applyProtection="1">
      <alignment horizontal="center" vertical="center" wrapText="1"/>
      <protection hidden="1"/>
    </xf>
    <xf numFmtId="0" fontId="0" fillId="6" borderId="25" xfId="0" applyFill="1" applyBorder="1" applyAlignment="1" applyProtection="1">
      <alignment horizontal="center" vertical="center" wrapText="1"/>
      <protection hidden="1"/>
    </xf>
    <xf numFmtId="0" fontId="18" fillId="6" borderId="26" xfId="0" applyFont="1" applyFill="1" applyBorder="1" applyAlignment="1" applyProtection="1">
      <alignment horizontal="center"/>
      <protection hidden="1"/>
    </xf>
    <xf numFmtId="0" fontId="18" fillId="6" borderId="27" xfId="0" applyFont="1" applyFill="1" applyBorder="1" applyAlignment="1" applyProtection="1">
      <alignment horizontal="center"/>
      <protection hidden="1"/>
    </xf>
    <xf numFmtId="0" fontId="5" fillId="6" borderId="28" xfId="0" applyFont="1" applyFill="1" applyBorder="1" applyAlignment="1" applyProtection="1">
      <alignment horizontal="center" vertical="center" wrapText="1"/>
      <protection hidden="1"/>
    </xf>
    <xf numFmtId="0" fontId="5" fillId="6" borderId="29" xfId="0" applyFont="1" applyFill="1" applyBorder="1" applyAlignment="1" applyProtection="1">
      <alignment horizontal="center" vertical="center" wrapText="1"/>
      <protection hidden="1"/>
    </xf>
    <xf numFmtId="0" fontId="0" fillId="8" borderId="30" xfId="0" applyFill="1" applyBorder="1" applyAlignment="1" applyProtection="1">
      <alignment horizontal="center" vertical="center"/>
      <protection hidden="1"/>
    </xf>
    <xf numFmtId="0" fontId="0" fillId="8" borderId="31" xfId="0" applyFill="1" applyBorder="1" applyAlignment="1" applyProtection="1">
      <alignment horizontal="center" vertical="center"/>
      <protection hidden="1"/>
    </xf>
    <xf numFmtId="0" fontId="8" fillId="7" borderId="24" xfId="0" applyFont="1" applyFill="1" applyBorder="1" applyAlignment="1" applyProtection="1">
      <alignment horizontal="center" vertical="center" wrapText="1"/>
      <protection hidden="1"/>
    </xf>
    <xf numFmtId="0" fontId="0" fillId="7" borderId="25" xfId="0" applyFill="1" applyBorder="1" applyAlignment="1" applyProtection="1">
      <alignment horizontal="center" vertical="center" wrapText="1"/>
      <protection hidden="1"/>
    </xf>
    <xf numFmtId="0" fontId="10" fillId="7" borderId="24" xfId="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 applyProtection="1">
      <alignment horizontal="left" wrapText="1"/>
      <protection hidden="1"/>
    </xf>
    <xf numFmtId="0" fontId="5" fillId="8" borderId="2" xfId="0" applyFont="1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2" fillId="6" borderId="0" xfId="0" applyFont="1" applyFill="1" applyAlignment="1" applyProtection="1">
      <alignment horizontal="center"/>
      <protection hidden="1"/>
    </xf>
    <xf numFmtId="0" fontId="3" fillId="6" borderId="0" xfId="0" applyFon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11" fillId="7" borderId="24" xfId="0" applyFont="1" applyFill="1" applyBorder="1" applyAlignment="1" applyProtection="1">
      <alignment horizontal="center" vertical="center" wrapText="1"/>
      <protection hidden="1"/>
    </xf>
    <xf numFmtId="0" fontId="12" fillId="7" borderId="24" xfId="0" applyFont="1" applyFill="1" applyBorder="1" applyAlignment="1" applyProtection="1">
      <alignment horizontal="center" vertical="center" wrapText="1"/>
      <protection hidden="1"/>
    </xf>
    <xf numFmtId="0" fontId="12" fillId="7" borderId="25" xfId="0" applyFont="1" applyFill="1" applyBorder="1" applyAlignment="1" applyProtection="1">
      <alignment horizontal="center" vertical="center" wrapText="1"/>
      <protection hidden="1"/>
    </xf>
    <xf numFmtId="0" fontId="0" fillId="8" borderId="24" xfId="0" applyFill="1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center" vertical="center"/>
      <protection hidden="1"/>
    </xf>
    <xf numFmtId="0" fontId="0" fillId="6" borderId="0" xfId="0" applyFill="1" applyAlignment="1" applyProtection="1">
      <alignment horizontal="center" vertical="top" wrapText="1"/>
      <protection hidden="1"/>
    </xf>
    <xf numFmtId="0" fontId="0" fillId="6" borderId="0" xfId="0" applyFill="1" applyAlignment="1" applyProtection="1">
      <alignment horizontal="center" vertical="top"/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7" borderId="0" xfId="0" applyFill="1" applyAlignment="1" applyProtection="1">
      <alignment horizontal="center"/>
      <protection hidden="1"/>
    </xf>
    <xf numFmtId="0" fontId="5" fillId="6" borderId="33" xfId="0" applyFont="1" applyFill="1" applyBorder="1" applyAlignment="1" applyProtection="1">
      <alignment horizontal="left"/>
      <protection hidden="1"/>
    </xf>
    <xf numFmtId="0" fontId="5" fillId="7" borderId="2" xfId="0" applyFont="1" applyFill="1" applyBorder="1" applyAlignment="1" applyProtection="1">
      <alignment horizontal="left"/>
      <protection locked="0"/>
    </xf>
    <xf numFmtId="0" fontId="0" fillId="7" borderId="2" xfId="0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12" fillId="7" borderId="35" xfId="0" applyFont="1" applyFill="1" applyBorder="1" applyAlignment="1" applyProtection="1">
      <alignment horizontal="center" vertical="center" wrapText="1"/>
      <protection hidden="1"/>
    </xf>
    <xf numFmtId="0" fontId="12" fillId="7" borderId="0" xfId="0" applyFont="1" applyFill="1" applyAlignment="1" applyProtection="1">
      <alignment horizontal="center" vertical="center" wrapText="1"/>
      <protection hidden="1"/>
    </xf>
    <xf numFmtId="0" fontId="11" fillId="7" borderId="35" xfId="0" applyFont="1" applyFill="1" applyBorder="1" applyAlignment="1" applyProtection="1">
      <alignment horizontal="center" vertical="center" wrapText="1"/>
      <protection hidden="1"/>
    </xf>
    <xf numFmtId="0" fontId="11" fillId="7" borderId="0" xfId="0" applyFont="1" applyFill="1" applyAlignment="1" applyProtection="1">
      <alignment horizontal="center" vertical="center" wrapText="1"/>
      <protection hidden="1"/>
    </xf>
    <xf numFmtId="0" fontId="10" fillId="7" borderId="35" xfId="0" applyFont="1" applyFill="1" applyBorder="1" applyAlignment="1" applyProtection="1">
      <alignment horizontal="center" vertical="center" wrapText="1"/>
      <protection hidden="1"/>
    </xf>
    <xf numFmtId="0" fontId="10" fillId="7" borderId="0" xfId="0" applyFont="1" applyFill="1" applyAlignment="1" applyProtection="1">
      <alignment horizontal="center" vertical="center" wrapText="1"/>
      <protection hidden="1"/>
    </xf>
    <xf numFmtId="0" fontId="8" fillId="7" borderId="35" xfId="0" applyFont="1" applyFill="1" applyBorder="1" applyAlignment="1" applyProtection="1">
      <alignment horizontal="center" vertical="center" wrapText="1"/>
      <protection hidden="1"/>
    </xf>
    <xf numFmtId="0" fontId="8" fillId="7" borderId="0" xfId="0" applyFont="1" applyFill="1" applyAlignment="1" applyProtection="1">
      <alignment horizontal="center" vertical="center" wrapText="1"/>
      <protection hidden="1"/>
    </xf>
    <xf numFmtId="0" fontId="23" fillId="6" borderId="32" xfId="0" applyFont="1" applyFill="1" applyBorder="1" applyAlignment="1" applyProtection="1">
      <alignment horizontal="left"/>
      <protection hidden="1"/>
    </xf>
    <xf numFmtId="0" fontId="0" fillId="0" borderId="33" xfId="0" applyBorder="1" applyAlignment="1" applyProtection="1">
      <protection hidden="1"/>
    </xf>
    <xf numFmtId="0" fontId="0" fillId="0" borderId="34" xfId="0" applyBorder="1" applyAlignment="1" applyProtection="1">
      <protection hidden="1"/>
    </xf>
    <xf numFmtId="0" fontId="13" fillId="6" borderId="26" xfId="0" applyFont="1" applyFill="1" applyBorder="1" applyAlignment="1" applyProtection="1">
      <alignment horizontal="center"/>
      <protection hidden="1"/>
    </xf>
    <xf numFmtId="0" fontId="13" fillId="6" borderId="27" xfId="0" applyFont="1" applyFill="1" applyBorder="1" applyAlignment="1" applyProtection="1">
      <alignment horizontal="center"/>
      <protection hidden="1"/>
    </xf>
    <xf numFmtId="0" fontId="0" fillId="6" borderId="24" xfId="0" quotePrefix="1" applyFill="1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166" fontId="5" fillId="6" borderId="0" xfId="0" applyNumberFormat="1" applyFont="1" applyFill="1" applyBorder="1" applyAlignment="1" applyProtection="1">
      <alignment horizontal="left" vertical="center" wrapText="1"/>
      <protection hidden="1"/>
    </xf>
    <xf numFmtId="0" fontId="0" fillId="6" borderId="28" xfId="0" applyFill="1" applyBorder="1" applyAlignment="1" applyProtection="1">
      <alignment horizontal="center" vertical="center" wrapText="1"/>
      <protection hidden="1"/>
    </xf>
    <xf numFmtId="0" fontId="0" fillId="6" borderId="29" xfId="0" applyFill="1" applyBorder="1" applyAlignment="1" applyProtection="1">
      <alignment horizontal="center" vertical="center" wrapText="1"/>
      <protection hidden="1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24" xfId="0" applyFill="1" applyBorder="1" applyAlignment="1" applyProtection="1">
      <alignment horizontal="center" vertical="center"/>
      <protection hidden="1"/>
    </xf>
    <xf numFmtId="0" fontId="0" fillId="6" borderId="25" xfId="0" applyFill="1" applyBorder="1" applyAlignment="1" applyProtection="1">
      <alignment horizontal="center" vertical="center"/>
      <protection hidden="1"/>
    </xf>
    <xf numFmtId="0" fontId="0" fillId="6" borderId="30" xfId="0" applyNumberFormat="1" applyFill="1" applyBorder="1" applyAlignment="1" applyProtection="1">
      <alignment horizontal="center" vertical="center" wrapText="1"/>
      <protection hidden="1"/>
    </xf>
    <xf numFmtId="0" fontId="0" fillId="6" borderId="31" xfId="0" applyNumberFormat="1" applyFill="1" applyBorder="1" applyAlignment="1" applyProtection="1">
      <alignment horizontal="center" vertical="center" wrapText="1"/>
      <protection hidden="1"/>
    </xf>
    <xf numFmtId="0" fontId="0" fillId="6" borderId="38" xfId="0" applyFill="1" applyBorder="1" applyAlignment="1" applyProtection="1">
      <alignment horizontal="center" vertical="center" wrapText="1"/>
      <protection hidden="1"/>
    </xf>
    <xf numFmtId="0" fontId="0" fillId="6" borderId="39" xfId="0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ont>
        <condense val="0"/>
        <extend val="0"/>
        <color indexed="9"/>
      </font>
      <fill>
        <patternFill>
          <bgColor indexed="15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</font>
      <fill>
        <patternFill>
          <bgColor indexed="13"/>
        </patternFill>
      </fill>
    </dxf>
    <dxf>
      <fill>
        <patternFill>
          <bgColor indexed="15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982980</xdr:colOff>
      <xdr:row>50</xdr:row>
      <xdr:rowOff>129540</xdr:rowOff>
    </xdr:from>
    <xdr:to>
      <xdr:col>17</xdr:col>
      <xdr:colOff>114300</xdr:colOff>
      <xdr:row>74</xdr:row>
      <xdr:rowOff>22860</xdr:rowOff>
    </xdr:to>
    <xdr:grpSp>
      <xdr:nvGrpSpPr>
        <xdr:cNvPr id="2600" name="Group 28"/>
        <xdr:cNvGrpSpPr>
          <a:grpSpLocks/>
        </xdr:cNvGrpSpPr>
      </xdr:nvGrpSpPr>
      <xdr:grpSpPr bwMode="auto">
        <a:xfrm>
          <a:off x="2887980" y="9547384"/>
          <a:ext cx="4477226" cy="3893820"/>
          <a:chOff x="94" y="993"/>
          <a:chExt cx="474" cy="397"/>
        </a:xfrm>
      </xdr:grpSpPr>
      <xdr:sp macro="" textlink="">
        <xdr:nvSpPr>
          <xdr:cNvPr id="2605" name="Line 2"/>
          <xdr:cNvSpPr>
            <a:spLocks noChangeShapeType="1"/>
          </xdr:cNvSpPr>
        </xdr:nvSpPr>
        <xdr:spPr bwMode="auto">
          <a:xfrm flipH="1">
            <a:off x="338" y="1111"/>
            <a:ext cx="95" cy="66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6" name="Line 3"/>
          <xdr:cNvSpPr>
            <a:spLocks noChangeShapeType="1"/>
          </xdr:cNvSpPr>
        </xdr:nvSpPr>
        <xdr:spPr bwMode="auto">
          <a:xfrm flipH="1">
            <a:off x="323" y="1030"/>
            <a:ext cx="115" cy="142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1028" name="Text Box 4"/>
          <xdr:cNvSpPr txBox="1">
            <a:spLocks noChangeArrowheads="1"/>
          </xdr:cNvSpPr>
        </xdr:nvSpPr>
        <xdr:spPr bwMode="auto">
          <a:xfrm>
            <a:off x="230" y="1183"/>
            <a:ext cx="141" cy="4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Pierce (Arbuckle)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[MEETING LOCATION]</a:t>
            </a:r>
          </a:p>
        </xdr:txBody>
      </xdr:sp>
      <xdr:sp macro="" textlink="">
        <xdr:nvSpPr>
          <xdr:cNvPr id="1029" name="Text Box 5"/>
          <xdr:cNvSpPr txBox="1">
            <a:spLocks noChangeArrowheads="1"/>
          </xdr:cNvSpPr>
        </xdr:nvSpPr>
        <xdr:spPr bwMode="auto">
          <a:xfrm>
            <a:off x="441" y="993"/>
            <a:ext cx="87" cy="5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Chico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00FF"/>
                </a:solidFill>
                <a:latin typeface="Arial"/>
                <a:cs typeface="Arial"/>
              </a:rPr>
              <a:t>[Home City]</a:t>
            </a:r>
            <a:endParaRPr lang="en-US" sz="1000" b="0" i="0" u="none" strike="noStrike" baseline="0">
              <a:solidFill>
                <a:srgbClr val="FF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 database</a:t>
            </a:r>
          </a:p>
        </xdr:txBody>
      </xdr: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233" y="1351"/>
            <a:ext cx="10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Esparto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993300"/>
                </a:solidFill>
                <a:latin typeface="Arial"/>
                <a:cs typeface="Arial"/>
              </a:rPr>
              <a:t>[MATCH SITE]</a:t>
            </a:r>
          </a:p>
        </xdr:txBody>
      </xdr:sp>
      <xdr:sp macro="" textlink="">
        <xdr:nvSpPr>
          <xdr:cNvPr id="1031" name="Text Box 7"/>
          <xdr:cNvSpPr txBox="1">
            <a:spLocks noChangeArrowheads="1"/>
          </xdr:cNvSpPr>
        </xdr:nvSpPr>
        <xdr:spPr bwMode="auto">
          <a:xfrm>
            <a:off x="441" y="1097"/>
            <a:ext cx="87" cy="3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Butte College</a:t>
            </a: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[LEFT FROM]</a:t>
            </a:r>
          </a:p>
        </xdr:txBody>
      </xdr:sp>
      <xdr:sp macro="" textlink="">
        <xdr:nvSpPr>
          <xdr:cNvPr id="2611" name="Line 8"/>
          <xdr:cNvSpPr>
            <a:spLocks noChangeShapeType="1"/>
          </xdr:cNvSpPr>
        </xdr:nvSpPr>
        <xdr:spPr bwMode="auto">
          <a:xfrm flipH="1">
            <a:off x="253" y="1228"/>
            <a:ext cx="11" cy="114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 type="triangle" w="med" len="med"/>
            <a:tailEnd/>
          </a:ln>
        </xdr:spPr>
      </xdr:sp>
      <xdr:sp macro="" textlink="">
        <xdr:nvSpPr>
          <xdr:cNvPr id="2612" name="Line 9"/>
          <xdr:cNvSpPr>
            <a:spLocks noChangeShapeType="1"/>
          </xdr:cNvSpPr>
        </xdr:nvSpPr>
        <xdr:spPr bwMode="auto">
          <a:xfrm flipH="1">
            <a:off x="291" y="1230"/>
            <a:ext cx="11" cy="114"/>
          </a:xfrm>
          <a:prstGeom prst="line">
            <a:avLst/>
          </a:prstGeom>
          <a:noFill/>
          <a:ln w="22225">
            <a:solidFill>
              <a:srgbClr val="000000"/>
            </a:solidFill>
            <a:round/>
            <a:headEnd/>
            <a:tailEnd type="triangle" w="med" len="med"/>
          </a:ln>
        </xdr:spPr>
      </xdr:sp>
      <xdr:grpSp>
        <xdr:nvGrpSpPr>
          <xdr:cNvPr id="2613" name="Group 17"/>
          <xdr:cNvGrpSpPr>
            <a:grpSpLocks/>
          </xdr:cNvGrpSpPr>
        </xdr:nvGrpSpPr>
        <xdr:grpSpPr bwMode="auto">
          <a:xfrm>
            <a:off x="259" y="1253"/>
            <a:ext cx="309" cy="55"/>
            <a:chOff x="974" y="518"/>
            <a:chExt cx="309" cy="55"/>
          </a:xfrm>
        </xdr:grpSpPr>
        <xdr:sp macro="" textlink="">
          <xdr:nvSpPr>
            <xdr:cNvPr id="1036" name="AutoShape 12"/>
            <xdr:cNvSpPr>
              <a:spLocks/>
            </xdr:cNvSpPr>
          </xdr:nvSpPr>
          <xdr:spPr bwMode="auto">
            <a:xfrm>
              <a:off x="1128" y="518"/>
              <a:ext cx="155" cy="55"/>
            </a:xfrm>
            <a:prstGeom prst="borderCallout1">
              <a:avLst>
                <a:gd name="adj1" fmla="val 21819"/>
                <a:gd name="adj2" fmla="val -5162"/>
                <a:gd name="adj3" fmla="val 98181"/>
                <a:gd name="adj4" fmla="val -75486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Computed based on entered information in the </a:t>
              </a:r>
              <a:r>
                <a:rPr lang="en-US" sz="1000" b="0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[ENTER Drove or Rode]</a:t>
              </a:r>
            </a:p>
          </xdr:txBody>
        </xdr:sp>
        <xdr:sp macro="" textlink="">
          <xdr:nvSpPr>
            <xdr:cNvPr id="2621" name="Line 14"/>
            <xdr:cNvSpPr>
              <a:spLocks noChangeShapeType="1"/>
            </xdr:cNvSpPr>
          </xdr:nvSpPr>
          <xdr:spPr bwMode="auto">
            <a:xfrm flipH="1">
              <a:off x="974" y="529"/>
              <a:ext cx="146" cy="2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614" name="Group 16"/>
          <xdr:cNvGrpSpPr>
            <a:grpSpLocks/>
          </xdr:cNvGrpSpPr>
        </xdr:nvGrpSpPr>
        <xdr:grpSpPr bwMode="auto">
          <a:xfrm>
            <a:off x="386" y="1094"/>
            <a:ext cx="159" cy="146"/>
            <a:chOff x="1101" y="359"/>
            <a:chExt cx="159" cy="146"/>
          </a:xfrm>
        </xdr:grpSpPr>
        <xdr:sp macro="" textlink="">
          <xdr:nvSpPr>
            <xdr:cNvPr id="1034" name="AutoShape 10"/>
            <xdr:cNvSpPr>
              <a:spLocks/>
            </xdr:cNvSpPr>
          </xdr:nvSpPr>
          <xdr:spPr bwMode="auto">
            <a:xfrm>
              <a:off x="1164" y="463"/>
              <a:ext cx="96" cy="42"/>
            </a:xfrm>
            <a:prstGeom prst="borderCallout1">
              <a:avLst>
                <a:gd name="adj1" fmla="val 28569"/>
                <a:gd name="adj2" fmla="val -8333"/>
                <a:gd name="adj3" fmla="val -92856"/>
                <a:gd name="adj4" fmla="val -83333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Computed as "Mileage Drove"</a:t>
              </a:r>
            </a:p>
          </xdr:txBody>
        </xdr:sp>
        <xdr:sp macro="" textlink="">
          <xdr:nvSpPr>
            <xdr:cNvPr id="2619" name="Line 15"/>
            <xdr:cNvSpPr>
              <a:spLocks noChangeShapeType="1"/>
            </xdr:cNvSpPr>
          </xdr:nvSpPr>
          <xdr:spPr bwMode="auto">
            <a:xfrm flipH="1" flipV="1">
              <a:off x="1101" y="359"/>
              <a:ext cx="56" cy="11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615" name="Group 27"/>
          <xdr:cNvGrpSpPr>
            <a:grpSpLocks/>
          </xdr:cNvGrpSpPr>
        </xdr:nvGrpSpPr>
        <xdr:grpSpPr bwMode="auto">
          <a:xfrm>
            <a:off x="94" y="1222"/>
            <a:ext cx="130" cy="131"/>
            <a:chOff x="94" y="1222"/>
            <a:chExt cx="130" cy="131"/>
          </a:xfrm>
        </xdr:grpSpPr>
        <xdr:sp macro="" textlink="">
          <xdr:nvSpPr>
            <xdr:cNvPr id="1043" name="AutoShape 19"/>
            <xdr:cNvSpPr>
              <a:spLocks/>
            </xdr:cNvSpPr>
          </xdr:nvSpPr>
          <xdr:spPr bwMode="auto">
            <a:xfrm>
              <a:off x="94" y="1222"/>
              <a:ext cx="111" cy="129"/>
            </a:xfrm>
            <a:prstGeom prst="borderCallout1">
              <a:avLst>
                <a:gd name="adj1" fmla="val 9301"/>
                <a:gd name="adj2" fmla="val 107208"/>
                <a:gd name="adj3" fmla="val -11630"/>
                <a:gd name="adj4" fmla="val 119819"/>
              </a:avLst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0" bIns="0" anchor="t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If </a:t>
              </a:r>
              <a:r>
                <a:rPr lang="en-US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[MEETING LOCATION]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and </a:t>
              </a:r>
              <a:r>
                <a:rPr lang="en-US" sz="1000" b="0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[MATCH SITE]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locations are the same, use the same location in BOTH columns</a:t>
              </a:r>
            </a:p>
          </xdr:txBody>
        </xdr:sp>
        <xdr:sp macro="" textlink="">
          <xdr:nvSpPr>
            <xdr:cNvPr id="2617" name="Line 20"/>
            <xdr:cNvSpPr>
              <a:spLocks noChangeShapeType="1"/>
            </xdr:cNvSpPr>
          </xdr:nvSpPr>
          <xdr:spPr bwMode="auto">
            <a:xfrm flipH="1" flipV="1">
              <a:off x="213" y="1234"/>
              <a:ext cx="11" cy="1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16</xdr:col>
      <xdr:colOff>381000</xdr:colOff>
      <xdr:row>13</xdr:row>
      <xdr:rowOff>38100</xdr:rowOff>
    </xdr:from>
    <xdr:to>
      <xdr:col>18</xdr:col>
      <xdr:colOff>609600</xdr:colOff>
      <xdr:row>14</xdr:row>
      <xdr:rowOff>144780</xdr:rowOff>
    </xdr:to>
    <xdr:grpSp>
      <xdr:nvGrpSpPr>
        <xdr:cNvPr id="2601" name="Group 25"/>
        <xdr:cNvGrpSpPr>
          <a:grpSpLocks/>
        </xdr:cNvGrpSpPr>
      </xdr:nvGrpSpPr>
      <xdr:grpSpPr bwMode="auto">
        <a:xfrm>
          <a:off x="6810375" y="2395538"/>
          <a:ext cx="1824038" cy="273367"/>
          <a:chOff x="653" y="195"/>
          <a:chExt cx="190" cy="28"/>
        </a:xfrm>
      </xdr:grpSpPr>
      <xdr:sp macro="" textlink="">
        <xdr:nvSpPr>
          <xdr:cNvPr id="2602" name="Line 22"/>
          <xdr:cNvSpPr>
            <a:spLocks noChangeShapeType="1"/>
          </xdr:cNvSpPr>
        </xdr:nvSpPr>
        <xdr:spPr bwMode="auto">
          <a:xfrm flipH="1">
            <a:off x="653" y="195"/>
            <a:ext cx="19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03" name="Line 23"/>
          <xdr:cNvSpPr>
            <a:spLocks noChangeShapeType="1"/>
          </xdr:cNvSpPr>
        </xdr:nvSpPr>
        <xdr:spPr bwMode="auto">
          <a:xfrm>
            <a:off x="653" y="195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4" name="Line 24"/>
          <xdr:cNvSpPr>
            <a:spLocks noChangeShapeType="1"/>
          </xdr:cNvSpPr>
        </xdr:nvSpPr>
        <xdr:spPr bwMode="auto">
          <a:xfrm>
            <a:off x="741" y="196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A13" zoomScale="80" zoomScaleNormal="80" workbookViewId="0">
      <selection activeCell="C5" sqref="C5:D5"/>
    </sheetView>
  </sheetViews>
  <sheetFormatPr defaultColWidth="9.140625" defaultRowHeight="12.75"/>
  <cols>
    <col min="1" max="1" width="5.28515625" style="24" customWidth="1"/>
    <col min="2" max="3" width="11.5703125" style="24" customWidth="1"/>
    <col min="4" max="4" width="19" style="24" customWidth="1"/>
    <col min="5" max="5" width="17.28515625" style="24" customWidth="1"/>
    <col min="6" max="6" width="19.140625" style="24" customWidth="1"/>
    <col min="7" max="7" width="12.5703125" style="24" customWidth="1"/>
    <col min="8" max="10" width="8" style="24" hidden="1" customWidth="1"/>
    <col min="11" max="11" width="13.7109375" style="24" hidden="1" customWidth="1"/>
    <col min="12" max="12" width="10.140625" style="24" hidden="1" customWidth="1"/>
    <col min="13" max="15" width="8" style="24" hidden="1" customWidth="1"/>
    <col min="16" max="16" width="8.42578125" style="24" hidden="1" customWidth="1"/>
    <col min="17" max="17" width="12.28515625" style="24" bestFit="1" customWidth="1"/>
    <col min="18" max="18" width="11.5703125" style="24" bestFit="1" customWidth="1"/>
    <col min="19" max="19" width="21.42578125" style="24" customWidth="1"/>
    <col min="20" max="20" width="1.85546875" style="24" customWidth="1"/>
    <col min="21" max="21" width="4.85546875" style="24" customWidth="1"/>
    <col min="22" max="16384" width="9.140625" style="24"/>
  </cols>
  <sheetData>
    <row r="1" spans="1:21">
      <c r="E1" s="121" t="s">
        <v>246</v>
      </c>
      <c r="F1" s="122"/>
      <c r="Q1" s="25"/>
      <c r="R1" s="25"/>
    </row>
    <row r="2" spans="1:21" ht="23.25">
      <c r="A2" s="163" t="s">
        <v>124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</row>
    <row r="3" spans="1:21" ht="18">
      <c r="A3" s="164" t="s">
        <v>149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21" ht="12.75" customHeight="1"/>
    <row r="5" spans="1:21">
      <c r="B5" s="91" t="s">
        <v>225</v>
      </c>
      <c r="C5" s="161"/>
      <c r="D5" s="162"/>
      <c r="E5" s="60" t="s">
        <v>138</v>
      </c>
    </row>
    <row r="6" spans="1:21" ht="12.75" customHeight="1">
      <c r="B6" s="29"/>
      <c r="C6" s="29"/>
      <c r="D6" s="29"/>
      <c r="Q6" s="165" t="s">
        <v>152</v>
      </c>
      <c r="R6" s="165"/>
    </row>
    <row r="7" spans="1:21">
      <c r="B7" s="25" t="s">
        <v>28</v>
      </c>
      <c r="C7" s="161"/>
      <c r="D7" s="162"/>
      <c r="E7" s="60" t="s">
        <v>137</v>
      </c>
      <c r="Q7" s="174" t="s">
        <v>153</v>
      </c>
      <c r="R7" s="174"/>
    </row>
    <row r="8" spans="1:21" ht="12.75" customHeight="1">
      <c r="B8" s="29"/>
      <c r="C8" s="175"/>
      <c r="D8" s="175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21">
      <c r="B9" s="61" t="s">
        <v>131</v>
      </c>
      <c r="C9" s="176"/>
      <c r="D9" s="177"/>
      <c r="E9" s="96" t="s">
        <v>136</v>
      </c>
      <c r="F9" s="97"/>
      <c r="G9" s="97"/>
    </row>
    <row r="10" spans="1:21" ht="12.75" customHeight="1">
      <c r="B10" s="62" t="s">
        <v>132</v>
      </c>
      <c r="C10" s="178"/>
      <c r="D10" s="179"/>
      <c r="E10" s="60" t="s">
        <v>139</v>
      </c>
      <c r="Q10" s="93"/>
      <c r="S10" s="60"/>
    </row>
    <row r="11" spans="1:21" ht="12.75" customHeight="1">
      <c r="B11" s="62" t="s">
        <v>133</v>
      </c>
      <c r="C11" s="161"/>
      <c r="D11" s="162"/>
      <c r="Q11" s="188" t="s">
        <v>249</v>
      </c>
      <c r="R11" s="189"/>
      <c r="S11" s="189"/>
      <c r="T11" s="189"/>
      <c r="U11" s="190"/>
    </row>
    <row r="12" spans="1:21" ht="12.75" customHeight="1">
      <c r="B12" s="62" t="s">
        <v>134</v>
      </c>
      <c r="C12" s="161"/>
      <c r="D12" s="162"/>
      <c r="Q12" s="141" t="s">
        <v>135</v>
      </c>
      <c r="R12" s="142"/>
      <c r="S12" s="142"/>
      <c r="T12" s="142"/>
      <c r="U12" s="143"/>
    </row>
    <row r="13" spans="1:21" ht="12.75" customHeight="1">
      <c r="Q13" s="144"/>
      <c r="R13" s="145"/>
      <c r="S13" s="145"/>
      <c r="T13" s="145"/>
      <c r="U13" s="146"/>
    </row>
    <row r="14" spans="1:21" ht="13.5" customHeight="1">
      <c r="B14" s="171" t="s">
        <v>61</v>
      </c>
      <c r="C14" s="171"/>
      <c r="D14" s="171"/>
      <c r="E14" s="171"/>
      <c r="F14" s="171"/>
      <c r="G14" s="171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</row>
    <row r="15" spans="1:21">
      <c r="B15" s="172" t="s">
        <v>30</v>
      </c>
      <c r="C15" s="172"/>
      <c r="D15" s="172"/>
      <c r="E15" s="172"/>
      <c r="F15" s="172"/>
      <c r="G15" s="172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</row>
    <row r="16" spans="1:21" ht="13.5" thickBot="1">
      <c r="G16" s="94" t="s">
        <v>65</v>
      </c>
      <c r="L16" s="24" t="s">
        <v>204</v>
      </c>
      <c r="Q16" s="151" t="s">
        <v>60</v>
      </c>
      <c r="R16" s="152"/>
    </row>
    <row r="17" spans="1:24" ht="12.75" customHeight="1" thickTop="1">
      <c r="A17" s="153" t="s">
        <v>147</v>
      </c>
      <c r="B17" s="155" t="s">
        <v>31</v>
      </c>
      <c r="C17" s="157" t="s">
        <v>34</v>
      </c>
      <c r="D17" s="159" t="s">
        <v>202</v>
      </c>
      <c r="E17" s="166" t="s">
        <v>32</v>
      </c>
      <c r="F17" s="169" t="s">
        <v>33</v>
      </c>
      <c r="G17" s="167" t="s">
        <v>130</v>
      </c>
      <c r="H17" s="149" t="s">
        <v>143</v>
      </c>
      <c r="I17" s="149" t="s">
        <v>144</v>
      </c>
      <c r="J17" s="149" t="s">
        <v>145</v>
      </c>
      <c r="K17" s="149" t="s">
        <v>206</v>
      </c>
      <c r="L17" s="149" t="s">
        <v>203</v>
      </c>
      <c r="M17" s="149" t="s">
        <v>146</v>
      </c>
      <c r="N17" s="149" t="s">
        <v>155</v>
      </c>
      <c r="O17" s="149" t="s">
        <v>156</v>
      </c>
      <c r="P17" s="149" t="s">
        <v>157</v>
      </c>
      <c r="Q17" s="149" t="s">
        <v>50</v>
      </c>
      <c r="R17" s="147" t="s">
        <v>51</v>
      </c>
    </row>
    <row r="18" spans="1:24" ht="29.25" customHeight="1" thickBot="1">
      <c r="A18" s="154"/>
      <c r="B18" s="156"/>
      <c r="C18" s="158"/>
      <c r="D18" s="158"/>
      <c r="E18" s="158"/>
      <c r="F18" s="170"/>
      <c r="G18" s="168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48"/>
      <c r="U18" s="160" t="s">
        <v>151</v>
      </c>
      <c r="V18" s="160"/>
      <c r="W18" s="160"/>
      <c r="X18" s="160"/>
    </row>
    <row r="19" spans="1:24" ht="15" customHeight="1" thickBot="1">
      <c r="A19" s="98">
        <v>1</v>
      </c>
      <c r="B19" s="99" t="s">
        <v>55</v>
      </c>
      <c r="C19" s="100" t="s">
        <v>141</v>
      </c>
      <c r="D19" s="100" t="s">
        <v>52</v>
      </c>
      <c r="E19" s="101" t="s">
        <v>148</v>
      </c>
      <c r="F19" s="102" t="s">
        <v>56</v>
      </c>
      <c r="G19" s="103" t="s">
        <v>154</v>
      </c>
      <c r="H19" s="63" t="str">
        <f>IF(AND(ISTEXT(C19),ISERROR(HLOOKUP(C19,database!$C$9:$AB$13,1,FALSE))),"''"&amp;C19&amp;"''","")</f>
        <v/>
      </c>
      <c r="I19" s="63" t="str">
        <f>IF(AND(ISTEXT(D19),OR(D19&lt;&gt;E19,J19&lt;&gt;""),ISERROR(HLOOKUP(D19,database!$C$9:$AB$13,1,FALSE))),"''"&amp;D19&amp;"'' "&amp;"(as meeting location)","")</f>
        <v/>
      </c>
      <c r="J19" s="63" t="str">
        <f>IF(AND(ISTEXT(E19),ISERROR(VLOOKUP(E19,database!$A$13:$AB$58,1,FALSE))),"''"&amp;E19&amp;"''","")</f>
        <v/>
      </c>
      <c r="K19" s="63" t="str">
        <f>IF(OR(ISERROR(MATCH(D19,L$48:L$49,0)),D19&lt;&gt;LEFT(E19,LEN(D19))),"","Recommend using ''"&amp;D19&amp;" high'' for partner's meeting location. ")</f>
        <v/>
      </c>
      <c r="L19" s="63" t="str">
        <f>IF(ISERROR(MATCH(E19,L$48:L$49,0)),"","RECOMMENDED: ''"&amp;E19&amp;"'' should not be used as a match site. Use ''"&amp;E19&amp;" high'' instead.")</f>
        <v/>
      </c>
      <c r="M19" s="63" t="str">
        <f>IF(AND(ISTEXT(G19),G19&lt;&gt;"drove",G19&lt;&gt;"rode"),"Enter ''Drove'' or ''Rode'' column not entered correctly. ","")</f>
        <v/>
      </c>
      <c r="N19" s="63" t="str">
        <f>IF(AND(H19&lt;&gt;"",OR(I19&lt;&gt;"",J19&lt;&gt;""))," and ","")</f>
        <v/>
      </c>
      <c r="O19" s="63" t="str">
        <f>IF(AND(I19&lt;&gt;"",J19&lt;&gt;"")," and ","")</f>
        <v/>
      </c>
      <c r="P19" s="63" t="str">
        <f>IF(OR(H19&lt;&gt;"",I19&lt;&gt;"",J19&lt;&gt;"")," not in database. ","")</f>
        <v/>
      </c>
      <c r="Q19" s="89"/>
      <c r="R19" s="90"/>
      <c r="S19" s="95" t="s">
        <v>150</v>
      </c>
      <c r="U19" s="160"/>
      <c r="V19" s="160"/>
      <c r="W19" s="160"/>
      <c r="X19" s="160"/>
    </row>
    <row r="20" spans="1:24" ht="15" customHeight="1" thickBot="1">
      <c r="A20" s="36">
        <v>2</v>
      </c>
      <c r="B20" s="82"/>
      <c r="C20" s="81"/>
      <c r="D20" s="81"/>
      <c r="E20" s="81"/>
      <c r="F20" s="83"/>
      <c r="G20" s="81"/>
      <c r="H20" s="63"/>
      <c r="I20" s="63"/>
      <c r="J20" s="63"/>
      <c r="K20" s="63"/>
      <c r="L20" s="63"/>
      <c r="M20" s="63"/>
      <c r="N20" s="63"/>
      <c r="O20" s="63"/>
      <c r="P20" s="63"/>
      <c r="Q20" s="89" t="str">
        <f>IF(OR(ISERROR(Printout!P17),AND(ISTEXT(Printout!P17),IF(ISERROR(Printout!P17),,Printout!P17&lt;&gt;""))),"Enter Data","")</f>
        <v/>
      </c>
      <c r="R20" s="90" t="str">
        <f>IF(OR(ISERROR(Printout!Q17),AND(ISTEXT(Printout!Q17),IF(ISERROR(Printout!Q17),,Printout!Q17&lt;&gt;""))),"Enter Data","")</f>
        <v/>
      </c>
      <c r="S20" s="64" t="str">
        <f>IF(AND(OR(C20&lt;&gt;D20,D20&lt;&gt;E20,C20&lt;&gt;$C$9),OR(Q20="enter data",R20="enter data",AND(G20&lt;&gt;"drove",G20&lt;&gt;"rode",G20&lt;&gt;""))),CONCATENATE(H20,N20,I20,O20,J20,P20,M20),IF(L20&lt;&gt;"",L20,IF(K20&lt;&gt;"",K20,"")))</f>
        <v/>
      </c>
    </row>
    <row r="21" spans="1:24" ht="15" customHeight="1" thickBot="1">
      <c r="A21" s="36">
        <v>3</v>
      </c>
      <c r="B21" s="82"/>
      <c r="C21" s="81"/>
      <c r="D21" s="81"/>
      <c r="E21" s="81"/>
      <c r="F21" s="83"/>
      <c r="G21" s="81"/>
      <c r="H21" s="63"/>
      <c r="I21" s="63"/>
      <c r="J21" s="63"/>
      <c r="K21" s="63"/>
      <c r="L21" s="63"/>
      <c r="M21" s="63"/>
      <c r="N21" s="63"/>
      <c r="O21" s="63"/>
      <c r="P21" s="63"/>
      <c r="Q21" s="89" t="str">
        <f>IF(OR(ISERROR(Printout!P18),AND(ISTEXT(Printout!P18),IF(ISERROR(Printout!P18),,Printout!P18&lt;&gt;""))),"Enter Data","")</f>
        <v/>
      </c>
      <c r="R21" s="90" t="str">
        <f>IF(OR(ISERROR(Printout!Q18),AND(ISTEXT(Printout!Q18),IF(ISERROR(Printout!Q18),,Printout!Q18&lt;&gt;""))),"Enter Data","")</f>
        <v/>
      </c>
      <c r="S21" s="64" t="str">
        <f t="shared" ref="S21:S47" si="0">IF(AND(OR(C21&lt;&gt;D21,D21&lt;&gt;E21,C21&lt;&gt;$C$9),OR(Q21="enter data",R21="enter data",AND(G21&lt;&gt;"drove",G21&lt;&gt;"rode",G21&lt;&gt;""))),CONCATENATE(H21,N21,I21,O21,J21,P21,M21),IF(L21&lt;&gt;"",L21,IF(K21&lt;&gt;"",K21,"")))</f>
        <v/>
      </c>
    </row>
    <row r="22" spans="1:24" ht="15" customHeight="1" thickBot="1">
      <c r="A22" s="36">
        <v>4</v>
      </c>
      <c r="B22" s="82"/>
      <c r="C22" s="81"/>
      <c r="D22" s="81"/>
      <c r="E22" s="81"/>
      <c r="F22" s="83"/>
      <c r="G22" s="81"/>
      <c r="H22" s="63"/>
      <c r="I22" s="63"/>
      <c r="J22" s="63"/>
      <c r="K22" s="63"/>
      <c r="L22" s="63"/>
      <c r="M22" s="63"/>
      <c r="N22" s="63"/>
      <c r="O22" s="63"/>
      <c r="P22" s="63"/>
      <c r="Q22" s="89" t="str">
        <f>IF(OR(ISERROR(Printout!P19),AND(ISTEXT(Printout!P19),IF(ISERROR(Printout!P19),,Printout!P19&lt;&gt;""))),"Enter Data","")</f>
        <v/>
      </c>
      <c r="R22" s="90" t="str">
        <f>IF(OR(ISERROR(Printout!Q19),AND(ISTEXT(Printout!Q19),IF(ISERROR(Printout!Q19),,Printout!Q19&lt;&gt;""))),"Enter Data","")</f>
        <v/>
      </c>
      <c r="S22" s="64" t="str">
        <f t="shared" si="0"/>
        <v/>
      </c>
    </row>
    <row r="23" spans="1:24" ht="15" customHeight="1" thickBot="1">
      <c r="A23" s="36">
        <v>5</v>
      </c>
      <c r="B23" s="82"/>
      <c r="C23" s="81"/>
      <c r="D23" s="81"/>
      <c r="E23" s="81"/>
      <c r="F23" s="83"/>
      <c r="G23" s="81"/>
      <c r="H23" s="63"/>
      <c r="I23" s="63"/>
      <c r="J23" s="63"/>
      <c r="K23" s="63"/>
      <c r="L23" s="63"/>
      <c r="M23" s="63"/>
      <c r="N23" s="63"/>
      <c r="O23" s="63"/>
      <c r="P23" s="63"/>
      <c r="Q23" s="89" t="str">
        <f>IF(OR(ISERROR(Printout!P20),AND(ISTEXT(Printout!P20),IF(ISERROR(Printout!P20),,Printout!P20&lt;&gt;""))),"Enter Data","")</f>
        <v/>
      </c>
      <c r="R23" s="90"/>
      <c r="S23" s="64" t="str">
        <f t="shared" si="0"/>
        <v/>
      </c>
    </row>
    <row r="24" spans="1:24" ht="15" customHeight="1" thickBot="1">
      <c r="A24" s="36">
        <v>6</v>
      </c>
      <c r="B24" s="82"/>
      <c r="C24" s="81"/>
      <c r="D24" s="81"/>
      <c r="E24" s="81"/>
      <c r="F24" s="83"/>
      <c r="G24" s="81"/>
      <c r="H24" s="63"/>
      <c r="I24" s="63"/>
      <c r="J24" s="63"/>
      <c r="K24" s="63"/>
      <c r="L24" s="63"/>
      <c r="M24" s="63"/>
      <c r="N24" s="63"/>
      <c r="O24" s="63"/>
      <c r="P24" s="63"/>
      <c r="Q24" s="89" t="str">
        <f>IF(OR(ISERROR(Printout!P21),AND(ISTEXT(Printout!P21),IF(ISERROR(Printout!P21),,Printout!P21&lt;&gt;""))),"Enter Data","")</f>
        <v/>
      </c>
      <c r="R24" s="90" t="str">
        <f>IF(OR(ISERROR(Printout!Q21),AND(ISTEXT(Printout!Q21),IF(ISERROR(Printout!Q21),,Printout!Q21&lt;&gt;""))),"Enter Data","")</f>
        <v/>
      </c>
      <c r="S24" s="64" t="str">
        <f t="shared" si="0"/>
        <v/>
      </c>
    </row>
    <row r="25" spans="1:24" ht="15" customHeight="1" thickBot="1">
      <c r="A25" s="36">
        <v>7</v>
      </c>
      <c r="B25" s="82"/>
      <c r="C25" s="81"/>
      <c r="D25" s="81"/>
      <c r="E25" s="81"/>
      <c r="F25" s="83"/>
      <c r="G25" s="81"/>
      <c r="H25" s="63"/>
      <c r="I25" s="63"/>
      <c r="J25" s="63"/>
      <c r="K25" s="63"/>
      <c r="L25" s="63"/>
      <c r="M25" s="63"/>
      <c r="N25" s="63"/>
      <c r="O25" s="63"/>
      <c r="P25" s="63"/>
      <c r="Q25" s="89" t="str">
        <f>IF(OR(ISERROR(Printout!P22),AND(ISTEXT(Printout!P22),IF(ISERROR(Printout!P22),,Printout!P22&lt;&gt;""))),"Enter Data","")</f>
        <v/>
      </c>
      <c r="R25" s="90"/>
      <c r="S25" s="64" t="str">
        <f>IF(AND(OR(C25&lt;&gt;D25,D25&lt;&gt;E25,C25&lt;&gt;$C$9),OR(Q25="enter data",R25="enter data",AND(G25&lt;&gt;"drove",G25&lt;&gt;"rode",G25&lt;&gt;""))),CONCATENATE(H25,N25,I25,O25,J25,P25,M25),IF(L25&lt;&gt;"",L25,IF(K25&lt;&gt;"",K25,"")))</f>
        <v/>
      </c>
    </row>
    <row r="26" spans="1:24" ht="15" customHeight="1" thickBot="1">
      <c r="A26" s="36">
        <v>8</v>
      </c>
      <c r="B26" s="82"/>
      <c r="C26" s="81"/>
      <c r="D26" s="81"/>
      <c r="E26" s="81"/>
      <c r="F26" s="83"/>
      <c r="G26" s="81"/>
      <c r="H26" s="63"/>
      <c r="I26" s="63"/>
      <c r="J26" s="63"/>
      <c r="K26" s="63"/>
      <c r="L26" s="63"/>
      <c r="M26" s="63"/>
      <c r="N26" s="63"/>
      <c r="O26" s="63"/>
      <c r="P26" s="63"/>
      <c r="Q26" s="89" t="str">
        <f>IF(OR(ISERROR(Printout!P23),AND(ISTEXT(Printout!P23),IF(ISERROR(Printout!P23),,Printout!P23&lt;&gt;""))),"Enter Data","")</f>
        <v/>
      </c>
      <c r="R26" s="90"/>
      <c r="S26" s="64" t="str">
        <f>IF(AND(OR(C26&lt;&gt;D26,D26&lt;&gt;E26,C26&lt;&gt;$C$9),OR(Q26="enter data",R26="enter data",AND(G26&lt;&gt;"drove",G26&lt;&gt;"rode",G26&lt;&gt;""))),CONCATENATE(H26,N26,I26,O26,J26,P26,M26),IF(L26&lt;&gt;"",L26,IF(K26&lt;&gt;"",K26,"")))</f>
        <v/>
      </c>
    </row>
    <row r="27" spans="1:24" ht="15" customHeight="1" thickBot="1">
      <c r="A27" s="36">
        <v>9</v>
      </c>
      <c r="B27" s="82"/>
      <c r="C27" s="81"/>
      <c r="D27" s="81"/>
      <c r="E27" s="81"/>
      <c r="F27" s="83"/>
      <c r="G27" s="81"/>
      <c r="H27" s="63"/>
      <c r="I27" s="63"/>
      <c r="J27" s="63"/>
      <c r="K27" s="63"/>
      <c r="L27" s="63"/>
      <c r="M27" s="63"/>
      <c r="N27" s="63"/>
      <c r="O27" s="63"/>
      <c r="P27" s="63"/>
      <c r="Q27" s="89" t="str">
        <f>IF(OR(ISERROR(Printout!P24),AND(ISTEXT(Printout!P24),IF(ISERROR(Printout!P24),,Printout!P24&lt;&gt;""))),"Enter Data","")</f>
        <v/>
      </c>
      <c r="R27" s="90" t="str">
        <f>IF(OR(ISERROR(Printout!Q24),AND(ISTEXT(Printout!Q24),IF(ISERROR(Printout!Q24),,Printout!Q24&lt;&gt;""))),"Enter Data","")</f>
        <v/>
      </c>
      <c r="S27" s="64" t="str">
        <f>IF(AND(OR(C27&lt;&gt;D27,D27&lt;&gt;E27,C27&lt;&gt;$C$9),OR(Q27="enter data",R27="enter data",AND(G27&lt;&gt;"drove",G27&lt;&gt;"rode",G27&lt;&gt;""))),CONCATENATE(H27,N27,I27,O27,J27,P27,M27),IF(L27&lt;&gt;"",L27,IF(K27&lt;&gt;"",K27,"")))</f>
        <v/>
      </c>
    </row>
    <row r="28" spans="1:24" ht="15" customHeight="1" thickBot="1">
      <c r="A28" s="36">
        <v>10</v>
      </c>
      <c r="B28" s="82"/>
      <c r="C28" s="81"/>
      <c r="D28" s="81"/>
      <c r="E28" s="81"/>
      <c r="F28" s="83"/>
      <c r="G28" s="81"/>
      <c r="H28" s="63"/>
      <c r="I28" s="63"/>
      <c r="J28" s="63"/>
      <c r="K28" s="63"/>
      <c r="L28" s="63"/>
      <c r="M28" s="63"/>
      <c r="N28" s="63"/>
      <c r="O28" s="63"/>
      <c r="P28" s="63"/>
      <c r="Q28" s="89" t="str">
        <f>IF(OR(ISERROR(Printout!P25),AND(ISTEXT(Printout!P25),IF(ISERROR(Printout!P25),,Printout!P25&lt;&gt;""))),"Enter Data","")</f>
        <v/>
      </c>
      <c r="R28" s="90" t="str">
        <f>IF(OR(ISERROR(Printout!Q25),AND(ISTEXT(Printout!Q25),IF(ISERROR(Printout!Q25),,Printout!Q25&lt;&gt;""))),"Enter Data","")</f>
        <v/>
      </c>
      <c r="S28" s="64" t="str">
        <f>IF(AND(OR(C28&lt;&gt;D28,D28&lt;&gt;E28,C28&lt;&gt;$C$9),OR(Q28="enter data",R28="enter data",AND(G28&lt;&gt;"drove",G28&lt;&gt;"rode",G28&lt;&gt;""))),CONCATENATE(H28,N28,I28,O28,J28,P28,M28),IF(L28&lt;&gt;"",L28,IF(K28&lt;&gt;"",K28,"")))</f>
        <v/>
      </c>
    </row>
    <row r="29" spans="1:24" ht="15" customHeight="1" thickBot="1">
      <c r="A29" s="36">
        <v>11</v>
      </c>
      <c r="B29" s="82"/>
      <c r="C29" s="81"/>
      <c r="D29" s="81"/>
      <c r="E29" s="81"/>
      <c r="F29" s="88"/>
      <c r="G29" s="81"/>
      <c r="H29" s="63"/>
      <c r="I29" s="63"/>
      <c r="J29" s="63"/>
      <c r="K29" s="63"/>
      <c r="L29" s="63"/>
      <c r="M29" s="63"/>
      <c r="N29" s="63"/>
      <c r="O29" s="63"/>
      <c r="P29" s="63"/>
      <c r="Q29" s="89" t="str">
        <f>IF(OR(ISERROR(Printout!P26),AND(ISTEXT(Printout!P26),IF(ISERROR(Printout!P26),,Printout!P26&lt;&gt;""))),"Enter Data","")</f>
        <v/>
      </c>
      <c r="R29" s="90" t="str">
        <f>IF(OR(ISERROR(Printout!Q26),AND(ISTEXT(Printout!Q26),IF(ISERROR(Printout!Q26),,Printout!Q26&lt;&gt;""))),"Enter Data","")</f>
        <v/>
      </c>
      <c r="S29" s="64" t="str">
        <f t="shared" si="0"/>
        <v/>
      </c>
    </row>
    <row r="30" spans="1:24" ht="15" customHeight="1" thickBot="1">
      <c r="A30" s="36">
        <v>12</v>
      </c>
      <c r="B30" s="82"/>
      <c r="C30" s="81"/>
      <c r="D30" s="81"/>
      <c r="E30" s="81"/>
      <c r="F30" s="88"/>
      <c r="G30" s="81"/>
      <c r="H30" s="63"/>
      <c r="I30" s="63"/>
      <c r="J30" s="63"/>
      <c r="K30" s="63"/>
      <c r="L30" s="63"/>
      <c r="M30" s="63"/>
      <c r="N30" s="63"/>
      <c r="O30" s="63"/>
      <c r="P30" s="63"/>
      <c r="Q30" s="89" t="str">
        <f>IF(OR(ISERROR(Printout!P27),AND(ISTEXT(Printout!P27),IF(ISERROR(Printout!P27),,Printout!P27&lt;&gt;""))),"Enter Data","")</f>
        <v/>
      </c>
      <c r="R30" s="90" t="str">
        <f>IF(OR(ISERROR(Printout!Q27),AND(ISTEXT(Printout!Q27),IF(ISERROR(Printout!Q27),,Printout!Q27&lt;&gt;""))),"Enter Data","")</f>
        <v/>
      </c>
      <c r="S30" s="64" t="str">
        <f t="shared" si="0"/>
        <v/>
      </c>
    </row>
    <row r="31" spans="1:24" ht="15" customHeight="1" thickBot="1">
      <c r="A31" s="36">
        <v>13</v>
      </c>
      <c r="B31" s="82"/>
      <c r="C31" s="81"/>
      <c r="D31" s="81"/>
      <c r="E31" s="81"/>
      <c r="F31" s="88"/>
      <c r="G31" s="81"/>
      <c r="H31" s="63"/>
      <c r="I31" s="63"/>
      <c r="J31" s="63"/>
      <c r="K31" s="63"/>
      <c r="L31" s="63"/>
      <c r="M31" s="63"/>
      <c r="N31" s="63"/>
      <c r="O31" s="63"/>
      <c r="P31" s="63"/>
      <c r="Q31" s="89" t="str">
        <f>IF(OR(ISERROR(Printout!P28),AND(ISTEXT(Printout!P28),IF(ISERROR(Printout!P28),,Printout!P28&lt;&gt;""))),"Enter Data","")</f>
        <v/>
      </c>
      <c r="R31" s="90" t="str">
        <f>IF(OR(ISERROR(Printout!Q28),AND(ISTEXT(Printout!Q28),IF(ISERROR(Printout!Q28),,Printout!Q28&lt;&gt;""))),"Enter Data","")</f>
        <v/>
      </c>
      <c r="S31" s="64" t="str">
        <f t="shared" si="0"/>
        <v/>
      </c>
    </row>
    <row r="32" spans="1:24" ht="15" customHeight="1" thickBot="1">
      <c r="A32" s="36">
        <v>14</v>
      </c>
      <c r="B32" s="82"/>
      <c r="C32" s="81"/>
      <c r="D32" s="81"/>
      <c r="E32" s="81"/>
      <c r="F32" s="88"/>
      <c r="G32" s="81"/>
      <c r="H32" s="63"/>
      <c r="I32" s="63"/>
      <c r="J32" s="63"/>
      <c r="K32" s="63"/>
      <c r="L32" s="63"/>
      <c r="M32" s="63"/>
      <c r="N32" s="63"/>
      <c r="O32" s="63"/>
      <c r="P32" s="63"/>
      <c r="Q32" s="89" t="str">
        <f>IF(OR(ISERROR(Printout!P29),AND(ISTEXT(Printout!P29),IF(ISERROR(Printout!P29),,Printout!P29&lt;&gt;""))),"Enter Data","")</f>
        <v/>
      </c>
      <c r="R32" s="90" t="str">
        <f>IF(OR(ISERROR(Printout!Q29),AND(ISTEXT(Printout!Q29),IF(ISERROR(Printout!Q29),,Printout!Q29&lt;&gt;""))),"Enter Data","")</f>
        <v/>
      </c>
      <c r="S32" s="64" t="str">
        <f t="shared" si="0"/>
        <v/>
      </c>
      <c r="T32" s="65"/>
    </row>
    <row r="33" spans="1:23" ht="15" customHeight="1" thickBot="1">
      <c r="A33" s="36">
        <v>15</v>
      </c>
      <c r="B33" s="52"/>
      <c r="C33" s="81"/>
      <c r="D33" s="81"/>
      <c r="E33" s="81"/>
      <c r="F33" s="54"/>
      <c r="G33" s="81"/>
      <c r="H33" s="63"/>
      <c r="I33" s="63"/>
      <c r="J33" s="63"/>
      <c r="K33" s="63"/>
      <c r="L33" s="63"/>
      <c r="M33" s="63"/>
      <c r="N33" s="63"/>
      <c r="O33" s="63"/>
      <c r="P33" s="63"/>
      <c r="Q33" s="89" t="str">
        <f>IF(OR(ISERROR(Printout!P30),AND(ISTEXT(Printout!P30),IF(ISERROR(Printout!P30),,Printout!P30&lt;&gt;""))),"Enter Data","")</f>
        <v/>
      </c>
      <c r="R33" s="90" t="str">
        <f>IF(OR(ISERROR(Printout!Q30),AND(ISTEXT(Printout!Q30),IF(ISERROR(Printout!Q30),,Printout!Q30&lt;&gt;""))),"Enter Data","")</f>
        <v/>
      </c>
      <c r="S33" s="64" t="str">
        <f t="shared" si="0"/>
        <v/>
      </c>
    </row>
    <row r="34" spans="1:23" ht="15" customHeight="1" thickBot="1">
      <c r="A34" s="36">
        <v>16</v>
      </c>
      <c r="B34" s="52"/>
      <c r="C34" s="81"/>
      <c r="D34" s="81"/>
      <c r="E34" s="81"/>
      <c r="F34" s="54"/>
      <c r="G34" s="81"/>
      <c r="H34" s="63"/>
      <c r="I34" s="63"/>
      <c r="J34" s="63"/>
      <c r="K34" s="63"/>
      <c r="L34" s="63"/>
      <c r="M34" s="63"/>
      <c r="N34" s="63"/>
      <c r="O34" s="63"/>
      <c r="P34" s="63"/>
      <c r="Q34" s="89" t="str">
        <f>IF(OR(ISERROR(Printout!P31),AND(ISTEXT(Printout!P31),IF(ISERROR(Printout!P31),,Printout!P31&lt;&gt;""))),"Enter Data","")</f>
        <v/>
      </c>
      <c r="R34" s="90" t="str">
        <f>IF(OR(ISERROR(Printout!Q31),AND(ISTEXT(Printout!Q31),IF(ISERROR(Printout!Q31),,Printout!Q31&lt;&gt;""))),"Enter Data","")</f>
        <v/>
      </c>
      <c r="S34" s="64" t="str">
        <f t="shared" si="0"/>
        <v/>
      </c>
    </row>
    <row r="35" spans="1:23" ht="15" customHeight="1" thickBot="1">
      <c r="A35" s="36">
        <v>17</v>
      </c>
      <c r="B35" s="52"/>
      <c r="C35" s="81"/>
      <c r="D35" s="81"/>
      <c r="E35" s="81"/>
      <c r="F35" s="54"/>
      <c r="G35" s="81"/>
      <c r="H35" s="63"/>
      <c r="I35" s="63"/>
      <c r="J35" s="63"/>
      <c r="K35" s="63"/>
      <c r="L35" s="63"/>
      <c r="M35" s="63"/>
      <c r="N35" s="63"/>
      <c r="O35" s="63"/>
      <c r="P35" s="63"/>
      <c r="Q35" s="89" t="str">
        <f>IF(OR(ISERROR(Printout!P32),AND(ISTEXT(Printout!P32),IF(ISERROR(Printout!P32),,Printout!P32&lt;&gt;""))),"Enter Data","")</f>
        <v/>
      </c>
      <c r="R35" s="90" t="str">
        <f>IF(OR(ISERROR(Printout!Q32),AND(ISTEXT(Printout!Q32),IF(ISERROR(Printout!Q32),,Printout!Q32&lt;&gt;""))),"Enter Data","")</f>
        <v/>
      </c>
      <c r="S35" s="64" t="str">
        <f t="shared" si="0"/>
        <v/>
      </c>
    </row>
    <row r="36" spans="1:23" ht="15" customHeight="1" thickBot="1">
      <c r="A36" s="36">
        <v>18</v>
      </c>
      <c r="B36" s="52"/>
      <c r="C36" s="81"/>
      <c r="D36" s="81"/>
      <c r="E36" s="81"/>
      <c r="F36" s="54"/>
      <c r="G36" s="81"/>
      <c r="H36" s="63"/>
      <c r="I36" s="63"/>
      <c r="J36" s="63"/>
      <c r="K36" s="63"/>
      <c r="L36" s="63"/>
      <c r="M36" s="63"/>
      <c r="N36" s="63"/>
      <c r="O36" s="63"/>
      <c r="P36" s="63"/>
      <c r="Q36" s="89" t="str">
        <f>IF(OR(ISERROR(Printout!P33),AND(ISTEXT(Printout!P33),IF(ISERROR(Printout!P33),,Printout!P33&lt;&gt;""))),"Enter Data","")</f>
        <v/>
      </c>
      <c r="R36" s="90" t="str">
        <f>IF(OR(ISERROR(Printout!Q33),AND(ISTEXT(Printout!Q33),IF(ISERROR(Printout!Q33),,Printout!Q33&lt;&gt;""))),"Enter Data","")</f>
        <v/>
      </c>
      <c r="S36" s="64" t="str">
        <f t="shared" si="0"/>
        <v/>
      </c>
    </row>
    <row r="37" spans="1:23" ht="15" customHeight="1" thickBot="1">
      <c r="A37" s="36">
        <v>19</v>
      </c>
      <c r="B37" s="52"/>
      <c r="C37" s="81"/>
      <c r="D37" s="81"/>
      <c r="E37" s="81"/>
      <c r="F37" s="54"/>
      <c r="G37" s="81"/>
      <c r="H37" s="63"/>
      <c r="I37" s="63"/>
      <c r="J37" s="63"/>
      <c r="K37" s="63"/>
      <c r="L37" s="63"/>
      <c r="M37" s="63"/>
      <c r="N37" s="63"/>
      <c r="O37" s="63"/>
      <c r="P37" s="63"/>
      <c r="Q37" s="89" t="str">
        <f>IF(OR(ISERROR(Printout!P34),AND(ISTEXT(Printout!P34),IF(ISERROR(Printout!P34),,Printout!P34&lt;&gt;""))),"Enter Data","")</f>
        <v/>
      </c>
      <c r="R37" s="90" t="str">
        <f>IF(OR(ISERROR(Printout!Q34),AND(ISTEXT(Printout!Q34),IF(ISERROR(Printout!Q34),,Printout!Q34&lt;&gt;""))),"Enter Data","")</f>
        <v/>
      </c>
      <c r="S37" s="64" t="str">
        <f t="shared" si="0"/>
        <v/>
      </c>
      <c r="W37" s="66"/>
    </row>
    <row r="38" spans="1:23" ht="15" customHeight="1" thickBot="1">
      <c r="A38" s="36">
        <v>20</v>
      </c>
      <c r="B38" s="52"/>
      <c r="C38" s="81"/>
      <c r="D38" s="81"/>
      <c r="E38" s="81"/>
      <c r="F38" s="54"/>
      <c r="G38" s="81"/>
      <c r="H38" s="63"/>
      <c r="I38" s="63"/>
      <c r="J38" s="63"/>
      <c r="K38" s="63"/>
      <c r="L38" s="63"/>
      <c r="M38" s="63"/>
      <c r="N38" s="63"/>
      <c r="O38" s="63"/>
      <c r="P38" s="63"/>
      <c r="Q38" s="89" t="str">
        <f>IF(OR(ISERROR(Printout!P35),AND(ISTEXT(Printout!P35),IF(ISERROR(Printout!P35),,Printout!P35&lt;&gt;""))),"Enter Data","")</f>
        <v/>
      </c>
      <c r="R38" s="90" t="str">
        <f>IF(OR(ISERROR(Printout!Q35),AND(ISTEXT(Printout!Q35),IF(ISERROR(Printout!Q35),,Printout!Q35&lt;&gt;""))),"Enter Data","")</f>
        <v/>
      </c>
      <c r="S38" s="64" t="str">
        <f t="shared" si="0"/>
        <v/>
      </c>
    </row>
    <row r="39" spans="1:23" ht="15" customHeight="1" thickBot="1">
      <c r="A39" s="36">
        <v>21</v>
      </c>
      <c r="B39" s="52"/>
      <c r="C39" s="81"/>
      <c r="D39" s="81"/>
      <c r="E39" s="81"/>
      <c r="F39" s="54"/>
      <c r="G39" s="81"/>
      <c r="H39" s="63"/>
      <c r="I39" s="63"/>
      <c r="J39" s="63"/>
      <c r="K39" s="63"/>
      <c r="L39" s="63"/>
      <c r="M39" s="63"/>
      <c r="N39" s="63"/>
      <c r="O39" s="63"/>
      <c r="P39" s="63"/>
      <c r="Q39" s="89" t="str">
        <f>IF(OR(ISERROR(Printout!P36),AND(ISTEXT(Printout!P36),IF(ISERROR(Printout!P36),,Printout!P36&lt;&gt;""))),"Enter Data","")</f>
        <v/>
      </c>
      <c r="R39" s="90" t="str">
        <f>IF(OR(ISERROR(Printout!Q36),AND(ISTEXT(Printout!Q36),IF(ISERROR(Printout!Q36),,Printout!Q36&lt;&gt;""))),"Enter Data","")</f>
        <v/>
      </c>
      <c r="S39" s="64" t="str">
        <f t="shared" si="0"/>
        <v/>
      </c>
    </row>
    <row r="40" spans="1:23" ht="15" customHeight="1" thickBot="1">
      <c r="A40" s="36">
        <v>22</v>
      </c>
      <c r="B40" s="52"/>
      <c r="C40" s="53"/>
      <c r="D40" s="50"/>
      <c r="E40" s="51"/>
      <c r="F40" s="54"/>
      <c r="G40" s="51"/>
      <c r="H40" s="63" t="str">
        <f>IF(AND(ISTEXT(C40),ISERROR(HLOOKUP(C40,database!$C$9:$AB$13,1,FALSE))),"''"&amp;C40&amp;"''","")</f>
        <v/>
      </c>
      <c r="I40" s="63" t="str">
        <f>IF(AND(ISTEXT(D40),OR(D40&lt;&gt;E40,J40&lt;&gt;""),ISERROR(HLOOKUP(D40,database!$C$9:$AB$13,1,FALSE))),"''"&amp;D40&amp;"'' "&amp;"(as meeting location)","")</f>
        <v/>
      </c>
      <c r="J40" s="63" t="str">
        <f>IF(AND(ISTEXT(E40),ISERROR(VLOOKUP(E40,database!$A$13:$AB$58,1,FALSE))),"''"&amp;E40&amp;"''","")</f>
        <v/>
      </c>
      <c r="K40" s="63" t="str">
        <f t="shared" ref="K40:K47" si="1">IF(OR(ISERROR(MATCH(D40,L$48:L$49,0)),D40&lt;&gt;LEFT(E40,LEN(D40))),"","Recommend using ''"&amp;D40&amp;" high'' for partner's meeting location. ")</f>
        <v/>
      </c>
      <c r="L40" s="63" t="str">
        <f t="shared" ref="L40:L47" si="2">IF(ISERROR(MATCH(E40,L$48:L$49,0)),"","RECOMMENDED: ''"&amp;E40&amp;"'' should not be used as a match site. Use ''"&amp;E40&amp;" high'' instead.")</f>
        <v/>
      </c>
      <c r="M40" s="63" t="str">
        <f t="shared" ref="M40:M47" si="3">IF(AND(ISTEXT(G40),G40&lt;&gt;"drove",G40&lt;&gt;"rode"),"Enter ''Drove'' or ''Rode'' column not entered correctly. ","")</f>
        <v/>
      </c>
      <c r="N40" s="63" t="str">
        <f t="shared" ref="N40:N47" si="4">IF(AND(H40&lt;&gt;"",OR(I40&lt;&gt;"",J40&lt;&gt;""))," and ","")</f>
        <v/>
      </c>
      <c r="O40" s="63" t="str">
        <f t="shared" ref="O40:O47" si="5">IF(AND(I40&lt;&gt;"",J40&lt;&gt;"")," and ","")</f>
        <v/>
      </c>
      <c r="P40" s="63" t="str">
        <f t="shared" ref="P40:P47" si="6">IF(OR(H40&lt;&gt;"",I40&lt;&gt;"",J40&lt;&gt;"")," not in database. ","")</f>
        <v/>
      </c>
      <c r="Q40" s="89" t="str">
        <f>IF(OR(ISERROR(Printout!P37),AND(ISTEXT(Printout!P37),IF(ISERROR(Printout!P37),,Printout!P37&lt;&gt;""))),"Enter Data","")</f>
        <v/>
      </c>
      <c r="R40" s="90" t="str">
        <f>IF(OR(ISERROR(Printout!Q37),AND(ISTEXT(Printout!Q37),IF(ISERROR(Printout!Q37),,Printout!Q37&lt;&gt;""))),"Enter Data","")</f>
        <v/>
      </c>
      <c r="S40" s="64" t="str">
        <f t="shared" si="0"/>
        <v/>
      </c>
    </row>
    <row r="41" spans="1:23" ht="15" customHeight="1" thickBot="1">
      <c r="A41" s="36">
        <v>23</v>
      </c>
      <c r="B41" s="52"/>
      <c r="C41" s="53"/>
      <c r="D41" s="50"/>
      <c r="E41" s="51"/>
      <c r="F41" s="54"/>
      <c r="G41" s="51"/>
      <c r="H41" s="63" t="str">
        <f>IF(AND(ISTEXT(C41),ISERROR(HLOOKUP(C41,database!$C$9:$AB$13,1,FALSE))),"''"&amp;C41&amp;"''","")</f>
        <v/>
      </c>
      <c r="I41" s="63" t="str">
        <f>IF(AND(ISTEXT(D41),OR(D41&lt;&gt;E41,J41&lt;&gt;""),ISERROR(HLOOKUP(D41,database!$C$9:$AB$13,1,FALSE))),"''"&amp;D41&amp;"'' "&amp;"(as meeting location)","")</f>
        <v/>
      </c>
      <c r="J41" s="63" t="str">
        <f>IF(AND(ISTEXT(E41),ISERROR(VLOOKUP(E41,database!$A$13:$AB$58,1,FALSE))),"''"&amp;E41&amp;"''","")</f>
        <v/>
      </c>
      <c r="K41" s="63" t="str">
        <f t="shared" si="1"/>
        <v/>
      </c>
      <c r="L41" s="63" t="str">
        <f t="shared" si="2"/>
        <v/>
      </c>
      <c r="M41" s="63" t="str">
        <f t="shared" si="3"/>
        <v/>
      </c>
      <c r="N41" s="63" t="str">
        <f t="shared" si="4"/>
        <v/>
      </c>
      <c r="O41" s="63" t="str">
        <f t="shared" si="5"/>
        <v/>
      </c>
      <c r="P41" s="63" t="str">
        <f t="shared" si="6"/>
        <v/>
      </c>
      <c r="Q41" s="89" t="str">
        <f>IF(OR(ISERROR(Printout!P38),AND(ISTEXT(Printout!P38),IF(ISERROR(Printout!P38),,Printout!P38&lt;&gt;""))),"Enter Data","")</f>
        <v/>
      </c>
      <c r="R41" s="90" t="str">
        <f>IF(OR(ISERROR(Printout!Q38),AND(ISTEXT(Printout!Q38),IF(ISERROR(Printout!Q38),,Printout!Q38&lt;&gt;""))),"Enter Data","")</f>
        <v/>
      </c>
      <c r="S41" s="64" t="str">
        <f t="shared" si="0"/>
        <v/>
      </c>
    </row>
    <row r="42" spans="1:23" ht="15" customHeight="1" thickBot="1">
      <c r="A42" s="36">
        <v>24</v>
      </c>
      <c r="B42" s="52"/>
      <c r="C42" s="53"/>
      <c r="D42" s="50"/>
      <c r="E42" s="51"/>
      <c r="F42" s="54"/>
      <c r="G42" s="51"/>
      <c r="H42" s="63" t="str">
        <f>IF(AND(ISTEXT(C42),ISERROR(HLOOKUP(C42,database!$C$9:$AB$13,1,FALSE))),"''"&amp;C42&amp;"''","")</f>
        <v/>
      </c>
      <c r="I42" s="63" t="str">
        <f>IF(AND(ISTEXT(D42),OR(D42&lt;&gt;E42,J42&lt;&gt;""),ISERROR(HLOOKUP(D42,database!$C$9:$AB$13,1,FALSE))),"''"&amp;D42&amp;"'' "&amp;"(as meeting location)","")</f>
        <v/>
      </c>
      <c r="J42" s="63" t="str">
        <f>IF(AND(ISTEXT(E42),ISERROR(VLOOKUP(E42,database!$A$13:$AB$58,1,FALSE))),"''"&amp;E42&amp;"''","")</f>
        <v/>
      </c>
      <c r="K42" s="63" t="str">
        <f t="shared" si="1"/>
        <v/>
      </c>
      <c r="L42" s="63" t="str">
        <f t="shared" si="2"/>
        <v/>
      </c>
      <c r="M42" s="63" t="str">
        <f t="shared" si="3"/>
        <v/>
      </c>
      <c r="N42" s="63" t="str">
        <f t="shared" si="4"/>
        <v/>
      </c>
      <c r="O42" s="63" t="str">
        <f t="shared" si="5"/>
        <v/>
      </c>
      <c r="P42" s="63" t="str">
        <f t="shared" si="6"/>
        <v/>
      </c>
      <c r="Q42" s="89" t="str">
        <f>IF(OR(ISERROR(Printout!P39),AND(ISTEXT(Printout!P39),IF(ISERROR(Printout!P39),,Printout!P39&lt;&gt;""))),"Enter Data","")</f>
        <v/>
      </c>
      <c r="R42" s="90" t="str">
        <f>IF(OR(ISERROR(Printout!Q39),AND(ISTEXT(Printout!Q39),IF(ISERROR(Printout!Q39),,Printout!Q39&lt;&gt;""))),"Enter Data","")</f>
        <v/>
      </c>
      <c r="S42" s="64" t="str">
        <f t="shared" si="0"/>
        <v/>
      </c>
    </row>
    <row r="43" spans="1:23" ht="15" customHeight="1" thickBot="1">
      <c r="A43" s="36">
        <v>25</v>
      </c>
      <c r="B43" s="52"/>
      <c r="C43" s="53"/>
      <c r="D43" s="50"/>
      <c r="E43" s="51"/>
      <c r="F43" s="54"/>
      <c r="G43" s="51"/>
      <c r="H43" s="63" t="str">
        <f>IF(AND(ISTEXT(C43),ISERROR(HLOOKUP(C43,database!$C$9:$AB$13,1,FALSE))),"''"&amp;C43&amp;"''","")</f>
        <v/>
      </c>
      <c r="I43" s="63" t="str">
        <f>IF(AND(ISTEXT(D43),OR(D43&lt;&gt;E43,J43&lt;&gt;""),ISERROR(HLOOKUP(D43,database!$C$9:$AB$13,1,FALSE))),"''"&amp;D43&amp;"'' "&amp;"(as meeting location)","")</f>
        <v/>
      </c>
      <c r="J43" s="63" t="str">
        <f>IF(AND(ISTEXT(E43),ISERROR(VLOOKUP(E43,database!$A$13:$AB$58,1,FALSE))),"''"&amp;E43&amp;"''","")</f>
        <v/>
      </c>
      <c r="K43" s="63" t="str">
        <f t="shared" si="1"/>
        <v/>
      </c>
      <c r="L43" s="63" t="str">
        <f t="shared" si="2"/>
        <v/>
      </c>
      <c r="M43" s="63" t="str">
        <f t="shared" si="3"/>
        <v/>
      </c>
      <c r="N43" s="63" t="str">
        <f t="shared" si="4"/>
        <v/>
      </c>
      <c r="O43" s="63" t="str">
        <f t="shared" si="5"/>
        <v/>
      </c>
      <c r="P43" s="63" t="str">
        <f t="shared" si="6"/>
        <v/>
      </c>
      <c r="Q43" s="89" t="str">
        <f>IF(OR(ISERROR(Printout!P40),AND(ISTEXT(Printout!P40),IF(ISERROR(Printout!P40),,Printout!P40&lt;&gt;""))),"Enter Data","")</f>
        <v/>
      </c>
      <c r="R43" s="90" t="str">
        <f>IF(OR(ISERROR(Printout!Q40),AND(ISTEXT(Printout!Q40),IF(ISERROR(Printout!Q40),,Printout!Q40&lt;&gt;""))),"Enter Data","")</f>
        <v/>
      </c>
      <c r="S43" s="64" t="str">
        <f t="shared" si="0"/>
        <v/>
      </c>
    </row>
    <row r="44" spans="1:23" ht="15" customHeight="1" thickBot="1">
      <c r="A44" s="36">
        <v>26</v>
      </c>
      <c r="B44" s="52"/>
      <c r="C44" s="53"/>
      <c r="D44" s="50"/>
      <c r="E44" s="51"/>
      <c r="F44" s="54"/>
      <c r="G44" s="51"/>
      <c r="H44" s="63" t="str">
        <f>IF(AND(ISTEXT(C44),ISERROR(HLOOKUP(C44,database!$C$9:$AB$13,1,FALSE))),"''"&amp;C44&amp;"''","")</f>
        <v/>
      </c>
      <c r="I44" s="63" t="str">
        <f>IF(AND(ISTEXT(D44),OR(D44&lt;&gt;E44,J44&lt;&gt;""),ISERROR(HLOOKUP(D44,database!$C$9:$AB$13,1,FALSE))),"''"&amp;D44&amp;"'' "&amp;"(as meeting location)","")</f>
        <v/>
      </c>
      <c r="J44" s="63" t="str">
        <f>IF(AND(ISTEXT(E44),ISERROR(VLOOKUP(E44,database!$A$13:$AB$58,1,FALSE))),"''"&amp;E44&amp;"''","")</f>
        <v/>
      </c>
      <c r="K44" s="63" t="str">
        <f t="shared" si="1"/>
        <v/>
      </c>
      <c r="L44" s="63" t="str">
        <f t="shared" si="2"/>
        <v/>
      </c>
      <c r="M44" s="63" t="str">
        <f t="shared" si="3"/>
        <v/>
      </c>
      <c r="N44" s="63" t="str">
        <f t="shared" si="4"/>
        <v/>
      </c>
      <c r="O44" s="63" t="str">
        <f t="shared" si="5"/>
        <v/>
      </c>
      <c r="P44" s="63" t="str">
        <f t="shared" si="6"/>
        <v/>
      </c>
      <c r="Q44" s="89" t="str">
        <f>IF(OR(ISERROR(Printout!P41),AND(ISTEXT(Printout!P41),IF(ISERROR(Printout!P41),,Printout!P41&lt;&gt;""))),"Enter Data","")</f>
        <v/>
      </c>
      <c r="R44" s="90" t="str">
        <f>IF(OR(ISERROR(Printout!Q41),AND(ISTEXT(Printout!Q41),IF(ISERROR(Printout!Q41),,Printout!Q41&lt;&gt;""))),"Enter Data","")</f>
        <v/>
      </c>
      <c r="S44" s="64" t="str">
        <f t="shared" si="0"/>
        <v/>
      </c>
    </row>
    <row r="45" spans="1:23" ht="15" customHeight="1" thickBot="1">
      <c r="A45" s="36">
        <v>27</v>
      </c>
      <c r="B45" s="55"/>
      <c r="C45" s="53"/>
      <c r="D45" s="50"/>
      <c r="E45" s="51"/>
      <c r="F45" s="54"/>
      <c r="G45" s="51"/>
      <c r="H45" s="63" t="str">
        <f>IF(AND(ISTEXT(C45),ISERROR(HLOOKUP(C45,database!$C$9:$AB$13,1,FALSE))),"''"&amp;C45&amp;"''","")</f>
        <v/>
      </c>
      <c r="I45" s="63" t="str">
        <f>IF(AND(ISTEXT(D45),OR(D45&lt;&gt;E45,J45&lt;&gt;""),ISERROR(HLOOKUP(D45,database!$C$9:$AB$13,1,FALSE))),"''"&amp;D45&amp;"'' "&amp;"(as meeting location)","")</f>
        <v/>
      </c>
      <c r="J45" s="63" t="str">
        <f>IF(AND(ISTEXT(E45),ISERROR(VLOOKUP(E45,database!$A$13:$AB$58,1,FALSE))),"''"&amp;E45&amp;"''","")</f>
        <v/>
      </c>
      <c r="K45" s="63" t="str">
        <f t="shared" si="1"/>
        <v/>
      </c>
      <c r="L45" s="63" t="str">
        <f t="shared" si="2"/>
        <v/>
      </c>
      <c r="M45" s="63" t="str">
        <f t="shared" si="3"/>
        <v/>
      </c>
      <c r="N45" s="63" t="str">
        <f t="shared" si="4"/>
        <v/>
      </c>
      <c r="O45" s="63" t="str">
        <f t="shared" si="5"/>
        <v/>
      </c>
      <c r="P45" s="63" t="str">
        <f t="shared" si="6"/>
        <v/>
      </c>
      <c r="Q45" s="89" t="str">
        <f>IF(OR(ISERROR(Printout!P42),AND(ISTEXT(Printout!P42),IF(ISERROR(Printout!P42),,Printout!P42&lt;&gt;""))),"Enter Data","")</f>
        <v/>
      </c>
      <c r="R45" s="90" t="str">
        <f>IF(OR(ISERROR(Printout!Q42),AND(ISTEXT(Printout!Q42),IF(ISERROR(Printout!Q42),,Printout!Q42&lt;&gt;""))),"Enter Data","")</f>
        <v/>
      </c>
      <c r="S45" s="64" t="str">
        <f t="shared" si="0"/>
        <v/>
      </c>
    </row>
    <row r="46" spans="1:23" ht="15" customHeight="1" thickBot="1">
      <c r="A46" s="36">
        <v>28</v>
      </c>
      <c r="B46" s="55"/>
      <c r="C46" s="53"/>
      <c r="D46" s="50"/>
      <c r="E46" s="51"/>
      <c r="F46" s="54"/>
      <c r="G46" s="51"/>
      <c r="H46" s="63" t="str">
        <f>IF(AND(ISTEXT(C46),ISERROR(HLOOKUP(C46,database!$C$9:$AB$13,1,FALSE))),"''"&amp;C46&amp;"''","")</f>
        <v/>
      </c>
      <c r="I46" s="63" t="str">
        <f>IF(AND(ISTEXT(D46),OR(D46&lt;&gt;E46,J46&lt;&gt;""),ISERROR(HLOOKUP(D46,database!$C$9:$AB$13,1,FALSE))),"''"&amp;D46&amp;"'' "&amp;"(as meeting location)","")</f>
        <v/>
      </c>
      <c r="J46" s="63" t="str">
        <f>IF(AND(ISTEXT(E46),ISERROR(VLOOKUP(E46,database!$A$13:$AB$58,1,FALSE))),"''"&amp;E46&amp;"''","")</f>
        <v/>
      </c>
      <c r="K46" s="63" t="str">
        <f t="shared" si="1"/>
        <v/>
      </c>
      <c r="L46" s="63" t="str">
        <f t="shared" si="2"/>
        <v/>
      </c>
      <c r="M46" s="63" t="str">
        <f t="shared" si="3"/>
        <v/>
      </c>
      <c r="N46" s="63" t="str">
        <f t="shared" si="4"/>
        <v/>
      </c>
      <c r="O46" s="63" t="str">
        <f t="shared" si="5"/>
        <v/>
      </c>
      <c r="P46" s="63" t="str">
        <f t="shared" si="6"/>
        <v/>
      </c>
      <c r="Q46" s="89" t="str">
        <f>IF(OR(ISERROR(Printout!P43),AND(ISTEXT(Printout!P43),IF(ISERROR(Printout!P43),,Printout!P43&lt;&gt;""))),"Enter Data","")</f>
        <v/>
      </c>
      <c r="R46" s="90" t="str">
        <f>IF(OR(ISERROR(Printout!Q43),AND(ISTEXT(Printout!Q43),IF(ISERROR(Printout!Q43),,Printout!Q43&lt;&gt;""))),"Enter Data","")</f>
        <v/>
      </c>
      <c r="S46" s="64" t="str">
        <f t="shared" si="0"/>
        <v/>
      </c>
    </row>
    <row r="47" spans="1:23" ht="15" customHeight="1" thickBot="1">
      <c r="A47" s="41">
        <v>29</v>
      </c>
      <c r="B47" s="56"/>
      <c r="C47" s="57"/>
      <c r="D47" s="57"/>
      <c r="E47" s="58"/>
      <c r="F47" s="59"/>
      <c r="G47" s="58"/>
      <c r="H47" s="63" t="str">
        <f>IF(AND(ISTEXT(C47),ISERROR(HLOOKUP(C47,database!$C$9:$AB$13,1,FALSE))),"''"&amp;C47&amp;"''","")</f>
        <v/>
      </c>
      <c r="I47" s="63" t="str">
        <f>IF(AND(ISTEXT(D47),OR(D47&lt;&gt;E47,J47&lt;&gt;""),ISERROR(HLOOKUP(D47,database!$C$9:$AB$13,1,FALSE))),"''"&amp;D47&amp;"'' "&amp;"(as meeting location)","")</f>
        <v/>
      </c>
      <c r="J47" s="63" t="str">
        <f>IF(AND(ISTEXT(E47),ISERROR(VLOOKUP(E47,database!$A$13:$AB$58,1,FALSE))),"''"&amp;E47&amp;"''","")</f>
        <v/>
      </c>
      <c r="K47" s="63" t="str">
        <f t="shared" si="1"/>
        <v/>
      </c>
      <c r="L47" s="63" t="str">
        <f t="shared" si="2"/>
        <v/>
      </c>
      <c r="M47" s="63" t="str">
        <f t="shared" si="3"/>
        <v/>
      </c>
      <c r="N47" s="63" t="str">
        <f t="shared" si="4"/>
        <v/>
      </c>
      <c r="O47" s="63" t="str">
        <f t="shared" si="5"/>
        <v/>
      </c>
      <c r="P47" s="63" t="str">
        <f t="shared" si="6"/>
        <v/>
      </c>
      <c r="Q47" s="89" t="str">
        <f>IF(OR(ISERROR(Printout!P44),AND(ISTEXT(Printout!P44),IF(ISERROR(Printout!P44),,Printout!P44&lt;&gt;""))),"Enter Data","")</f>
        <v/>
      </c>
      <c r="R47" s="90" t="str">
        <f>IF(OR(ISERROR(Printout!Q44),AND(ISTEXT(Printout!Q44),IF(ISERROR(Printout!Q44),,Printout!Q44&lt;&gt;""))),"Enter Data","")</f>
        <v/>
      </c>
      <c r="S47" s="64" t="str">
        <f t="shared" si="0"/>
        <v/>
      </c>
    </row>
    <row r="48" spans="1:23" ht="13.5" thickTop="1">
      <c r="C48" s="186" t="str">
        <f>C17</f>
        <v>LEFT FROM</v>
      </c>
      <c r="D48" s="184" t="str">
        <f>D17</f>
        <v>PARTNER'S MEETING LOCATION</v>
      </c>
      <c r="E48" s="182" t="str">
        <f>E17</f>
        <v>MATCH SITE</v>
      </c>
      <c r="G48" s="180" t="str">
        <f>G17</f>
        <v>ENTER   Drove or Rode</v>
      </c>
      <c r="H48" s="26"/>
      <c r="I48" s="26"/>
      <c r="J48" s="26"/>
      <c r="K48" s="26"/>
      <c r="L48" s="26" t="s">
        <v>141</v>
      </c>
      <c r="M48" s="26"/>
      <c r="N48" s="26"/>
      <c r="O48" s="26"/>
      <c r="P48" s="26"/>
      <c r="Q48" s="26"/>
      <c r="R48" s="26"/>
    </row>
    <row r="49" spans="2:12">
      <c r="C49" s="187"/>
      <c r="D49" s="185"/>
      <c r="E49" s="183"/>
      <c r="G49" s="181"/>
      <c r="L49" s="26" t="s">
        <v>205</v>
      </c>
    </row>
    <row r="53" spans="2:12">
      <c r="B53" s="24" t="s">
        <v>196</v>
      </c>
    </row>
    <row r="54" spans="2:12">
      <c r="C54" s="160" t="s">
        <v>200</v>
      </c>
      <c r="D54" s="160"/>
      <c r="E54" s="160"/>
    </row>
    <row r="55" spans="2:12">
      <c r="C55" s="160"/>
      <c r="D55" s="160"/>
      <c r="E55" s="160"/>
    </row>
    <row r="56" spans="2:12">
      <c r="B56" s="24" t="s">
        <v>197</v>
      </c>
    </row>
    <row r="57" spans="2:12">
      <c r="C57" s="173" t="s">
        <v>213</v>
      </c>
      <c r="D57" s="173"/>
      <c r="E57" s="173"/>
    </row>
    <row r="58" spans="2:12" ht="12.75" customHeight="1">
      <c r="C58" s="160" t="s">
        <v>211</v>
      </c>
      <c r="D58" s="160"/>
      <c r="E58" s="160"/>
    </row>
    <row r="59" spans="2:12" ht="12.75" customHeight="1">
      <c r="C59" s="160"/>
      <c r="D59" s="160"/>
      <c r="E59" s="160"/>
    </row>
    <row r="60" spans="2:12">
      <c r="B60" s="24" t="s">
        <v>198</v>
      </c>
    </row>
    <row r="61" spans="2:12">
      <c r="C61" s="160" t="s">
        <v>201</v>
      </c>
      <c r="D61" s="160"/>
      <c r="E61" s="160"/>
    </row>
    <row r="62" spans="2:12">
      <c r="B62" s="24" t="s">
        <v>199</v>
      </c>
    </row>
    <row r="63" spans="2:12">
      <c r="C63" s="173" t="s">
        <v>212</v>
      </c>
      <c r="D63" s="173"/>
      <c r="E63" s="173"/>
    </row>
  </sheetData>
  <sheetProtection password="C67E" sheet="1" objects="1" scenarios="1" selectLockedCells="1"/>
  <customSheetViews>
    <customSheetView guid="{68CA99EB-C196-46E7-AC9D-43F9554C0015}" scale="80" hiddenColumns="1">
      <selection activeCell="C9" sqref="C9:D9"/>
      <pageMargins left="0.75" right="0.75" top="1" bottom="1" header="0.5" footer="0.5"/>
      <pageSetup orientation="portrait" r:id="rId1"/>
      <headerFooter alignWithMargins="0"/>
    </customSheetView>
  </customSheetViews>
  <mergeCells count="44">
    <mergeCell ref="C61:E61"/>
    <mergeCell ref="C63:E63"/>
    <mergeCell ref="Q7:R7"/>
    <mergeCell ref="N17:N18"/>
    <mergeCell ref="O17:O18"/>
    <mergeCell ref="C8:D8"/>
    <mergeCell ref="C9:D9"/>
    <mergeCell ref="C10:D10"/>
    <mergeCell ref="C54:E55"/>
    <mergeCell ref="C57:E57"/>
    <mergeCell ref="C58:E59"/>
    <mergeCell ref="G48:G49"/>
    <mergeCell ref="E48:E49"/>
    <mergeCell ref="D48:D49"/>
    <mergeCell ref="C48:C49"/>
    <mergeCell ref="Q11:U11"/>
    <mergeCell ref="C11:D11"/>
    <mergeCell ref="I17:I18"/>
    <mergeCell ref="E17:E18"/>
    <mergeCell ref="P17:P18"/>
    <mergeCell ref="J17:J18"/>
    <mergeCell ref="M17:M18"/>
    <mergeCell ref="K17:K18"/>
    <mergeCell ref="G17:G18"/>
    <mergeCell ref="L17:L18"/>
    <mergeCell ref="F17:F18"/>
    <mergeCell ref="H17:H18"/>
    <mergeCell ref="B14:G14"/>
    <mergeCell ref="B15:G15"/>
    <mergeCell ref="A2:R2"/>
    <mergeCell ref="A3:R3"/>
    <mergeCell ref="C5:D5"/>
    <mergeCell ref="C7:D7"/>
    <mergeCell ref="Q6:R6"/>
    <mergeCell ref="Q12:U13"/>
    <mergeCell ref="R17:R18"/>
    <mergeCell ref="Q17:Q18"/>
    <mergeCell ref="Q16:R16"/>
    <mergeCell ref="A17:A18"/>
    <mergeCell ref="B17:B18"/>
    <mergeCell ref="C17:C18"/>
    <mergeCell ref="D17:D18"/>
    <mergeCell ref="U18:X19"/>
    <mergeCell ref="C12:D12"/>
  </mergeCells>
  <phoneticPr fontId="0" type="noConversion"/>
  <conditionalFormatting sqref="C8">
    <cfRule type="cellIs" dxfId="4" priority="1" stopIfTrue="1" operator="notEqual">
      <formula>""</formula>
    </cfRule>
    <cfRule type="expression" dxfId="3" priority="2" stopIfTrue="1">
      <formula>$C$5="gus"</formula>
    </cfRule>
  </conditionalFormatting>
  <conditionalFormatting sqref="S20:S47">
    <cfRule type="expression" dxfId="2" priority="3" stopIfTrue="1">
      <formula>OR($K20&lt;&gt;"",$L20&lt;&gt;"")</formula>
    </cfRule>
    <cfRule type="cellIs" dxfId="1" priority="4" stopIfTrue="1" operator="notEqual">
      <formula>""</formula>
    </cfRule>
    <cfRule type="expression" dxfId="0" priority="5" stopIfTrue="1">
      <formula>$C$5="gus"</formula>
    </cfRule>
  </conditionalFormatting>
  <hyperlinks>
    <hyperlink ref="B19" location="'DATA ENTRY'!A75" display="SAMPLE"/>
    <hyperlink ref="S19" location="A75" display="&lt;---  See diagram below."/>
  </hyperlinks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8"/>
  <sheetViews>
    <sheetView topLeftCell="A4" workbookViewId="0">
      <selection activeCell="D28" sqref="D28"/>
    </sheetView>
  </sheetViews>
  <sheetFormatPr defaultColWidth="9.140625" defaultRowHeight="12.75"/>
  <cols>
    <col min="1" max="1" width="5.28515625" style="24" customWidth="1"/>
    <col min="2" max="2" width="8.140625" style="24" customWidth="1"/>
    <col min="3" max="3" width="12.85546875" style="24" customWidth="1"/>
    <col min="4" max="4" width="16.42578125" style="24" customWidth="1"/>
    <col min="5" max="5" width="13.85546875" style="24" customWidth="1"/>
    <col min="6" max="6" width="14" style="24" customWidth="1"/>
    <col min="7" max="7" width="9" style="24" customWidth="1"/>
    <col min="8" max="9" width="14.28515625" style="24" hidden="1" customWidth="1"/>
    <col min="10" max="10" width="13.5703125" style="24" hidden="1" customWidth="1"/>
    <col min="11" max="11" width="14.28515625" style="24" hidden="1" customWidth="1"/>
    <col min="12" max="13" width="17.42578125" style="24" hidden="1" customWidth="1"/>
    <col min="14" max="14" width="20" style="24" hidden="1" customWidth="1"/>
    <col min="15" max="17" width="18.5703125" style="24" hidden="1" customWidth="1"/>
    <col min="18" max="19" width="7.7109375" style="24" customWidth="1"/>
    <col min="20" max="21" width="10.7109375" style="24" hidden="1" customWidth="1"/>
    <col min="22" max="22" width="10.5703125" style="26" hidden="1" customWidth="1"/>
    <col min="23" max="23" width="10" style="26" hidden="1" customWidth="1"/>
    <col min="24" max="24" width="9.7109375" style="26" hidden="1" customWidth="1"/>
    <col min="25" max="28" width="9.140625" style="24" customWidth="1"/>
    <col min="29" max="16384" width="9.140625" style="24"/>
  </cols>
  <sheetData>
    <row r="1" spans="1:24">
      <c r="A1" s="64" t="s">
        <v>248</v>
      </c>
      <c r="R1" s="25"/>
      <c r="S1" s="25" t="str">
        <f ca="1">CONCATENATE("Printed ",MONTH(TODAY()),"/",DAY(TODAY()),"/",RIGHT(YEAR(TODAY()),2))</f>
        <v>Printed 3/20/16</v>
      </c>
    </row>
    <row r="2" spans="1:24" ht="23.25">
      <c r="B2" s="163" t="s">
        <v>244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24" ht="18">
      <c r="B3" s="164" t="s">
        <v>26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</row>
    <row r="4" spans="1:24" ht="12.75" customHeight="1"/>
    <row r="5" spans="1:24">
      <c r="A5" s="24" t="s">
        <v>27</v>
      </c>
      <c r="C5" s="198" t="str">
        <f>IF(ISBLANK('DATA ENTRY'!C5),"ENTER NAME",PROPER('DATA ENTRY'!C5))</f>
        <v>ENTER NAME</v>
      </c>
      <c r="D5" s="198"/>
      <c r="E5" s="198"/>
      <c r="F5" s="28"/>
      <c r="G5" s="28"/>
      <c r="H5" s="27"/>
      <c r="I5" s="27"/>
      <c r="J5" s="27"/>
      <c r="K5" s="27"/>
      <c r="L5" s="27"/>
      <c r="M5" s="27"/>
      <c r="N5" s="27"/>
      <c r="O5" s="27"/>
      <c r="P5" s="27"/>
      <c r="Q5" s="27"/>
      <c r="R5" s="28"/>
      <c r="S5" s="28"/>
      <c r="T5" s="97" t="s">
        <v>229</v>
      </c>
    </row>
    <row r="6" spans="1:24" ht="12.75" customHeight="1">
      <c r="C6" s="29"/>
      <c r="D6" s="29"/>
      <c r="E6" s="29"/>
      <c r="F6" s="28"/>
      <c r="G6" s="28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  <c r="S6" s="28"/>
      <c r="V6" s="26" t="s">
        <v>227</v>
      </c>
    </row>
    <row r="7" spans="1:24">
      <c r="A7" s="24" t="s">
        <v>28</v>
      </c>
      <c r="C7" s="198" t="str">
        <f>IF(ISBLANK('DATA ENTRY'!C7),"ENTER MAILING ADDRESS",('DATA ENTRY'!C7))</f>
        <v>ENTER MAILING ADDRESS</v>
      </c>
      <c r="D7" s="198"/>
      <c r="E7" s="198"/>
      <c r="F7" s="28"/>
      <c r="G7" s="28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28"/>
      <c r="V7" s="26" t="s">
        <v>228</v>
      </c>
    </row>
    <row r="8" spans="1:24" ht="12.75" customHeight="1">
      <c r="C8" s="29"/>
      <c r="D8" s="29"/>
      <c r="E8" s="29"/>
      <c r="F8" s="28"/>
      <c r="G8" s="28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</row>
    <row r="9" spans="1:24">
      <c r="A9" s="24" t="s">
        <v>29</v>
      </c>
      <c r="C9" s="198" t="str">
        <f>CONCATENATE(IF(ISTEXT('DATA ENTRY'!C10),PROPER('DATA ENTRY'!C10),IF(ISTEXT('DATA ENTRY'!C9),PROPER('DATA ENTRY'!C9),"ENTER CITY")),", ",IF(ISTEXT('DATA ENTRY'!C11),UPPER('DATA ENTRY'!C11),"ENTER STATE")," ",IF(ISNUMBER('DATA ENTRY'!C12),'DATA ENTRY'!C12,"ENTER ZIP"))</f>
        <v>ENTER CITY, ENTER STATE ENTER ZIP</v>
      </c>
      <c r="D9" s="198"/>
      <c r="E9" s="198"/>
      <c r="F9" s="28"/>
      <c r="G9" s="28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8"/>
    </row>
    <row r="10" spans="1:24" ht="12.75" customHeight="1"/>
    <row r="11" spans="1:24">
      <c r="B11" s="171" t="s">
        <v>61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</row>
    <row r="12" spans="1:24">
      <c r="B12" s="172" t="s">
        <v>30</v>
      </c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</row>
    <row r="13" spans="1:24" ht="12" customHeight="1" thickBot="1">
      <c r="R13" s="191" t="s">
        <v>60</v>
      </c>
      <c r="S13" s="192"/>
    </row>
    <row r="14" spans="1:24" ht="12.75" customHeight="1" thickTop="1">
      <c r="A14" s="196" t="s">
        <v>147</v>
      </c>
      <c r="B14" s="199" t="s">
        <v>31</v>
      </c>
      <c r="C14" s="199" t="s">
        <v>34</v>
      </c>
      <c r="D14" s="149" t="s">
        <v>140</v>
      </c>
      <c r="E14" s="199" t="s">
        <v>32</v>
      </c>
      <c r="F14" s="199" t="s">
        <v>33</v>
      </c>
      <c r="G14" s="193" t="s">
        <v>35</v>
      </c>
      <c r="H14" s="149" t="str">
        <f>"'"&amp;LOWER(C14)&amp;"' place reference"</f>
        <v>'left from' place reference</v>
      </c>
      <c r="I14" s="149" t="str">
        <f>"'"&amp;LOWER(D14)&amp;"' place reference"</f>
        <v>'meeting location' place reference</v>
      </c>
      <c r="J14" s="193" t="str">
        <f>"'"&amp;LOWER('DATA ENTRY'!B9)&amp;"' name"</f>
        <v>'home city:' name</v>
      </c>
      <c r="K14" s="149" t="str">
        <f>"'"&amp;LOWER('DATA ENTRY'!B9)&amp;"' place reference"</f>
        <v>'home city:' place reference</v>
      </c>
      <c r="L14" s="149" t="str">
        <f>"'"&amp;LOWER(C14)&amp;"' to '"&amp;LOWER(D14)&amp;"' mileage"</f>
        <v>'left from' to 'meeting location' mileage</v>
      </c>
      <c r="M14" s="149" t="str">
        <f>"'"&amp;LOWER(D14)&amp;"' to '"&amp;LOWER(E14)&amp;"' mileage"</f>
        <v>'meeting location' to 'match site' mileage</v>
      </c>
      <c r="N14" s="149" t="str">
        <f>"'"&amp;LOWER(E14)&amp;"' to '"&amp;LOWER(D14)&amp;"' mileage"</f>
        <v>'match site' to 'meeting location' mileage</v>
      </c>
      <c r="O14" s="149" t="str">
        <f>"'"&amp;LOWER(D14)&amp;"' to '"&amp;LOWER('DATA ENTRY'!B9)&amp;"' mileage"</f>
        <v>'meeting location' to 'home city:' mileage</v>
      </c>
      <c r="P14" s="149" t="str">
        <f>"'"&amp;LOWER(R14)&amp;"' equation"</f>
        <v>'mileage drove' equation</v>
      </c>
      <c r="Q14" s="149" t="str">
        <f>"'"&amp;LOWER(S14)&amp;"' equation"</f>
        <v>'mileage rode' equation</v>
      </c>
      <c r="R14" s="149" t="s">
        <v>50</v>
      </c>
      <c r="S14" s="147" t="s">
        <v>51</v>
      </c>
      <c r="T14" s="201" t="s">
        <v>53</v>
      </c>
      <c r="U14" s="203" t="s">
        <v>54</v>
      </c>
      <c r="V14" s="149" t="s">
        <v>122</v>
      </c>
      <c r="W14" s="203" t="s">
        <v>123</v>
      </c>
      <c r="X14" s="149" t="s">
        <v>121</v>
      </c>
    </row>
    <row r="15" spans="1:24" ht="13.5" thickBot="1">
      <c r="A15" s="197"/>
      <c r="B15" s="200"/>
      <c r="C15" s="200"/>
      <c r="D15" s="150"/>
      <c r="E15" s="200"/>
      <c r="F15" s="200"/>
      <c r="G15" s="150"/>
      <c r="H15" s="150"/>
      <c r="I15" s="150"/>
      <c r="J15" s="150"/>
      <c r="K15" s="150"/>
      <c r="L15" s="194"/>
      <c r="M15" s="194"/>
      <c r="N15" s="194"/>
      <c r="O15" s="194"/>
      <c r="P15" s="150"/>
      <c r="Q15" s="150"/>
      <c r="R15" s="150"/>
      <c r="S15" s="148"/>
      <c r="T15" s="202"/>
      <c r="U15" s="204"/>
      <c r="V15" s="150"/>
      <c r="W15" s="204"/>
      <c r="X15" s="150"/>
    </row>
    <row r="16" spans="1:24" ht="15" customHeight="1">
      <c r="A16" s="30">
        <v>1</v>
      </c>
      <c r="B16" s="31" t="str">
        <f>IF(ISBLANK('DATA ENTRY'!B19),"",IF(ISNUMBER('DATA ENTRY'!B19),CONCATENATE(MONTH('DATA ENTRY'!B19),"/",DAY('DATA ENTRY'!B19),"/",RIGHT(YEAR('DATA ENTRY'!B19),2)),PROPER('DATA ENTRY'!B19)))</f>
        <v>Sample</v>
      </c>
      <c r="C16" s="74" t="str">
        <f>IF(ISBLANK('DATA ENTRY'!C19),"",PROPER('DATA ENTRY'!C19))</f>
        <v>Chico</v>
      </c>
      <c r="D16" s="74" t="str">
        <f>IF(ISBLANK('DATA ENTRY'!D19),"",PROPER('DATA ENTRY'!D19))</f>
        <v>Pierce</v>
      </c>
      <c r="E16" s="74" t="str">
        <f>IF(ISBLANK('DATA ENTRY'!E19),"",PROPER('DATA ENTRY'!E19))</f>
        <v>Esparto</v>
      </c>
      <c r="F16" s="74" t="str">
        <f>IF(ISBLANK('DATA ENTRY'!F19),"",PROPER('DATA ENTRY'!F19))</f>
        <v>****</v>
      </c>
      <c r="G16" s="74" t="str">
        <f>IF(ISBLANK('DATA ENTRY'!G19),"",PROPER('DATA ENTRY'!G19))</f>
        <v>Rode</v>
      </c>
      <c r="H16" s="75">
        <f>IF(C16="","",IF(C16=D16,0,IF(ISERROR(HLOOKUP(C16,database!$C$9:AB$13,ROW(database!$A$13)-ROW(database!$A$9)+1,FALSE)),HLOOKUP("zunknown",database!$C$9:AB$13,ROW(database!$A$13)-ROW(database!$A$9)+1,FALSE),HLOOKUP(C16,database!$C$9:AB$13,ROW(database!$A$13)-ROW(database!$A$9)+1,FALSE))))</f>
        <v>7</v>
      </c>
      <c r="I16" s="75">
        <f>IF(D16="","",IF(D16=E16,0,IF(ISERROR(HLOOKUP(D16,database!$C$9:AB$13,ROW(database!$A$13)-ROW(database!$A$9)+1,FALSE)),HLOOKUP("zunknown",database!$C$9:AB$13,ROW(database!$A$13)-ROW(database!$A$9)+1,FALSE),HLOOKUP(D16,database!$C$9:AB$13,ROW(database!$A$13)-ROW(database!$A$9)+1,FALSE))))</f>
        <v>22</v>
      </c>
      <c r="J16" s="75">
        <f>'DATA ENTRY'!$C$9</f>
        <v>0</v>
      </c>
      <c r="K16" s="75">
        <f>IF(J16="","",IF(J16=D16,0,IF(ISERROR(HLOOKUP(J16,database!$C$9:$AB$13,ROW(database!$A$13)-ROW(database!$A$9)+1,FALSE)),HLOOKUP("zunknown",database!$C$9:$AB$13,ROW(database!$A$13)-ROW(database!$A$9)+1,FALSE),HLOOKUP(J16,database!$C$9:$AB$13,ROW(database!$A$13)-ROW(database!$A$9)+1,FALSE))))</f>
        <v>28</v>
      </c>
      <c r="L16" s="75">
        <f>IF(AND(OR(G16="drove",G16="rode"),H16&lt;&gt;database!$AB$13,H16&lt;&gt;0),VLOOKUP(D16,database!$A$13:$AB$58,H16,FALSE),IF(H16=0,0,""))</f>
        <v>71</v>
      </c>
      <c r="M16" s="75">
        <f>IF(AND(OR(G16="drove",G16="rode"),I16&lt;&gt;database!$AB$13,I16&lt;&gt;0),VLOOKUP(E16,database!$A$13:$AB$58,I16,FALSE),IF(I16=0,0,""))</f>
        <v>29</v>
      </c>
      <c r="N16" s="75">
        <f>IF(AND(OR(G16="drove",G16="rode"),I16&lt;&gt;database!$AB$13,I16&lt;&gt;0),VLOOKUP(E16,database!$A$13:$AB$58,I16,FALSE),IF(I16=0,0,""))</f>
        <v>29</v>
      </c>
      <c r="O16" s="76" t="str">
        <f>IF(AND(OR(G16="drove",G16="rode"),K16&lt;&gt;database!$AB$13,K16&lt;&gt;0),VLOOKUP(D16,database!$A$13:$AB$58,K16,FALSE),IF(K16=0,0,""))</f>
        <v/>
      </c>
      <c r="P16" s="76" t="str">
        <f>IF(OR(C16="",D16="",E16="",J16=0),"",IF(G16="drove",L16+M16+N16+O16,IF(G16="rode",L16+O16,"")))</f>
        <v/>
      </c>
      <c r="Q16" s="76">
        <f t="shared" ref="Q16:Q39" si="0">IF(AND(C16&lt;&gt;"",D16&lt;&gt;"",E16&lt;&gt;"",G16="rode"),M16+N16,"")</f>
        <v>58</v>
      </c>
      <c r="R16" s="77" t="str">
        <f>IF(ISERROR(P16),IF(ISNUMBER('DATA ENTRY'!Q19),'DATA ENTRY'!Q19,""),IF(OR(ISNUMBER(P16),P16=""),P16,""))</f>
        <v/>
      </c>
      <c r="S16" s="78">
        <f>IF(ISERROR(Q16),IF(ISNUMBER('DATA ENTRY'!R19),'DATA ENTRY'!R19,""),IF(OR(ISNUMBER(Q16),Q16=""),Q16,""))</f>
        <v>58</v>
      </c>
      <c r="T16" s="34"/>
      <c r="U16" s="35"/>
      <c r="V16" s="33" t="str">
        <f t="shared" ref="V16:W18" si="1">IF(ISERROR(P16),$A16,"")</f>
        <v/>
      </c>
      <c r="W16" s="33" t="str">
        <f t="shared" si="1"/>
        <v/>
      </c>
      <c r="X16" s="33" t="str">
        <f t="shared" ref="X16:X44" si="2">IF(AND(V16="",W16=""),"",CONCATENATE($A16,", "))</f>
        <v/>
      </c>
    </row>
    <row r="17" spans="1:24" ht="15" customHeight="1">
      <c r="A17" s="36">
        <f>A16+1</f>
        <v>2</v>
      </c>
      <c r="B17" s="37" t="str">
        <f>IF(ISBLANK('DATA ENTRY'!B20),"",IF(ISNUMBER('DATA ENTRY'!B20),CONCATENATE(MONTH('DATA ENTRY'!B20),"/",DAY('DATA ENTRY'!B20),"/",RIGHT(YEAR('DATA ENTRY'!B20),2)),PROPER('DATA ENTRY'!B20)))</f>
        <v/>
      </c>
      <c r="C17" s="23" t="str">
        <f>IF(ISBLANK('DATA ENTRY'!C20),"",PROPER('DATA ENTRY'!C20))</f>
        <v/>
      </c>
      <c r="D17" s="23" t="str">
        <f>IF(ISBLANK('DATA ENTRY'!D20),"",PROPER('DATA ENTRY'!D20))</f>
        <v/>
      </c>
      <c r="E17" s="23" t="str">
        <f>IF(ISBLANK('DATA ENTRY'!E20),"",PROPER('DATA ENTRY'!E20))</f>
        <v/>
      </c>
      <c r="F17" s="23" t="str">
        <f>IF(ISBLANK('DATA ENTRY'!F20),"",PROPER('DATA ENTRY'!F20))</f>
        <v/>
      </c>
      <c r="G17" s="23" t="str">
        <f>IF(ISBLANK('DATA ENTRY'!G20),"",PROPER('DATA ENTRY'!G20))</f>
        <v/>
      </c>
      <c r="H17" s="32" t="str">
        <f>IF(C17="","",IF(C17=D17,0,IF(ISERROR(HLOOKUP(C17,database!$C$9:AB$13,ROW(database!$A$13)-ROW(database!$A$9)+1,FALSE)),HLOOKUP("zunknown",database!$C$9:AB$13,ROW(database!$A$13)-ROW(database!$A$9)+1,FALSE),HLOOKUP(C17,database!$C$9:AB$13,ROW(database!$A$13)-ROW(database!$A$9)+1,FALSE))))</f>
        <v/>
      </c>
      <c r="I17" s="32" t="str">
        <f>IF(D17="","",IF(D17=E17,0,IF(ISERROR(HLOOKUP(D17,database!$C$9:AB$13,ROW(database!$A$13)-ROW(database!$A$9)+1,FALSE)),HLOOKUP("zunknown",database!$C$9:AB$13,ROW(database!$A$13)-ROW(database!$A$9)+1,FALSE),HLOOKUP(D17,database!$C$9:AB$13,ROW(database!$A$13)-ROW(database!$A$9)+1,FALSE))))</f>
        <v/>
      </c>
      <c r="J17" s="32">
        <f>'DATA ENTRY'!$C$9</f>
        <v>0</v>
      </c>
      <c r="K17" s="32">
        <f>IF(J17="","",IF(J17=D17,0,IF(ISERROR(HLOOKUP(J17,database!$C$9:$AB$13,ROW(database!$A$13)-ROW(database!$A$9)+1,FALSE)),HLOOKUP("zunknown",database!$C$9:$AB$13,ROW(database!$A$13)-ROW(database!$A$9)+1,FALSE),HLOOKUP(J17,database!$C$9:$AB$13,ROW(database!$A$13)-ROW(database!$A$9)+1,FALSE))))</f>
        <v>28</v>
      </c>
      <c r="L17" s="32" t="str">
        <f>IF(AND(OR(G17="drove",G17="rode"),H17&lt;&gt;database!$AB$13,H17&lt;&gt;0),VLOOKUP(D17,database!$A$13:$AB$58,H17,FALSE),IF(H17=0,0,""))</f>
        <v/>
      </c>
      <c r="M17" s="32" t="str">
        <f>IF(AND(OR(G17="drove",G17="rode"),I17&lt;&gt;database!$AB$13,I17&lt;&gt;0),VLOOKUP(E17,database!$A$13:$AB$58,I17,FALSE),IF(I17=0,0,""))</f>
        <v/>
      </c>
      <c r="N17" s="32" t="str">
        <f>IF(AND(OR(G17="drove",G17="rode"),I17&lt;&gt;database!$AB$13,I17&lt;&gt;0),VLOOKUP(E17,database!$A$13:$AB$58,I17,FALSE),IF(I17=0,0,""))</f>
        <v/>
      </c>
      <c r="O17" s="33" t="str">
        <f>IF(AND(OR(G17="drove",G17="rode"),K17&lt;&gt;database!$AB$13,K17&lt;&gt;0),VLOOKUP(D17,database!$A$13:$AB$58,K17,FALSE),IF(K17=0,0,""))</f>
        <v/>
      </c>
      <c r="P17" s="33" t="str">
        <f>IF(OR(C17="",D17="",E17="",J17=0),"",IF(G17="drove",L17+M17+N17+O17,IF(G17="rode",L17+O17,"")))</f>
        <v/>
      </c>
      <c r="Q17" s="33" t="str">
        <f t="shared" si="0"/>
        <v/>
      </c>
      <c r="R17" s="33" t="str">
        <f>IF(ISERROR(P17),IF(ISNUMBER('DATA ENTRY'!Q20),'DATA ENTRY'!Q20,""),IF(OR(ISNUMBER(P17),P17=""),P17,""))</f>
        <v/>
      </c>
      <c r="S17" s="38" t="str">
        <f>IF(ISERROR(Q17),IF(ISNUMBER('DATA ENTRY'!R20),'DATA ENTRY'!R20,""),IF(OR(ISNUMBER(Q17),Q17=""),Q17,""))</f>
        <v/>
      </c>
      <c r="T17" s="39">
        <f>IF(ISNUMBER(R17),R17*database!$C$4,0)</f>
        <v>0</v>
      </c>
      <c r="U17" s="40">
        <f>IF(ISNUMBER(S17),IF(S17/2&gt;database!$C$6,database!$C$5,0),0)</f>
        <v>0</v>
      </c>
      <c r="V17" s="33" t="str">
        <f t="shared" si="1"/>
        <v/>
      </c>
      <c r="W17" s="33" t="str">
        <f t="shared" si="1"/>
        <v/>
      </c>
      <c r="X17" s="33" t="str">
        <f t="shared" si="2"/>
        <v/>
      </c>
    </row>
    <row r="18" spans="1:24" ht="15" customHeight="1">
      <c r="A18" s="36">
        <f t="shared" ref="A18:A44" si="3">A17+1</f>
        <v>3</v>
      </c>
      <c r="B18" s="37" t="str">
        <f>IF(ISBLANK('DATA ENTRY'!B21),"",IF(ISNUMBER('DATA ENTRY'!B21),CONCATENATE(MONTH('DATA ENTRY'!B21),"/",DAY('DATA ENTRY'!B21),"/",RIGHT(YEAR('DATA ENTRY'!B21),2)),PROPER('DATA ENTRY'!B21)))</f>
        <v/>
      </c>
      <c r="C18" s="23" t="str">
        <f>IF(ISBLANK('DATA ENTRY'!C21),"",PROPER('DATA ENTRY'!C21))</f>
        <v/>
      </c>
      <c r="D18" s="23" t="str">
        <f>IF(ISBLANK('DATA ENTRY'!D21),"",PROPER('DATA ENTRY'!D21))</f>
        <v/>
      </c>
      <c r="E18" s="23" t="str">
        <f>IF(ISBLANK('DATA ENTRY'!E21),"",PROPER('DATA ENTRY'!E21))</f>
        <v/>
      </c>
      <c r="F18" s="23" t="str">
        <f>IF(ISBLANK('DATA ENTRY'!F21),"",PROPER('DATA ENTRY'!F21))</f>
        <v/>
      </c>
      <c r="G18" s="23" t="str">
        <f>IF(ISBLANK('DATA ENTRY'!G21),"",PROPER('DATA ENTRY'!G21))</f>
        <v/>
      </c>
      <c r="H18" s="32" t="str">
        <f>IF(C18="","",IF(C18=D18,0,IF(ISERROR(HLOOKUP(C18,database!$C$9:AB$13,ROW(database!$A$13)-ROW(database!$A$9)+1,FALSE)),HLOOKUP("zunknown",database!$C$9:AB$13,ROW(database!$A$13)-ROW(database!$A$9)+1,FALSE),HLOOKUP(C18,database!$C$9:AB$13,ROW(database!$A$13)-ROW(database!$A$9)+1,FALSE))))</f>
        <v/>
      </c>
      <c r="I18" s="32" t="str">
        <f>IF(D18="","",IF(D18=E18,0,IF(ISERROR(HLOOKUP(D18,database!$C$9:AB$13,ROW(database!$A$13)-ROW(database!$A$9)+1,FALSE)),HLOOKUP("zunknown",database!$C$9:AB$13,ROW(database!$A$13)-ROW(database!$A$9)+1,FALSE),HLOOKUP(D18,database!$C$9:AB$13,ROW(database!$A$13)-ROW(database!$A$9)+1,FALSE))))</f>
        <v/>
      </c>
      <c r="J18" s="32">
        <f>'DATA ENTRY'!$C$9</f>
        <v>0</v>
      </c>
      <c r="K18" s="32">
        <f>IF(J18="","",IF(J18=D18,0,IF(ISERROR(HLOOKUP(J18,database!$C$9:$AB$13,ROW(database!$A$13)-ROW(database!$A$9)+1,FALSE)),HLOOKUP("zunknown",database!$C$9:$AB$13,ROW(database!$A$13)-ROW(database!$A$9)+1,FALSE),HLOOKUP(J18,database!$C$9:$AB$13,ROW(database!$A$13)-ROW(database!$A$9)+1,FALSE))))</f>
        <v>28</v>
      </c>
      <c r="L18" s="32" t="str">
        <f>IF(AND(OR(G18="drove",G18="rode"),H18&lt;&gt;database!$AB$13,H18&lt;&gt;0),VLOOKUP(D18,database!$A$13:$AB$58,H18,FALSE),IF(H18=0,0,""))</f>
        <v/>
      </c>
      <c r="M18" s="32" t="str">
        <f>IF(AND(OR(G18="drove",G18="rode"),I18&lt;&gt;database!$AB$13,I18&lt;&gt;0),VLOOKUP(E18,database!$A$13:$AB$58,I18,FALSE),IF(I18=0,0,""))</f>
        <v/>
      </c>
      <c r="N18" s="32" t="str">
        <f>IF(AND(OR(G18="drove",G18="rode"),I18&lt;&gt;database!$AB$13,I18&lt;&gt;0),VLOOKUP(E18,database!$A$13:$AB$58,I18,FALSE),IF(I18=0,0,""))</f>
        <v/>
      </c>
      <c r="O18" s="33" t="str">
        <f>IF(AND(OR(G18="drove",G18="rode"),K18&lt;&gt;database!$AB$13,K18&lt;&gt;0),VLOOKUP(D18,database!$A$13:$AB$58,K18,FALSE),IF(K18=0,0,""))</f>
        <v/>
      </c>
      <c r="P18" s="33" t="str">
        <f t="shared" ref="P18:P44" si="4">IF(OR(C18="",D18="",E18="",J18=0),"",IF(G18="drove",L18+M18+N18+O18,IF(G18="rode",L18+O18,"")))</f>
        <v/>
      </c>
      <c r="Q18" s="33" t="str">
        <f t="shared" si="0"/>
        <v/>
      </c>
      <c r="R18" s="33" t="str">
        <f>IF(ISERROR(P18),IF(ISNUMBER('DATA ENTRY'!Q21),'DATA ENTRY'!Q21,""),IF(OR(ISNUMBER(P18),P18=""),P18,""))</f>
        <v/>
      </c>
      <c r="S18" s="38" t="str">
        <f>IF(ISERROR(Q18),IF(ISNUMBER('DATA ENTRY'!R21),'DATA ENTRY'!R21,""),IF(OR(ISNUMBER(Q18),Q18=""),Q18,""))</f>
        <v/>
      </c>
      <c r="T18" s="39">
        <f>IF(ISNUMBER(R18),R18*database!$C$4,0)</f>
        <v>0</v>
      </c>
      <c r="U18" s="40">
        <f>IF(ISNUMBER(S18),IF(S18&gt;database!$C$6,database!$C$5,0),0)</f>
        <v>0</v>
      </c>
      <c r="V18" s="33" t="str">
        <f t="shared" si="1"/>
        <v/>
      </c>
      <c r="W18" s="33" t="str">
        <f t="shared" si="1"/>
        <v/>
      </c>
      <c r="X18" s="33" t="str">
        <f t="shared" si="2"/>
        <v/>
      </c>
    </row>
    <row r="19" spans="1:24" ht="15" customHeight="1">
      <c r="A19" s="36">
        <f t="shared" si="3"/>
        <v>4</v>
      </c>
      <c r="B19" s="37" t="str">
        <f>IF(ISBLANK('DATA ENTRY'!B22),"",IF(ISNUMBER('DATA ENTRY'!B22),CONCATENATE(MONTH('DATA ENTRY'!B22),"/",DAY('DATA ENTRY'!B22),"/",RIGHT(YEAR('DATA ENTRY'!B22),2)),PROPER('DATA ENTRY'!B22)))</f>
        <v/>
      </c>
      <c r="C19" s="23" t="str">
        <f>IF(ISBLANK('DATA ENTRY'!C22),"",PROPER('DATA ENTRY'!C22))</f>
        <v/>
      </c>
      <c r="D19" s="23" t="str">
        <f>IF(ISBLANK('DATA ENTRY'!D22),"",PROPER('DATA ENTRY'!D22))</f>
        <v/>
      </c>
      <c r="E19" s="23" t="str">
        <f>IF(ISBLANK('DATA ENTRY'!E22),"",PROPER('DATA ENTRY'!E22))</f>
        <v/>
      </c>
      <c r="F19" s="23" t="str">
        <f>IF(ISBLANK('DATA ENTRY'!F22),"",PROPER('DATA ENTRY'!F22))</f>
        <v/>
      </c>
      <c r="G19" s="23" t="str">
        <f>IF(ISBLANK('DATA ENTRY'!G22),"",PROPER('DATA ENTRY'!G22))</f>
        <v/>
      </c>
      <c r="H19" s="32" t="str">
        <f>IF(C19="","",IF(C19=D19,0,IF(ISERROR(HLOOKUP(C19,database!$C$9:AB$13,ROW(database!$A$13)-ROW(database!$A$9)+1,FALSE)),HLOOKUP("zunknown",database!$C$9:AB$13,ROW(database!$A$13)-ROW(database!$A$9)+1,FALSE),HLOOKUP(C19,database!$C$9:AB$13,ROW(database!$A$13)-ROW(database!$A$9)+1,FALSE))))</f>
        <v/>
      </c>
      <c r="I19" s="32" t="str">
        <f>IF(D19="","",IF(D19=E19,0,IF(ISERROR(HLOOKUP(D19,database!$C$9:AB$13,ROW(database!$A$13)-ROW(database!$A$9)+1,FALSE)),HLOOKUP("zunknown",database!$C$9:AB$13,ROW(database!$A$13)-ROW(database!$A$9)+1,FALSE),HLOOKUP(D19,database!$C$9:AB$13,ROW(database!$A$13)-ROW(database!$A$9)+1,FALSE))))</f>
        <v/>
      </c>
      <c r="J19" s="32">
        <f>'DATA ENTRY'!$C$9</f>
        <v>0</v>
      </c>
      <c r="K19" s="32">
        <f>IF(J19="","",IF(J19=D19,0,IF(ISERROR(HLOOKUP(J19,database!$C$9:$AB$13,ROW(database!$A$13)-ROW(database!$A$9)+1,FALSE)),HLOOKUP("zunknown",database!$C$9:$AB$13,ROW(database!$A$13)-ROW(database!$A$9)+1,FALSE),HLOOKUP(J19,database!$C$9:$AB$13,ROW(database!$A$13)-ROW(database!$A$9)+1,FALSE))))</f>
        <v>28</v>
      </c>
      <c r="L19" s="32" t="str">
        <f>IF(AND(OR(G19="drove",G19="rode"),H19&lt;&gt;database!$AB$13,H19&lt;&gt;0),VLOOKUP(D19,database!$A$13:$AB$58,H19,FALSE),IF(H19=0,0,""))</f>
        <v/>
      </c>
      <c r="M19" s="32" t="str">
        <f>IF(AND(OR(G19="drove",G19="rode"),I19&lt;&gt;database!$AB$13,I19&lt;&gt;0),VLOOKUP(E19,database!$A$13:$AB$58,I19,FALSE),IF(I19=0,0,""))</f>
        <v/>
      </c>
      <c r="N19" s="32" t="str">
        <f>IF(AND(OR(G19="drove",G19="rode"),I19&lt;&gt;database!$AB$13,I19&lt;&gt;0),VLOOKUP(E19,database!$A$13:$AB$58,I19,FALSE),IF(I19=0,0,""))</f>
        <v/>
      </c>
      <c r="O19" s="33" t="str">
        <f>IF(AND(OR(G19="drove",G19="rode"),K19&lt;&gt;database!$AB$13,K19&lt;&gt;0),VLOOKUP(D19,database!$A$13:$AB$58,K19,FALSE),IF(K19=0,0,""))</f>
        <v/>
      </c>
      <c r="P19" s="33" t="str">
        <f>IF(OR(C19="",D19="",E19="",J19=0),"",IF(G19="drove",L19+M19+N19+O19,IF(G19="rode",L19+O19,"")))</f>
        <v/>
      </c>
      <c r="Q19" s="33" t="str">
        <f>IF(AND(C19&lt;&gt;"",D19&lt;&gt;"",E19&lt;&gt;"",G19="rode"),M19+N19,"")</f>
        <v/>
      </c>
      <c r="R19" s="33" t="str">
        <f>IF(ISERROR(P19),IF(ISNUMBER('DATA ENTRY'!Q22),'DATA ENTRY'!Q22,""),IF(OR(ISNUMBER(P19),P19=""),P19,""))</f>
        <v/>
      </c>
      <c r="S19" s="38" t="str">
        <f>IF(ISERROR(Q19),IF(ISNUMBER('DATA ENTRY'!R22),'DATA ENTRY'!R22,""),IF(OR(ISNUMBER(Q19),Q19=""),Q19,""))</f>
        <v/>
      </c>
      <c r="T19" s="39">
        <f>IF(ISNUMBER(R19),R19*database!$C$4,0)</f>
        <v>0</v>
      </c>
      <c r="U19" s="40">
        <f>IF(ISNUMBER(S19),IF(S19&gt;database!$C$6,database!$C$5,0),0)</f>
        <v>0</v>
      </c>
      <c r="V19" s="33" t="str">
        <f t="shared" ref="V19:V44" si="5">IF(ISERROR(P19),$A19,"")</f>
        <v/>
      </c>
      <c r="W19" s="33" t="str">
        <f t="shared" ref="W19:W44" si="6">IF(ISERROR(Q19),$A19,"")</f>
        <v/>
      </c>
      <c r="X19" s="33" t="str">
        <f t="shared" si="2"/>
        <v/>
      </c>
    </row>
    <row r="20" spans="1:24" ht="15" customHeight="1">
      <c r="A20" s="36">
        <f t="shared" si="3"/>
        <v>5</v>
      </c>
      <c r="B20" s="37" t="str">
        <f>IF(ISBLANK('DATA ENTRY'!B23),"",IF(ISNUMBER('DATA ENTRY'!B23),CONCATENATE(MONTH('DATA ENTRY'!B23),"/",DAY('DATA ENTRY'!B23),"/",RIGHT(YEAR('DATA ENTRY'!B23),2)),PROPER('DATA ENTRY'!B23)))</f>
        <v/>
      </c>
      <c r="C20" s="23" t="str">
        <f>IF(ISBLANK('DATA ENTRY'!C23),"",PROPER('DATA ENTRY'!C23))</f>
        <v/>
      </c>
      <c r="D20" s="23" t="str">
        <f>IF(ISBLANK('DATA ENTRY'!D23),"",PROPER('DATA ENTRY'!D23))</f>
        <v/>
      </c>
      <c r="E20" s="23" t="str">
        <f>IF(ISBLANK('DATA ENTRY'!E23),"",PROPER('DATA ENTRY'!E23))</f>
        <v/>
      </c>
      <c r="F20" s="23" t="str">
        <f>IF(ISBLANK('DATA ENTRY'!F23),"",PROPER('DATA ENTRY'!F23))</f>
        <v/>
      </c>
      <c r="G20" s="23" t="str">
        <f>IF(ISBLANK('DATA ENTRY'!G23),"",PROPER('DATA ENTRY'!G23))</f>
        <v/>
      </c>
      <c r="H20" s="32" t="str">
        <f>IF(C20="","",IF(C20=D20,0,IF(ISERROR(HLOOKUP(C20,database!$C$9:AB$13,ROW(database!$A$13)-ROW(database!$A$9)+1,FALSE)),HLOOKUP("zunknown",database!$C$9:AB$13,ROW(database!$A$13)-ROW(database!$A$9)+1,FALSE),HLOOKUP(C20,database!$C$9:AB$13,ROW(database!$A$13)-ROW(database!$A$9)+1,FALSE))))</f>
        <v/>
      </c>
      <c r="I20" s="32" t="str">
        <f>IF(D20="","",IF(D20=E20,0,IF(ISERROR(HLOOKUP(D20,database!$C$9:AB$13,ROW(database!$A$13)-ROW(database!$A$9)+1,FALSE)),HLOOKUP("zunknown",database!$C$9:AB$13,ROW(database!$A$13)-ROW(database!$A$9)+1,FALSE),HLOOKUP(D20,database!$C$9:AB$13,ROW(database!$A$13)-ROW(database!$A$9)+1,FALSE))))</f>
        <v/>
      </c>
      <c r="J20" s="32">
        <f>'DATA ENTRY'!$C$9</f>
        <v>0</v>
      </c>
      <c r="K20" s="32">
        <f>IF(J20="","",IF(J20=D20,0,IF(ISERROR(HLOOKUP(J20,database!$C$9:$AB$13,ROW(database!$A$13)-ROW(database!$A$9)+1,FALSE)),HLOOKUP("zunknown",database!$C$9:$AB$13,ROW(database!$A$13)-ROW(database!$A$9)+1,FALSE),HLOOKUP(J20,database!$C$9:$AB$13,ROW(database!$A$13)-ROW(database!$A$9)+1,FALSE))))</f>
        <v>28</v>
      </c>
      <c r="L20" s="32" t="str">
        <f>IF(AND(OR(G20="drove",G20="rode"),H20&lt;&gt;database!$AB$13,H20&lt;&gt;0),VLOOKUP(D20,database!$A$13:$AB$58,H20,FALSE),IF(H20=0,0,""))</f>
        <v/>
      </c>
      <c r="M20" s="32" t="str">
        <f>IF(AND(OR(G20="drove",G20="rode"),I20&lt;&gt;database!$AB$13,I20&lt;&gt;0),VLOOKUP(E20,database!$A$13:$AB$58,I20,FALSE),IF(I20=0,0,""))</f>
        <v/>
      </c>
      <c r="N20" s="32" t="str">
        <f>IF(AND(OR(G20="drove",G20="rode"),I20&lt;&gt;database!$AB$13,I20&lt;&gt;0),VLOOKUP(E20,database!$A$13:$AB$58,I20,FALSE),IF(I20=0,0,""))</f>
        <v/>
      </c>
      <c r="O20" s="33" t="str">
        <f>IF(AND(OR(G20="drove",G20="rode"),K20&lt;&gt;database!$AB$13,K20&lt;&gt;0),VLOOKUP(D20,database!$A$13:$AB$58,K20,FALSE),IF(K20=0,0,""))</f>
        <v/>
      </c>
      <c r="P20" s="33" t="str">
        <f>IF(OR(C20="",D20="",E20="",J20=0),"",IF(G20="drove",L20+M20+N20+O20,IF(G20="rode",L20+O20,"")))</f>
        <v/>
      </c>
      <c r="Q20" s="33" t="str">
        <f>IF(AND(C20&lt;&gt;"",D20&lt;&gt;"",E20&lt;&gt;"",G20="rode"),M20+N20,"")</f>
        <v/>
      </c>
      <c r="R20" s="33" t="str">
        <f>IF(ISERROR(P20),IF(ISNUMBER('DATA ENTRY'!Q23),'DATA ENTRY'!Q23,""),IF(OR(ISNUMBER(P20),P20=""),P20,""))</f>
        <v/>
      </c>
      <c r="S20" s="38" t="str">
        <f>IF(ISERROR(Q20),IF(ISNUMBER('DATA ENTRY'!R23),'DATA ENTRY'!R23,""),IF(OR(ISNUMBER(Q20),Q20=""),Q20,""))</f>
        <v/>
      </c>
      <c r="T20" s="39">
        <f>IF(ISNUMBER(R20),R20*database!$C$4,0)</f>
        <v>0</v>
      </c>
      <c r="U20" s="40">
        <f>IF(ISNUMBER(S20),IF(S20&gt;database!$C$6,database!$C$5,0),0)</f>
        <v>0</v>
      </c>
      <c r="V20" s="33" t="str">
        <f t="shared" si="5"/>
        <v/>
      </c>
      <c r="W20" s="33" t="str">
        <f t="shared" si="6"/>
        <v/>
      </c>
      <c r="X20" s="33" t="str">
        <f t="shared" si="2"/>
        <v/>
      </c>
    </row>
    <row r="21" spans="1:24" ht="15" customHeight="1">
      <c r="A21" s="36">
        <f t="shared" si="3"/>
        <v>6</v>
      </c>
      <c r="B21" s="37" t="str">
        <f>IF(ISBLANK('DATA ENTRY'!B24),"",IF(ISNUMBER('DATA ENTRY'!B24),CONCATENATE(MONTH('DATA ENTRY'!B24),"/",DAY('DATA ENTRY'!B24),"/",RIGHT(YEAR('DATA ENTRY'!B24),2)),PROPER('DATA ENTRY'!B24)))</f>
        <v/>
      </c>
      <c r="C21" s="23" t="str">
        <f>IF(ISBLANK('DATA ENTRY'!C24),"",PROPER('DATA ENTRY'!C24))</f>
        <v/>
      </c>
      <c r="D21" s="23" t="str">
        <f>IF(ISBLANK('DATA ENTRY'!D24),"",PROPER('DATA ENTRY'!D24))</f>
        <v/>
      </c>
      <c r="E21" s="23" t="str">
        <f>IF(ISBLANK('DATA ENTRY'!E24),"",PROPER('DATA ENTRY'!E24))</f>
        <v/>
      </c>
      <c r="F21" s="23" t="str">
        <f>IF(ISBLANK('DATA ENTRY'!F24),"",PROPER('DATA ENTRY'!F24))</f>
        <v/>
      </c>
      <c r="G21" s="23" t="str">
        <f>IF(ISBLANK('DATA ENTRY'!G24),"",PROPER('DATA ENTRY'!G24))</f>
        <v/>
      </c>
      <c r="H21" s="32" t="str">
        <f>IF(C21="","",IF(C21=D21,0,IF(ISERROR(HLOOKUP(C21,database!$C$9:AB$13,ROW(database!$A$13)-ROW(database!$A$9)+1,FALSE)),HLOOKUP("zunknown",database!$C$9:AB$13,ROW(database!$A$13)-ROW(database!$A$9)+1,FALSE),HLOOKUP(C21,database!$C$9:AB$13,ROW(database!$A$13)-ROW(database!$A$9)+1,FALSE))))</f>
        <v/>
      </c>
      <c r="I21" s="32" t="str">
        <f>IF(D21="","",IF(D21=E21,0,IF(ISERROR(HLOOKUP(D21,database!$C$9:AB$13,ROW(database!$A$13)-ROW(database!$A$9)+1,FALSE)),HLOOKUP("zunknown",database!$C$9:AB$13,ROW(database!$A$13)-ROW(database!$A$9)+1,FALSE),HLOOKUP(D21,database!$C$9:AB$13,ROW(database!$A$13)-ROW(database!$A$9)+1,FALSE))))</f>
        <v/>
      </c>
      <c r="J21" s="32">
        <f>'DATA ENTRY'!$C$9</f>
        <v>0</v>
      </c>
      <c r="K21" s="32">
        <f>IF(J21="","",IF(J21=D21,0,IF(ISERROR(HLOOKUP(J21,database!$C$9:$AB$13,ROW(database!$A$13)-ROW(database!$A$9)+1,FALSE)),HLOOKUP("zunknown",database!$C$9:$AB$13,ROW(database!$A$13)-ROW(database!$A$9)+1,FALSE),HLOOKUP(J21,database!$C$9:$AB$13,ROW(database!$A$13)-ROW(database!$A$9)+1,FALSE))))</f>
        <v>28</v>
      </c>
      <c r="L21" s="32" t="str">
        <f>IF(AND(OR(G21="drove",G21="rode"),H21&lt;&gt;database!$AB$13,H21&lt;&gt;0),VLOOKUP(D21,database!$A$13:$AB$58,H21,FALSE),IF(H21=0,0,""))</f>
        <v/>
      </c>
      <c r="M21" s="32" t="str">
        <f>IF(AND(OR(G21="drove",G21="rode"),I21&lt;&gt;database!$AB$13,I21&lt;&gt;0),VLOOKUP(E21,database!$A$13:$AB$58,I21,FALSE),IF(I21=0,0,""))</f>
        <v/>
      </c>
      <c r="N21" s="32" t="str">
        <f>IF(AND(OR(G21="drove",G21="rode"),I21&lt;&gt;database!$AB$13,I21&lt;&gt;0),VLOOKUP(E21,database!$A$13:$AB$58,I21,FALSE),IF(I21=0,0,""))</f>
        <v/>
      </c>
      <c r="O21" s="33" t="str">
        <f>IF(AND(OR(G21="drove",G21="rode"),K21&lt;&gt;database!$AB$13,K21&lt;&gt;0),VLOOKUP(D21,database!$A$13:$AB$58,K21,FALSE),IF(K21=0,0,""))</f>
        <v/>
      </c>
      <c r="P21" s="33" t="str">
        <f>IF(OR(C21="",D21="",E21="",J21=0),"",IF(G21="drove",L21+M21+N21+O21,IF(G21="rode",L21+O21,"")))</f>
        <v/>
      </c>
      <c r="Q21" s="33" t="str">
        <f>IF(AND(C21&lt;&gt;"",D21&lt;&gt;"",E21&lt;&gt;"",G21="rode"),M21+N21,"")</f>
        <v/>
      </c>
      <c r="R21" s="33" t="str">
        <f>IF(ISERROR(P21),IF(ISNUMBER('DATA ENTRY'!Q24),'DATA ENTRY'!Q24,""),IF(OR(ISNUMBER(P21),P21=""),P21,""))</f>
        <v/>
      </c>
      <c r="S21" s="38" t="str">
        <f>IF(ISERROR(Q21),IF(ISNUMBER('DATA ENTRY'!R24),'DATA ENTRY'!R24,""),IF(OR(ISNUMBER(Q21),Q21=""),Q21,""))</f>
        <v/>
      </c>
      <c r="T21" s="39">
        <f>IF(ISNUMBER(R21),R21*database!$C$4,0)</f>
        <v>0</v>
      </c>
      <c r="U21" s="40">
        <f>IF(ISNUMBER(S21),IF(S21&gt;database!$C$6,database!$C$5,0),0)</f>
        <v>0</v>
      </c>
      <c r="V21" s="33" t="str">
        <f t="shared" si="5"/>
        <v/>
      </c>
      <c r="W21" s="33" t="str">
        <f t="shared" si="6"/>
        <v/>
      </c>
      <c r="X21" s="33" t="str">
        <f t="shared" si="2"/>
        <v/>
      </c>
    </row>
    <row r="22" spans="1:24" ht="15" customHeight="1">
      <c r="A22" s="36">
        <f t="shared" si="3"/>
        <v>7</v>
      </c>
      <c r="B22" s="37" t="str">
        <f>IF(ISBLANK('DATA ENTRY'!B25),"",IF(ISNUMBER('DATA ENTRY'!B25),CONCATENATE(MONTH('DATA ENTRY'!B25),"/",DAY('DATA ENTRY'!B25),"/",RIGHT(YEAR('DATA ENTRY'!B25),2)),PROPER('DATA ENTRY'!B25)))</f>
        <v/>
      </c>
      <c r="C22" s="23" t="str">
        <f>IF(ISBLANK('DATA ENTRY'!C25),"",PROPER('DATA ENTRY'!C25))</f>
        <v/>
      </c>
      <c r="D22" s="23" t="str">
        <f>IF(ISBLANK('DATA ENTRY'!D25),"",PROPER('DATA ENTRY'!D25))</f>
        <v/>
      </c>
      <c r="E22" s="23" t="str">
        <f>IF(ISBLANK('DATA ENTRY'!E25),"",PROPER('DATA ENTRY'!E25))</f>
        <v/>
      </c>
      <c r="F22" s="23" t="str">
        <f>IF(ISBLANK('DATA ENTRY'!F25),"",PROPER('DATA ENTRY'!F25))</f>
        <v/>
      </c>
      <c r="G22" s="23" t="str">
        <f>IF(ISBLANK('DATA ENTRY'!G25),"",PROPER('DATA ENTRY'!G25))</f>
        <v/>
      </c>
      <c r="H22" s="32" t="str">
        <f>IF(C22="","",IF(C22=D22,0,IF(ISERROR(HLOOKUP(C22,database!$C$9:AB$13,ROW(database!$A$13)-ROW(database!$A$9)+1,FALSE)),HLOOKUP("zunknown",database!$C$9:AB$13,ROW(database!$A$13)-ROW(database!$A$9)+1,FALSE),HLOOKUP(C22,database!$C$9:AB$13,ROW(database!$A$13)-ROW(database!$A$9)+1,FALSE))))</f>
        <v/>
      </c>
      <c r="I22" s="32" t="str">
        <f>IF(D22="","",IF(D22=E22,0,IF(ISERROR(HLOOKUP(D22,database!$C$9:AB$13,ROW(database!$A$13)-ROW(database!$A$9)+1,FALSE)),HLOOKUP("zunknown",database!$C$9:AB$13,ROW(database!$A$13)-ROW(database!$A$9)+1,FALSE),HLOOKUP(D22,database!$C$9:AB$13,ROW(database!$A$13)-ROW(database!$A$9)+1,FALSE))))</f>
        <v/>
      </c>
      <c r="J22" s="32">
        <f>'DATA ENTRY'!$C$9</f>
        <v>0</v>
      </c>
      <c r="K22" s="32">
        <f>IF(J22="","",IF(J22=D22,0,IF(ISERROR(HLOOKUP(J22,database!$C$9:$AB$13,ROW(database!$A$13)-ROW(database!$A$9)+1,FALSE)),HLOOKUP("zunknown",database!$C$9:$AB$13,ROW(database!$A$13)-ROW(database!$A$9)+1,FALSE),HLOOKUP(J22,database!$C$9:$AB$13,ROW(database!$A$13)-ROW(database!$A$9)+1,FALSE))))</f>
        <v>28</v>
      </c>
      <c r="L22" s="32" t="str">
        <f>IF(AND(OR(G22="drove",G22="rode"),H22&lt;&gt;database!$AB$13,H22&lt;&gt;0),VLOOKUP(D22,database!$A$13:$AB$58,H22,FALSE),IF(H22=0,0,""))</f>
        <v/>
      </c>
      <c r="M22" s="32" t="str">
        <f>IF(AND(OR(G22="drove",G22="rode"),I22&lt;&gt;database!$AB$13,I22&lt;&gt;0),VLOOKUP(E22,database!$A$13:$AB$58,I22,FALSE),IF(I22=0,0,""))</f>
        <v/>
      </c>
      <c r="N22" s="32" t="str">
        <f>IF(AND(OR(G22="drove",G22="rode"),I22&lt;&gt;database!$AB$13,I22&lt;&gt;0),VLOOKUP(E22,database!$A$13:$AB$58,I22,FALSE),IF(I22=0,0,""))</f>
        <v/>
      </c>
      <c r="O22" s="33" t="str">
        <f>IF(AND(OR(G22="drove",G22="rode"),K22&lt;&gt;database!$AB$13,K22&lt;&gt;0),VLOOKUP(D22,database!$A$13:$AB$58,K22,FALSE),IF(K22=0,0,""))</f>
        <v/>
      </c>
      <c r="P22" s="33" t="str">
        <f t="shared" si="4"/>
        <v/>
      </c>
      <c r="Q22" s="33" t="str">
        <f t="shared" si="0"/>
        <v/>
      </c>
      <c r="R22" s="33" t="str">
        <f>IF(ISERROR(P22),IF(ISNUMBER('DATA ENTRY'!Q25),'DATA ENTRY'!Q25,""),IF(OR(ISNUMBER(P22),P22=""),P22,""))</f>
        <v/>
      </c>
      <c r="S22" s="38" t="str">
        <f>IF(ISERROR(Q22),IF(ISNUMBER('DATA ENTRY'!R25),'DATA ENTRY'!R25,""),IF(OR(ISNUMBER(Q22),Q22=""),Q22,""))</f>
        <v/>
      </c>
      <c r="T22" s="39">
        <f>IF(ISNUMBER(R22),R22*database!$C$4,0)</f>
        <v>0</v>
      </c>
      <c r="U22" s="40">
        <f>IF(ISNUMBER(S22),IF(S22&gt;database!$C$6,database!$C$5,0),0)</f>
        <v>0</v>
      </c>
      <c r="V22" s="33" t="str">
        <f t="shared" si="5"/>
        <v/>
      </c>
      <c r="W22" s="33" t="str">
        <f t="shared" si="6"/>
        <v/>
      </c>
      <c r="X22" s="33" t="str">
        <f t="shared" si="2"/>
        <v/>
      </c>
    </row>
    <row r="23" spans="1:24" ht="15" customHeight="1">
      <c r="A23" s="36">
        <f t="shared" si="3"/>
        <v>8</v>
      </c>
      <c r="B23" s="37" t="str">
        <f>IF(ISBLANK('DATA ENTRY'!B26),"",IF(ISNUMBER('DATA ENTRY'!B26),CONCATENATE(MONTH('DATA ENTRY'!B26),"/",DAY('DATA ENTRY'!B26),"/",RIGHT(YEAR('DATA ENTRY'!B26),2)),PROPER('DATA ENTRY'!B26)))</f>
        <v/>
      </c>
      <c r="C23" s="23" t="str">
        <f>IF(ISBLANK('DATA ENTRY'!C26),"",PROPER('DATA ENTRY'!C26))</f>
        <v/>
      </c>
      <c r="D23" s="23" t="str">
        <f>IF(ISBLANK('DATA ENTRY'!D26),"",PROPER('DATA ENTRY'!D26))</f>
        <v/>
      </c>
      <c r="E23" s="23" t="str">
        <f>IF(ISBLANK('DATA ENTRY'!E26),"",PROPER('DATA ENTRY'!E26))</f>
        <v/>
      </c>
      <c r="F23" s="23" t="str">
        <f>IF(ISBLANK('DATA ENTRY'!F26),"",PROPER('DATA ENTRY'!F26))</f>
        <v/>
      </c>
      <c r="G23" s="23" t="str">
        <f>IF(ISBLANK('DATA ENTRY'!G26),"",PROPER('DATA ENTRY'!G26))</f>
        <v/>
      </c>
      <c r="H23" s="32" t="str">
        <f>IF(C23="","",IF(C23=D23,0,IF(ISERROR(HLOOKUP(C23,database!$C$9:AB$13,ROW(database!$A$13)-ROW(database!$A$9)+1,FALSE)),HLOOKUP("zunknown",database!$C$9:AB$13,ROW(database!$A$13)-ROW(database!$A$9)+1,FALSE),HLOOKUP(C23,database!$C$9:AB$13,ROW(database!$A$13)-ROW(database!$A$9)+1,FALSE))))</f>
        <v/>
      </c>
      <c r="I23" s="32" t="str">
        <f>IF(D23="","",IF(D23=E23,0,IF(ISERROR(HLOOKUP(D23,database!$C$9:AB$13,ROW(database!$A$13)-ROW(database!$A$9)+1,FALSE)),HLOOKUP("zunknown",database!$C$9:AB$13,ROW(database!$A$13)-ROW(database!$A$9)+1,FALSE),HLOOKUP(D23,database!$C$9:AB$13,ROW(database!$A$13)-ROW(database!$A$9)+1,FALSE))))</f>
        <v/>
      </c>
      <c r="J23" s="32">
        <f>'DATA ENTRY'!$C$9</f>
        <v>0</v>
      </c>
      <c r="K23" s="32">
        <f>IF(J23="","",IF(J23=D23,0,IF(ISERROR(HLOOKUP(J23,database!$C$9:$AB$13,ROW(database!$A$13)-ROW(database!$A$9)+1,FALSE)),HLOOKUP("zunknown",database!$C$9:$AB$13,ROW(database!$A$13)-ROW(database!$A$9)+1,FALSE),HLOOKUP(J23,database!$C$9:$AB$13,ROW(database!$A$13)-ROW(database!$A$9)+1,FALSE))))</f>
        <v>28</v>
      </c>
      <c r="L23" s="32" t="str">
        <f>IF(AND(OR(G23="drove",G23="rode"),H23&lt;&gt;database!$AB$13,H23&lt;&gt;0),VLOOKUP(D23,database!$A$13:$AB$58,H23,FALSE),IF(H23=0,0,""))</f>
        <v/>
      </c>
      <c r="M23" s="32" t="str">
        <f>IF(AND(OR(G23="drove",G23="rode"),I23&lt;&gt;database!$AB$13,I23&lt;&gt;0),VLOOKUP(E23,database!$A$13:$AB$58,I23,FALSE),IF(I23=0,0,""))</f>
        <v/>
      </c>
      <c r="N23" s="32" t="str">
        <f>IF(AND(OR(G23="drove",G23="rode"),I23&lt;&gt;database!$AB$13,I23&lt;&gt;0),VLOOKUP(E23,database!$A$13:$AB$58,I23,FALSE),IF(I23=0,0,""))</f>
        <v/>
      </c>
      <c r="O23" s="33" t="str">
        <f>IF(AND(OR(G23="drove",G23="rode"),K23&lt;&gt;database!$AB$13,K23&lt;&gt;0),VLOOKUP(D23,database!$A$13:$AB$58,K23,FALSE),IF(K23=0,0,""))</f>
        <v/>
      </c>
      <c r="P23" s="33" t="str">
        <f t="shared" si="4"/>
        <v/>
      </c>
      <c r="Q23" s="33" t="str">
        <f t="shared" si="0"/>
        <v/>
      </c>
      <c r="R23" s="33" t="str">
        <f>IF(ISERROR(P23),IF(ISNUMBER('DATA ENTRY'!Q26),'DATA ENTRY'!Q26,""),IF(OR(ISNUMBER(P23),P23=""),P23,""))</f>
        <v/>
      </c>
      <c r="S23" s="38" t="str">
        <f>IF(ISERROR(Q23),IF(ISNUMBER('DATA ENTRY'!R26),'DATA ENTRY'!R26,""),IF(OR(ISNUMBER(Q23),Q23=""),Q23,""))</f>
        <v/>
      </c>
      <c r="T23" s="39">
        <f>IF(ISNUMBER(R23),R23*database!$C$4,0)</f>
        <v>0</v>
      </c>
      <c r="U23" s="40">
        <f>IF(ISNUMBER(S23),IF(S23&gt;database!$C$6,database!$C$5,0),0)</f>
        <v>0</v>
      </c>
      <c r="V23" s="33" t="str">
        <f t="shared" si="5"/>
        <v/>
      </c>
      <c r="W23" s="33" t="str">
        <f t="shared" si="6"/>
        <v/>
      </c>
      <c r="X23" s="33" t="str">
        <f t="shared" si="2"/>
        <v/>
      </c>
    </row>
    <row r="24" spans="1:24" ht="15" customHeight="1">
      <c r="A24" s="36">
        <f t="shared" si="3"/>
        <v>9</v>
      </c>
      <c r="B24" s="37" t="str">
        <f>IF(ISBLANK('DATA ENTRY'!B27),"",IF(ISNUMBER('DATA ENTRY'!B27),CONCATENATE(MONTH('DATA ENTRY'!B27),"/",DAY('DATA ENTRY'!B27),"/",RIGHT(YEAR('DATA ENTRY'!B27),2)),PROPER('DATA ENTRY'!B27)))</f>
        <v/>
      </c>
      <c r="C24" s="23" t="str">
        <f>IF(ISBLANK('DATA ENTRY'!C27),"",PROPER('DATA ENTRY'!C27))</f>
        <v/>
      </c>
      <c r="D24" s="23" t="str">
        <f>IF(ISBLANK('DATA ENTRY'!D27),"",PROPER('DATA ENTRY'!D27))</f>
        <v/>
      </c>
      <c r="E24" s="23" t="str">
        <f>IF(ISBLANK('DATA ENTRY'!E27),"",PROPER('DATA ENTRY'!E27))</f>
        <v/>
      </c>
      <c r="F24" s="23" t="str">
        <f>IF(ISBLANK('DATA ENTRY'!F27),"",PROPER('DATA ENTRY'!F27))</f>
        <v/>
      </c>
      <c r="G24" s="23" t="str">
        <f>IF(ISBLANK('DATA ENTRY'!G27),"",PROPER('DATA ENTRY'!G27))</f>
        <v/>
      </c>
      <c r="H24" s="32" t="str">
        <f>IF(C24="","",IF(C24=D24,0,IF(ISERROR(HLOOKUP(C24,database!$C$9:AB$13,ROW(database!$A$13)-ROW(database!$A$9)+1,FALSE)),HLOOKUP("zunknown",database!$C$9:AB$13,ROW(database!$A$13)-ROW(database!$A$9)+1,FALSE),HLOOKUP(C24,database!$C$9:AB$13,ROW(database!$A$13)-ROW(database!$A$9)+1,FALSE))))</f>
        <v/>
      </c>
      <c r="I24" s="32" t="str">
        <f>IF(D24="","",IF(D24=E24,0,IF(ISERROR(HLOOKUP(D24,database!$C$9:AB$13,ROW(database!$A$13)-ROW(database!$A$9)+1,FALSE)),HLOOKUP("zunknown",database!$C$9:AB$13,ROW(database!$A$13)-ROW(database!$A$9)+1,FALSE),HLOOKUP(D24,database!$C$9:AB$13,ROW(database!$A$13)-ROW(database!$A$9)+1,FALSE))))</f>
        <v/>
      </c>
      <c r="J24" s="32">
        <f>'DATA ENTRY'!$C$9</f>
        <v>0</v>
      </c>
      <c r="K24" s="32">
        <f>IF(J24="","",IF(J24=D24,0,IF(ISERROR(HLOOKUP(J24,database!$C$9:$AB$13,ROW(database!$A$13)-ROW(database!$A$9)+1,FALSE)),HLOOKUP("zunknown",database!$C$9:$AB$13,ROW(database!$A$13)-ROW(database!$A$9)+1,FALSE),HLOOKUP(J24,database!$C$9:$AB$13,ROW(database!$A$13)-ROW(database!$A$9)+1,FALSE))))</f>
        <v>28</v>
      </c>
      <c r="L24" s="32" t="str">
        <f>IF(AND(OR(G24="drove",G24="rode"),H24&lt;&gt;database!$AB$13,H24&lt;&gt;0),VLOOKUP(D24,database!$A$13:$AB$58,H24,FALSE),IF(H24=0,0,""))</f>
        <v/>
      </c>
      <c r="M24" s="32" t="str">
        <f>IF(AND(OR(G24="drove",G24="rode"),I24&lt;&gt;database!$AB$13,I24&lt;&gt;0),VLOOKUP(E24,database!$A$13:$AB$58,I24,FALSE),IF(I24=0,0,""))</f>
        <v/>
      </c>
      <c r="N24" s="32" t="str">
        <f>IF(AND(OR(G24="drove",G24="rode"),I24&lt;&gt;database!$AB$13,I24&lt;&gt;0),VLOOKUP(E24,database!$A$13:$AB$58,I24,FALSE),IF(I24=0,0,""))</f>
        <v/>
      </c>
      <c r="O24" s="33" t="str">
        <f>IF(AND(OR(G24="drove",G24="rode"),K24&lt;&gt;database!$AB$13,K24&lt;&gt;0),VLOOKUP(D24,database!$A$13:$AB$58,K24,FALSE),IF(K24=0,0,""))</f>
        <v/>
      </c>
      <c r="P24" s="33" t="str">
        <f t="shared" si="4"/>
        <v/>
      </c>
      <c r="Q24" s="33" t="str">
        <f t="shared" si="0"/>
        <v/>
      </c>
      <c r="R24" s="33" t="str">
        <f>IF(ISERROR(P24),IF(ISNUMBER('DATA ENTRY'!Q27),'DATA ENTRY'!Q27,""),IF(OR(ISNUMBER(P24),P24=""),P24,""))</f>
        <v/>
      </c>
      <c r="S24" s="38" t="str">
        <f>IF(ISERROR(Q24),IF(ISNUMBER('DATA ENTRY'!R27),'DATA ENTRY'!R27,""),IF(OR(ISNUMBER(Q24),Q24=""),Q24,""))</f>
        <v/>
      </c>
      <c r="T24" s="39">
        <f>IF(ISNUMBER(R24),R24*database!$C$4,0)</f>
        <v>0</v>
      </c>
      <c r="U24" s="40">
        <f>IF(ISNUMBER(S24),IF(S24&gt;database!$C$6,database!$C$5,0),0)</f>
        <v>0</v>
      </c>
      <c r="V24" s="33" t="str">
        <f t="shared" si="5"/>
        <v/>
      </c>
      <c r="W24" s="33" t="str">
        <f t="shared" si="6"/>
        <v/>
      </c>
      <c r="X24" s="33" t="str">
        <f t="shared" si="2"/>
        <v/>
      </c>
    </row>
    <row r="25" spans="1:24" ht="15" customHeight="1">
      <c r="A25" s="36">
        <f t="shared" si="3"/>
        <v>10</v>
      </c>
      <c r="B25" s="37" t="str">
        <f>IF(ISBLANK('DATA ENTRY'!B28),"",IF(ISNUMBER('DATA ENTRY'!B28),CONCATENATE(MONTH('DATA ENTRY'!B28),"/",DAY('DATA ENTRY'!B28),"/",RIGHT(YEAR('DATA ENTRY'!B28),2)),PROPER('DATA ENTRY'!B28)))</f>
        <v/>
      </c>
      <c r="C25" s="23" t="str">
        <f>IF(ISBLANK('DATA ENTRY'!C28),"",PROPER('DATA ENTRY'!C28))</f>
        <v/>
      </c>
      <c r="D25" s="23" t="str">
        <f>IF(ISBLANK('DATA ENTRY'!D28),"",PROPER('DATA ENTRY'!D28))</f>
        <v/>
      </c>
      <c r="E25" s="23" t="str">
        <f>IF(ISBLANK('DATA ENTRY'!E28),"",PROPER('DATA ENTRY'!E28))</f>
        <v/>
      </c>
      <c r="F25" s="23" t="str">
        <f>IF(ISBLANK('DATA ENTRY'!F28),"",PROPER('DATA ENTRY'!F28))</f>
        <v/>
      </c>
      <c r="G25" s="23" t="str">
        <f>IF(ISBLANK('DATA ENTRY'!G28),"",PROPER('DATA ENTRY'!G28))</f>
        <v/>
      </c>
      <c r="H25" s="32" t="str">
        <f>IF(C25="","",IF(C25=D25,0,IF(ISERROR(HLOOKUP(C25,database!$C$9:AB$13,ROW(database!$A$13)-ROW(database!$A$9)+1,FALSE)),HLOOKUP("zunknown",database!$C$9:AB$13,ROW(database!$A$13)-ROW(database!$A$9)+1,FALSE),HLOOKUP(C25,database!$C$9:AB$13,ROW(database!$A$13)-ROW(database!$A$9)+1,FALSE))))</f>
        <v/>
      </c>
      <c r="I25" s="32" t="str">
        <f>IF(D25="","",IF(D25=E25,0,IF(ISERROR(HLOOKUP(D25,database!$C$9:AB$13,ROW(database!$A$13)-ROW(database!$A$9)+1,FALSE)),HLOOKUP("zunknown",database!$C$9:AB$13,ROW(database!$A$13)-ROW(database!$A$9)+1,FALSE),HLOOKUP(D25,database!$C$9:AB$13,ROW(database!$A$13)-ROW(database!$A$9)+1,FALSE))))</f>
        <v/>
      </c>
      <c r="J25" s="32">
        <f>'DATA ENTRY'!$C$9</f>
        <v>0</v>
      </c>
      <c r="K25" s="32">
        <f>IF(J25="","",IF(J25=D25,0,IF(ISERROR(HLOOKUP(J25,database!$C$9:$AB$13,ROW(database!$A$13)-ROW(database!$A$9)+1,FALSE)),HLOOKUP("zunknown",database!$C$9:$AB$13,ROW(database!$A$13)-ROW(database!$A$9)+1,FALSE),HLOOKUP(J25,database!$C$9:$AB$13,ROW(database!$A$13)-ROW(database!$A$9)+1,FALSE))))</f>
        <v>28</v>
      </c>
      <c r="L25" s="32" t="str">
        <f>IF(AND(OR(G25="drove",G25="rode"),H25&lt;&gt;database!$AB$13,H25&lt;&gt;0),VLOOKUP(D25,database!$A$13:$AB$58,H25,FALSE),IF(H25=0,0,""))</f>
        <v/>
      </c>
      <c r="M25" s="32" t="str">
        <f>IF(AND(OR(G25="drove",G25="rode"),I25&lt;&gt;database!$AB$13,I25&lt;&gt;0),VLOOKUP(E25,database!$A$13:$AB$58,I25,FALSE),IF(I25=0,0,""))</f>
        <v/>
      </c>
      <c r="N25" s="32" t="str">
        <f>IF(AND(OR(G25="drove",G25="rode"),I25&lt;&gt;database!$AB$13,I25&lt;&gt;0),VLOOKUP(E25,database!$A$13:$AB$58,I25,FALSE),IF(I25=0,0,""))</f>
        <v/>
      </c>
      <c r="O25" s="33" t="str">
        <f>IF(AND(OR(G25="drove",G25="rode"),K25&lt;&gt;database!$AB$13,K25&lt;&gt;0),VLOOKUP(D25,database!$A$13:$AB$58,K25,FALSE),IF(K25=0,0,""))</f>
        <v/>
      </c>
      <c r="P25" s="33" t="str">
        <f t="shared" si="4"/>
        <v/>
      </c>
      <c r="Q25" s="33" t="str">
        <f t="shared" si="0"/>
        <v/>
      </c>
      <c r="R25" s="33" t="str">
        <f>IF(ISERROR(P25),IF(ISNUMBER('DATA ENTRY'!Q28),'DATA ENTRY'!Q28,""),IF(OR(ISNUMBER(P25),P25=""),P25,""))</f>
        <v/>
      </c>
      <c r="S25" s="38" t="str">
        <f>IF(ISERROR(Q25),IF(ISNUMBER('DATA ENTRY'!R28),'DATA ENTRY'!R28,""),IF(OR(ISNUMBER(Q25),Q25=""),Q25,""))</f>
        <v/>
      </c>
      <c r="T25" s="39">
        <f>IF(ISNUMBER(R25),R25*database!$C$4,0)</f>
        <v>0</v>
      </c>
      <c r="U25" s="40">
        <f>IF(ISNUMBER(S25),IF(S25&gt;database!$C$6,database!$C$5,0),0)</f>
        <v>0</v>
      </c>
      <c r="V25" s="33" t="str">
        <f t="shared" si="5"/>
        <v/>
      </c>
      <c r="W25" s="33" t="str">
        <f t="shared" si="6"/>
        <v/>
      </c>
      <c r="X25" s="33" t="str">
        <f t="shared" si="2"/>
        <v/>
      </c>
    </row>
    <row r="26" spans="1:24" ht="15" customHeight="1">
      <c r="A26" s="36">
        <f t="shared" si="3"/>
        <v>11</v>
      </c>
      <c r="B26" s="37" t="str">
        <f>IF(ISBLANK('DATA ENTRY'!B29),"",IF(ISNUMBER('DATA ENTRY'!B29),CONCATENATE(MONTH('DATA ENTRY'!B29),"/",DAY('DATA ENTRY'!B29),"/",RIGHT(YEAR('DATA ENTRY'!B29),2)),PROPER('DATA ENTRY'!B29)))</f>
        <v/>
      </c>
      <c r="C26" s="23" t="str">
        <f>IF(ISBLANK('DATA ENTRY'!C29),"",PROPER('DATA ENTRY'!C29))</f>
        <v/>
      </c>
      <c r="D26" s="23" t="str">
        <f>IF(ISBLANK('DATA ENTRY'!D29),"",PROPER('DATA ENTRY'!D29))</f>
        <v/>
      </c>
      <c r="E26" s="23" t="str">
        <f>IF(ISBLANK('DATA ENTRY'!E29),"",PROPER('DATA ENTRY'!E29))</f>
        <v/>
      </c>
      <c r="F26" s="23" t="str">
        <f>IF(ISBLANK('DATA ENTRY'!F29),"",PROPER('DATA ENTRY'!F29))</f>
        <v/>
      </c>
      <c r="G26" s="23" t="str">
        <f>IF(ISBLANK('DATA ENTRY'!G29),"",PROPER('DATA ENTRY'!G29))</f>
        <v/>
      </c>
      <c r="H26" s="32" t="str">
        <f>IF(C26="","",IF(C26=D26,0,IF(ISERROR(HLOOKUP(C26,database!$C$9:AB$13,ROW(database!$A$13)-ROW(database!$A$9)+1,FALSE)),HLOOKUP("zunknown",database!$C$9:AB$13,ROW(database!$A$13)-ROW(database!$A$9)+1,FALSE),HLOOKUP(C26,database!$C$9:AB$13,ROW(database!$A$13)-ROW(database!$A$9)+1,FALSE))))</f>
        <v/>
      </c>
      <c r="I26" s="32" t="str">
        <f>IF(D26="","",IF(D26=E26,0,IF(ISERROR(HLOOKUP(D26,database!$C$9:AB$13,ROW(database!$A$13)-ROW(database!$A$9)+1,FALSE)),HLOOKUP("zunknown",database!$C$9:AB$13,ROW(database!$A$13)-ROW(database!$A$9)+1,FALSE),HLOOKUP(D26,database!$C$9:AB$13,ROW(database!$A$13)-ROW(database!$A$9)+1,FALSE))))</f>
        <v/>
      </c>
      <c r="J26" s="32">
        <f>'DATA ENTRY'!$C$9</f>
        <v>0</v>
      </c>
      <c r="K26" s="32">
        <f>IF(J26="","",IF(J26=D26,0,IF(ISERROR(HLOOKUP(J26,database!$C$9:$AB$13,ROW(database!$A$13)-ROW(database!$A$9)+1,FALSE)),HLOOKUP("zunknown",database!$C$9:$AB$13,ROW(database!$A$13)-ROW(database!$A$9)+1,FALSE),HLOOKUP(J26,database!$C$9:$AB$13,ROW(database!$A$13)-ROW(database!$A$9)+1,FALSE))))</f>
        <v>28</v>
      </c>
      <c r="L26" s="32" t="str">
        <f>IF(AND(OR(G26="drove",G26="rode"),H26&lt;&gt;database!$AB$13,H26&lt;&gt;0),VLOOKUP(D26,database!$A$13:$AB$58,H26,FALSE),IF(H26=0,0,""))</f>
        <v/>
      </c>
      <c r="M26" s="32" t="str">
        <f>IF(AND(OR(G26="drove",G26="rode"),I26&lt;&gt;database!$AB$13,I26&lt;&gt;0),VLOOKUP(E26,database!$A$13:$AB$58,I26,FALSE),IF(I26=0,0,""))</f>
        <v/>
      </c>
      <c r="N26" s="32" t="str">
        <f>IF(AND(OR(G26="drove",G26="rode"),I26&lt;&gt;database!$AB$13,I26&lt;&gt;0),VLOOKUP(E26,database!$A$13:$AB$58,I26,FALSE),IF(I26=0,0,""))</f>
        <v/>
      </c>
      <c r="O26" s="33" t="str">
        <f>IF(AND(OR(G26="drove",G26="rode"),K26&lt;&gt;database!$AB$13,K26&lt;&gt;0),VLOOKUP(D26,database!$A$13:$AB$58,K26,FALSE),IF(K26=0,0,""))</f>
        <v/>
      </c>
      <c r="P26" s="33" t="str">
        <f t="shared" si="4"/>
        <v/>
      </c>
      <c r="Q26" s="33" t="str">
        <f t="shared" si="0"/>
        <v/>
      </c>
      <c r="R26" s="33" t="str">
        <f>IF(ISERROR(P26),IF(ISNUMBER('DATA ENTRY'!Q29),'DATA ENTRY'!Q29,""),IF(OR(ISNUMBER(P26),P26=""),P26,""))</f>
        <v/>
      </c>
      <c r="S26" s="38" t="str">
        <f>IF(ISERROR(Q26),IF(ISNUMBER('DATA ENTRY'!R29),'DATA ENTRY'!R29,""),IF(OR(ISNUMBER(Q26),Q26=""),Q26,""))</f>
        <v/>
      </c>
      <c r="T26" s="39">
        <f>IF(ISNUMBER(R26),R26*database!$C$4,0)</f>
        <v>0</v>
      </c>
      <c r="U26" s="40">
        <f>IF(ISNUMBER(S26),IF(S26&gt;database!$C$6,database!$C$5,0),0)</f>
        <v>0</v>
      </c>
      <c r="V26" s="33" t="str">
        <f t="shared" si="5"/>
        <v/>
      </c>
      <c r="W26" s="33" t="str">
        <f t="shared" si="6"/>
        <v/>
      </c>
      <c r="X26" s="33" t="str">
        <f t="shared" si="2"/>
        <v/>
      </c>
    </row>
    <row r="27" spans="1:24" ht="15" customHeight="1">
      <c r="A27" s="36">
        <f t="shared" si="3"/>
        <v>12</v>
      </c>
      <c r="B27" s="37" t="str">
        <f>IF(ISBLANK('DATA ENTRY'!B30),"",IF(ISNUMBER('DATA ENTRY'!B30),CONCATENATE(MONTH('DATA ENTRY'!B30),"/",DAY('DATA ENTRY'!B30),"/",RIGHT(YEAR('DATA ENTRY'!B30),2)),PROPER('DATA ENTRY'!B30)))</f>
        <v/>
      </c>
      <c r="C27" s="23" t="str">
        <f>IF(ISBLANK('DATA ENTRY'!C30),"",PROPER('DATA ENTRY'!C30))</f>
        <v/>
      </c>
      <c r="D27" s="23" t="str">
        <f>IF(ISBLANK('DATA ENTRY'!D30),"",PROPER('DATA ENTRY'!D30))</f>
        <v/>
      </c>
      <c r="E27" s="23" t="str">
        <f>IF(ISBLANK('DATA ENTRY'!E30),"",PROPER('DATA ENTRY'!E30))</f>
        <v/>
      </c>
      <c r="F27" s="23" t="str">
        <f>IF(ISBLANK('DATA ENTRY'!F30),"",PROPER('DATA ENTRY'!F30))</f>
        <v/>
      </c>
      <c r="G27" s="23" t="str">
        <f>IF(ISBLANK('DATA ENTRY'!G30),"",PROPER('DATA ENTRY'!G30))</f>
        <v/>
      </c>
      <c r="H27" s="32" t="str">
        <f>IF(C27="","",IF(C27=D27,0,IF(ISERROR(HLOOKUP(C27,database!$C$9:AB$13,ROW(database!$A$13)-ROW(database!$A$9)+1,FALSE)),HLOOKUP("zunknown",database!$C$9:AB$13,ROW(database!$A$13)-ROW(database!$A$9)+1,FALSE),HLOOKUP(C27,database!$C$9:AB$13,ROW(database!$A$13)-ROW(database!$A$9)+1,FALSE))))</f>
        <v/>
      </c>
      <c r="I27" s="32" t="str">
        <f>IF(D27="","",IF(D27=E27,0,IF(ISERROR(HLOOKUP(D27,database!$C$9:AB$13,ROW(database!$A$13)-ROW(database!$A$9)+1,FALSE)),HLOOKUP("zunknown",database!$C$9:AB$13,ROW(database!$A$13)-ROW(database!$A$9)+1,FALSE),HLOOKUP(D27,database!$C$9:AB$13,ROW(database!$A$13)-ROW(database!$A$9)+1,FALSE))))</f>
        <v/>
      </c>
      <c r="J27" s="32">
        <f>'DATA ENTRY'!$C$9</f>
        <v>0</v>
      </c>
      <c r="K27" s="32">
        <f>IF(J27="","",IF(J27=D27,0,IF(ISERROR(HLOOKUP(J27,database!$C$9:$AB$13,ROW(database!$A$13)-ROW(database!$A$9)+1,FALSE)),HLOOKUP("zunknown",database!$C$9:$AB$13,ROW(database!$A$13)-ROW(database!$A$9)+1,FALSE),HLOOKUP(J27,database!$C$9:$AB$13,ROW(database!$A$13)-ROW(database!$A$9)+1,FALSE))))</f>
        <v>28</v>
      </c>
      <c r="L27" s="32" t="str">
        <f>IF(AND(OR(G27="drove",G27="rode"),H27&lt;&gt;database!$AB$13,H27&lt;&gt;0),VLOOKUP(D27,database!$A$13:$AB$58,H27,FALSE),IF(H27=0,0,""))</f>
        <v/>
      </c>
      <c r="M27" s="32" t="str">
        <f>IF(AND(OR(G27="drove",G27="rode"),I27&lt;&gt;database!$AB$13,I27&lt;&gt;0),VLOOKUP(E27,database!$A$13:$AB$58,I27,FALSE),IF(I27=0,0,""))</f>
        <v/>
      </c>
      <c r="N27" s="32" t="str">
        <f>IF(AND(OR(G27="drove",G27="rode"),I27&lt;&gt;database!$AB$13,I27&lt;&gt;0),VLOOKUP(E27,database!$A$13:$AB$58,I27,FALSE),IF(I27=0,0,""))</f>
        <v/>
      </c>
      <c r="O27" s="33" t="str">
        <f>IF(AND(OR(G27="drove",G27="rode"),K27&lt;&gt;database!$AB$13,K27&lt;&gt;0),VLOOKUP(D27,database!$A$13:$AB$58,K27,FALSE),IF(K27=0,0,""))</f>
        <v/>
      </c>
      <c r="P27" s="33" t="str">
        <f t="shared" si="4"/>
        <v/>
      </c>
      <c r="Q27" s="33" t="str">
        <f t="shared" si="0"/>
        <v/>
      </c>
      <c r="R27" s="33" t="str">
        <f>IF(ISERROR(P27),IF(ISNUMBER('DATA ENTRY'!Q30),'DATA ENTRY'!Q30,""),IF(OR(ISNUMBER(P27),P27=""),P27,""))</f>
        <v/>
      </c>
      <c r="S27" s="38" t="str">
        <f>IF(ISERROR(Q27),IF(ISNUMBER('DATA ENTRY'!R30),'DATA ENTRY'!R30,""),IF(OR(ISNUMBER(Q27),Q27=""),Q27,""))</f>
        <v/>
      </c>
      <c r="T27" s="39">
        <f>IF(ISNUMBER(R27),R27*database!$C$4,0)</f>
        <v>0</v>
      </c>
      <c r="U27" s="40">
        <f>IF(ISNUMBER(S27),IF(S27&gt;database!$C$6,database!$C$5,0),0)</f>
        <v>0</v>
      </c>
      <c r="V27" s="33" t="str">
        <f t="shared" si="5"/>
        <v/>
      </c>
      <c r="W27" s="33" t="str">
        <f t="shared" si="6"/>
        <v/>
      </c>
      <c r="X27" s="33" t="str">
        <f t="shared" si="2"/>
        <v/>
      </c>
    </row>
    <row r="28" spans="1:24" ht="15" customHeight="1">
      <c r="A28" s="36">
        <f t="shared" si="3"/>
        <v>13</v>
      </c>
      <c r="B28" s="37" t="str">
        <f>IF(ISBLANK('DATA ENTRY'!B31),"",IF(ISNUMBER('DATA ENTRY'!B31),CONCATENATE(MONTH('DATA ENTRY'!B31),"/",DAY('DATA ENTRY'!B31),"/",RIGHT(YEAR('DATA ENTRY'!B31),2)),PROPER('DATA ENTRY'!B31)))</f>
        <v/>
      </c>
      <c r="C28" s="23" t="str">
        <f>IF(ISBLANK('DATA ENTRY'!C31),"",PROPER('DATA ENTRY'!C31))</f>
        <v/>
      </c>
      <c r="D28" s="23" t="str">
        <f>IF(ISBLANK('DATA ENTRY'!D31),"",PROPER('DATA ENTRY'!D31))</f>
        <v/>
      </c>
      <c r="E28" s="23" t="str">
        <f>IF(ISBLANK('DATA ENTRY'!E31),"",PROPER('DATA ENTRY'!E31))</f>
        <v/>
      </c>
      <c r="F28" s="23" t="str">
        <f>IF(ISBLANK('DATA ENTRY'!F31),"",PROPER('DATA ENTRY'!F31))</f>
        <v/>
      </c>
      <c r="G28" s="23" t="str">
        <f>IF(ISBLANK('DATA ENTRY'!G31),"",PROPER('DATA ENTRY'!G31))</f>
        <v/>
      </c>
      <c r="H28" s="32" t="str">
        <f>IF(C28="","",IF(C28=D28,0,IF(ISERROR(HLOOKUP(C28,database!$C$9:AB$13,ROW(database!$A$13)-ROW(database!$A$9)+1,FALSE)),HLOOKUP("zunknown",database!$C$9:AB$13,ROW(database!$A$13)-ROW(database!$A$9)+1,FALSE),HLOOKUP(C28,database!$C$9:AB$13,ROW(database!$A$13)-ROW(database!$A$9)+1,FALSE))))</f>
        <v/>
      </c>
      <c r="I28" s="32" t="str">
        <f>IF(D28="","",IF(D28=E28,0,IF(ISERROR(HLOOKUP(D28,database!$C$9:AB$13,ROW(database!$A$13)-ROW(database!$A$9)+1,FALSE)),HLOOKUP("zunknown",database!$C$9:AB$13,ROW(database!$A$13)-ROW(database!$A$9)+1,FALSE),HLOOKUP(D28,database!$C$9:AB$13,ROW(database!$A$13)-ROW(database!$A$9)+1,FALSE))))</f>
        <v/>
      </c>
      <c r="J28" s="32">
        <f>'DATA ENTRY'!$C$9</f>
        <v>0</v>
      </c>
      <c r="K28" s="32">
        <f>IF(J28="","",IF(J28=D28,0,IF(ISERROR(HLOOKUP(J28,database!$C$9:$AB$13,ROW(database!$A$13)-ROW(database!$A$9)+1,FALSE)),HLOOKUP("zunknown",database!$C$9:$AB$13,ROW(database!$A$13)-ROW(database!$A$9)+1,FALSE),HLOOKUP(J28,database!$C$9:$AB$13,ROW(database!$A$13)-ROW(database!$A$9)+1,FALSE))))</f>
        <v>28</v>
      </c>
      <c r="L28" s="32" t="str">
        <f>IF(AND(OR(G28="drove",G28="rode"),H28&lt;&gt;database!$AB$13,H28&lt;&gt;0),VLOOKUP(D28,database!$A$13:$AB$58,H28,FALSE),IF(H28=0,0,""))</f>
        <v/>
      </c>
      <c r="M28" s="32" t="str">
        <f>IF(AND(OR(G28="drove",G28="rode"),I28&lt;&gt;database!$AB$13,I28&lt;&gt;0),VLOOKUP(E28,database!$A$13:$AB$58,I28,FALSE),IF(I28=0,0,""))</f>
        <v/>
      </c>
      <c r="N28" s="32" t="str">
        <f>IF(AND(OR(G28="drove",G28="rode"),I28&lt;&gt;database!$AB$13,I28&lt;&gt;0),VLOOKUP(E28,database!$A$13:$AB$58,I28,FALSE),IF(I28=0,0,""))</f>
        <v/>
      </c>
      <c r="O28" s="33" t="str">
        <f>IF(AND(OR(G28="drove",G28="rode"),K28&lt;&gt;database!$AB$13,K28&lt;&gt;0),VLOOKUP(D28,database!$A$13:$AB$58,K28,FALSE),IF(K28=0,0,""))</f>
        <v/>
      </c>
      <c r="P28" s="33" t="str">
        <f t="shared" si="4"/>
        <v/>
      </c>
      <c r="Q28" s="33" t="str">
        <f t="shared" si="0"/>
        <v/>
      </c>
      <c r="R28" s="33" t="str">
        <f>IF(ISERROR(P28),IF(ISNUMBER('DATA ENTRY'!Q31),'DATA ENTRY'!Q31,""),IF(OR(ISNUMBER(P28),P28=""),P28,""))</f>
        <v/>
      </c>
      <c r="S28" s="38" t="str">
        <f>IF(ISERROR(Q28),IF(ISNUMBER('DATA ENTRY'!R31),'DATA ENTRY'!R31,""),IF(OR(ISNUMBER(Q28),Q28=""),Q28,""))</f>
        <v/>
      </c>
      <c r="T28" s="39">
        <f>IF(ISNUMBER(R28),R28*database!$C$4,0)</f>
        <v>0</v>
      </c>
      <c r="U28" s="40">
        <f>IF(ISNUMBER(S28),IF(S28&gt;database!$C$6,database!$C$5,0),0)</f>
        <v>0</v>
      </c>
      <c r="V28" s="33" t="str">
        <f t="shared" si="5"/>
        <v/>
      </c>
      <c r="W28" s="33" t="str">
        <f t="shared" si="6"/>
        <v/>
      </c>
      <c r="X28" s="33" t="str">
        <f t="shared" si="2"/>
        <v/>
      </c>
    </row>
    <row r="29" spans="1:24" ht="15" customHeight="1">
      <c r="A29" s="36">
        <f t="shared" si="3"/>
        <v>14</v>
      </c>
      <c r="B29" s="37" t="str">
        <f>IF(ISBLANK('DATA ENTRY'!B32),"",IF(ISNUMBER('DATA ENTRY'!B32),CONCATENATE(MONTH('DATA ENTRY'!B32),"/",DAY('DATA ENTRY'!B32),"/",RIGHT(YEAR('DATA ENTRY'!B32),2)),PROPER('DATA ENTRY'!B32)))</f>
        <v/>
      </c>
      <c r="C29" s="23" t="str">
        <f>IF(ISBLANK('DATA ENTRY'!C32),"",PROPER('DATA ENTRY'!C32))</f>
        <v/>
      </c>
      <c r="D29" s="23" t="str">
        <f>IF(ISBLANK('DATA ENTRY'!D32),"",PROPER('DATA ENTRY'!D32))</f>
        <v/>
      </c>
      <c r="E29" s="23" t="str">
        <f>IF(ISBLANK('DATA ENTRY'!E32),"",PROPER('DATA ENTRY'!E32))</f>
        <v/>
      </c>
      <c r="F29" s="23" t="str">
        <f>IF(ISBLANK('DATA ENTRY'!F32),"",PROPER('DATA ENTRY'!F32))</f>
        <v/>
      </c>
      <c r="G29" s="23" t="str">
        <f>IF(ISBLANK('DATA ENTRY'!G32),"",PROPER('DATA ENTRY'!G32))</f>
        <v/>
      </c>
      <c r="H29" s="32" t="str">
        <f>IF(C29="","",IF(C29=D29,0,IF(ISERROR(HLOOKUP(C29,database!$C$9:AB$13,ROW(database!$A$13)-ROW(database!$A$9)+1,FALSE)),HLOOKUP("zunknown",database!$C$9:AB$13,ROW(database!$A$13)-ROW(database!$A$9)+1,FALSE),HLOOKUP(C29,database!$C$9:AB$13,ROW(database!$A$13)-ROW(database!$A$9)+1,FALSE))))</f>
        <v/>
      </c>
      <c r="I29" s="32" t="str">
        <f>IF(D29="","",IF(D29=E29,0,IF(ISERROR(HLOOKUP(D29,database!$C$9:AB$13,ROW(database!$A$13)-ROW(database!$A$9)+1,FALSE)),HLOOKUP("zunknown",database!$C$9:AB$13,ROW(database!$A$13)-ROW(database!$A$9)+1,FALSE),HLOOKUP(D29,database!$C$9:AB$13,ROW(database!$A$13)-ROW(database!$A$9)+1,FALSE))))</f>
        <v/>
      </c>
      <c r="J29" s="32">
        <f>'DATA ENTRY'!$C$9</f>
        <v>0</v>
      </c>
      <c r="K29" s="32">
        <f>IF(J29="","",IF(J29=D29,0,IF(ISERROR(HLOOKUP(J29,database!$C$9:$AB$13,ROW(database!$A$13)-ROW(database!$A$9)+1,FALSE)),HLOOKUP("zunknown",database!$C$9:$AB$13,ROW(database!$A$13)-ROW(database!$A$9)+1,FALSE),HLOOKUP(J29,database!$C$9:$AB$13,ROW(database!$A$13)-ROW(database!$A$9)+1,FALSE))))</f>
        <v>28</v>
      </c>
      <c r="L29" s="32" t="str">
        <f>IF(AND(OR(G29="drove",G29="rode"),H29&lt;&gt;database!$AB$13,H29&lt;&gt;0),VLOOKUP(D29,database!$A$13:$AB$58,H29,FALSE),IF(H29=0,0,""))</f>
        <v/>
      </c>
      <c r="M29" s="32" t="str">
        <f>IF(AND(OR(G29="drove",G29="rode"),I29&lt;&gt;database!$AB$13,I29&lt;&gt;0),VLOOKUP(E29,database!$A$13:$AB$58,I29,FALSE),IF(I29=0,0,""))</f>
        <v/>
      </c>
      <c r="N29" s="32" t="str">
        <f>IF(AND(OR(G29="drove",G29="rode"),I29&lt;&gt;database!$AB$13,I29&lt;&gt;0),VLOOKUP(E29,database!$A$13:$AB$58,I29,FALSE),IF(I29=0,0,""))</f>
        <v/>
      </c>
      <c r="O29" s="33" t="str">
        <f>IF(AND(OR(G29="drove",G29="rode"),K29&lt;&gt;database!$AB$13,K29&lt;&gt;0),VLOOKUP(D29,database!$A$13:$AB$58,K29,FALSE),IF(K29=0,0,""))</f>
        <v/>
      </c>
      <c r="P29" s="33" t="str">
        <f t="shared" si="4"/>
        <v/>
      </c>
      <c r="Q29" s="33" t="str">
        <f t="shared" si="0"/>
        <v/>
      </c>
      <c r="R29" s="33" t="str">
        <f>IF(ISERROR(P29),IF(ISNUMBER('DATA ENTRY'!Q32),'DATA ENTRY'!Q32,""),IF(OR(ISNUMBER(P29),P29=""),P29,""))</f>
        <v/>
      </c>
      <c r="S29" s="38" t="str">
        <f>IF(ISERROR(Q29),IF(ISNUMBER('DATA ENTRY'!R32),'DATA ENTRY'!R32,""),IF(OR(ISNUMBER(Q29),Q29=""),Q29,""))</f>
        <v/>
      </c>
      <c r="T29" s="39">
        <f>IF(ISNUMBER(R29),R29*database!$C$4,0)</f>
        <v>0</v>
      </c>
      <c r="U29" s="40">
        <f>IF(ISNUMBER(S29),IF(S29&gt;database!$C$6,database!$C$5,0),0)</f>
        <v>0</v>
      </c>
      <c r="V29" s="33" t="str">
        <f t="shared" si="5"/>
        <v/>
      </c>
      <c r="W29" s="33" t="str">
        <f t="shared" si="6"/>
        <v/>
      </c>
      <c r="X29" s="33" t="str">
        <f t="shared" si="2"/>
        <v/>
      </c>
    </row>
    <row r="30" spans="1:24" ht="15" customHeight="1">
      <c r="A30" s="36">
        <f t="shared" si="3"/>
        <v>15</v>
      </c>
      <c r="B30" s="37" t="str">
        <f>IF(ISBLANK('DATA ENTRY'!B33),"",IF(ISNUMBER('DATA ENTRY'!B33),CONCATENATE(MONTH('DATA ENTRY'!B33),"/",DAY('DATA ENTRY'!B33),"/",RIGHT(YEAR('DATA ENTRY'!B33),2)),PROPER('DATA ENTRY'!B33)))</f>
        <v/>
      </c>
      <c r="C30" s="23" t="str">
        <f>IF(ISBLANK('DATA ENTRY'!C33),"",PROPER('DATA ENTRY'!C33))</f>
        <v/>
      </c>
      <c r="D30" s="23" t="str">
        <f>IF(ISBLANK('DATA ENTRY'!D33),"",PROPER('DATA ENTRY'!D33))</f>
        <v/>
      </c>
      <c r="E30" s="23" t="str">
        <f>IF(ISBLANK('DATA ENTRY'!E33),"",PROPER('DATA ENTRY'!E33))</f>
        <v/>
      </c>
      <c r="F30" s="23" t="str">
        <f>IF(ISBLANK('DATA ENTRY'!F33),"",PROPER('DATA ENTRY'!F33))</f>
        <v/>
      </c>
      <c r="G30" s="23" t="str">
        <f>IF(ISBLANK('DATA ENTRY'!G33),"",PROPER('DATA ENTRY'!G33))</f>
        <v/>
      </c>
      <c r="H30" s="32" t="str">
        <f>IF(C30="","",IF(C30=D30,0,IF(ISERROR(HLOOKUP(C30,database!$C$9:AB$13,ROW(database!$A$13)-ROW(database!$A$9)+1,FALSE)),HLOOKUP("zunknown",database!$C$9:AB$13,ROW(database!$A$13)-ROW(database!$A$9)+1,FALSE),HLOOKUP(C30,database!$C$9:AB$13,ROW(database!$A$13)-ROW(database!$A$9)+1,FALSE))))</f>
        <v/>
      </c>
      <c r="I30" s="32" t="str">
        <f>IF(D30="","",IF(D30=E30,0,IF(ISERROR(HLOOKUP(D30,database!$C$9:AB$13,ROW(database!$A$13)-ROW(database!$A$9)+1,FALSE)),HLOOKUP("zunknown",database!$C$9:AB$13,ROW(database!$A$13)-ROW(database!$A$9)+1,FALSE),HLOOKUP(D30,database!$C$9:AB$13,ROW(database!$A$13)-ROW(database!$A$9)+1,FALSE))))</f>
        <v/>
      </c>
      <c r="J30" s="32">
        <f>'DATA ENTRY'!$C$9</f>
        <v>0</v>
      </c>
      <c r="K30" s="32">
        <f>IF(J30="","",IF(J30=D30,0,IF(ISERROR(HLOOKUP(J30,database!$C$9:$AB$13,ROW(database!$A$13)-ROW(database!$A$9)+1,FALSE)),HLOOKUP("zunknown",database!$C$9:$AB$13,ROW(database!$A$13)-ROW(database!$A$9)+1,FALSE),HLOOKUP(J30,database!$C$9:$AB$13,ROW(database!$A$13)-ROW(database!$A$9)+1,FALSE))))</f>
        <v>28</v>
      </c>
      <c r="L30" s="32" t="str">
        <f>IF(AND(OR(G30="drove",G30="rode"),H30&lt;&gt;database!$AB$13,H30&lt;&gt;0),VLOOKUP(D30,database!$A$13:$AB$58,H30,FALSE),IF(H30=0,0,""))</f>
        <v/>
      </c>
      <c r="M30" s="32" t="str">
        <f>IF(AND(OR(G30="drove",G30="rode"),I30&lt;&gt;database!$AB$13,I30&lt;&gt;0),VLOOKUP(E30,database!$A$13:$AB$58,I30,FALSE),IF(I30=0,0,""))</f>
        <v/>
      </c>
      <c r="N30" s="32" t="str">
        <f>IF(AND(OR(G30="drove",G30="rode"),I30&lt;&gt;database!$AB$13,I30&lt;&gt;0),VLOOKUP(E30,database!$A$13:$AB$58,I30,FALSE),IF(I30=0,0,""))</f>
        <v/>
      </c>
      <c r="O30" s="33" t="str">
        <f>IF(AND(OR(G30="drove",G30="rode"),K30&lt;&gt;database!$AB$13,K30&lt;&gt;0),VLOOKUP(D30,database!$A$13:$AB$58,K30,FALSE),IF(K30=0,0,""))</f>
        <v/>
      </c>
      <c r="P30" s="33" t="str">
        <f t="shared" si="4"/>
        <v/>
      </c>
      <c r="Q30" s="33" t="str">
        <f t="shared" si="0"/>
        <v/>
      </c>
      <c r="R30" s="33" t="str">
        <f>IF(ISERROR(P30),IF(ISNUMBER('DATA ENTRY'!Q33),'DATA ENTRY'!Q33,""),IF(OR(ISNUMBER(P30),P30=""),P30,""))</f>
        <v/>
      </c>
      <c r="S30" s="38" t="str">
        <f>IF(ISERROR(Q30),IF(ISNUMBER('DATA ENTRY'!R33),'DATA ENTRY'!R33,""),IF(OR(ISNUMBER(Q30),Q30=""),Q30,""))</f>
        <v/>
      </c>
      <c r="T30" s="39">
        <f>IF(ISNUMBER(R30),R30*database!$C$4,0)</f>
        <v>0</v>
      </c>
      <c r="U30" s="40">
        <f>IF(ISNUMBER(S30),IF(S30&gt;database!$C$6,database!$C$5,0),0)</f>
        <v>0</v>
      </c>
      <c r="V30" s="33" t="str">
        <f t="shared" si="5"/>
        <v/>
      </c>
      <c r="W30" s="33" t="str">
        <f t="shared" si="6"/>
        <v/>
      </c>
      <c r="X30" s="33" t="str">
        <f t="shared" si="2"/>
        <v/>
      </c>
    </row>
    <row r="31" spans="1:24" ht="15" customHeight="1">
      <c r="A31" s="36">
        <f t="shared" si="3"/>
        <v>16</v>
      </c>
      <c r="B31" s="37" t="str">
        <f>IF(ISBLANK('DATA ENTRY'!B34),"",IF(ISNUMBER('DATA ENTRY'!B34),CONCATENATE(MONTH('DATA ENTRY'!B34),"/",DAY('DATA ENTRY'!B34),"/",RIGHT(YEAR('DATA ENTRY'!B34),2)),PROPER('DATA ENTRY'!B34)))</f>
        <v/>
      </c>
      <c r="C31" s="23" t="str">
        <f>IF(ISBLANK('DATA ENTRY'!C34),"",PROPER('DATA ENTRY'!C34))</f>
        <v/>
      </c>
      <c r="D31" s="23" t="str">
        <f>IF(ISBLANK('DATA ENTRY'!D34),"",PROPER('DATA ENTRY'!D34))</f>
        <v/>
      </c>
      <c r="E31" s="23" t="str">
        <f>IF(ISBLANK('DATA ENTRY'!E34),"",PROPER('DATA ENTRY'!E34))</f>
        <v/>
      </c>
      <c r="F31" s="23" t="str">
        <f>IF(ISBLANK('DATA ENTRY'!F34),"",PROPER('DATA ENTRY'!F34))</f>
        <v/>
      </c>
      <c r="G31" s="23" t="str">
        <f>IF(ISBLANK('DATA ENTRY'!G34),"",PROPER('DATA ENTRY'!G34))</f>
        <v/>
      </c>
      <c r="H31" s="32" t="str">
        <f>IF(C31="","",IF(C31=D31,0,IF(ISERROR(HLOOKUP(C31,database!$C$9:AB$13,ROW(database!$A$13)-ROW(database!$A$9)+1,FALSE)),HLOOKUP("zunknown",database!$C$9:AB$13,ROW(database!$A$13)-ROW(database!$A$9)+1,FALSE),HLOOKUP(C31,database!$C$9:AB$13,ROW(database!$A$13)-ROW(database!$A$9)+1,FALSE))))</f>
        <v/>
      </c>
      <c r="I31" s="32" t="str">
        <f>IF(D31="","",IF(D31=E31,0,IF(ISERROR(HLOOKUP(D31,database!$C$9:AB$13,ROW(database!$A$13)-ROW(database!$A$9)+1,FALSE)),HLOOKUP("zunknown",database!$C$9:AB$13,ROW(database!$A$13)-ROW(database!$A$9)+1,FALSE),HLOOKUP(D31,database!$C$9:AB$13,ROW(database!$A$13)-ROW(database!$A$9)+1,FALSE))))</f>
        <v/>
      </c>
      <c r="J31" s="32">
        <f>'DATA ENTRY'!$C$9</f>
        <v>0</v>
      </c>
      <c r="K31" s="32">
        <f>IF(J31="","",IF(J31=D31,0,IF(ISERROR(HLOOKUP(J31,database!$C$9:$AB$13,ROW(database!$A$13)-ROW(database!$A$9)+1,FALSE)),HLOOKUP("zunknown",database!$C$9:$AB$13,ROW(database!$A$13)-ROW(database!$A$9)+1,FALSE),HLOOKUP(J31,database!$C$9:$AB$13,ROW(database!$A$13)-ROW(database!$A$9)+1,FALSE))))</f>
        <v>28</v>
      </c>
      <c r="L31" s="32" t="str">
        <f>IF(AND(OR(G31="drove",G31="rode"),H31&lt;&gt;database!$AB$13,H31&lt;&gt;0),VLOOKUP(D31,database!$A$13:$AB$58,H31,FALSE),IF(H31=0,0,""))</f>
        <v/>
      </c>
      <c r="M31" s="32" t="str">
        <f>IF(AND(OR(G31="drove",G31="rode"),I31&lt;&gt;database!$AB$13,I31&lt;&gt;0),VLOOKUP(E31,database!$A$13:$AB$58,I31,FALSE),IF(I31=0,0,""))</f>
        <v/>
      </c>
      <c r="N31" s="32" t="str">
        <f>IF(AND(OR(G31="drove",G31="rode"),I31&lt;&gt;database!$AB$13,I31&lt;&gt;0),VLOOKUP(E31,database!$A$13:$AB$58,I31,FALSE),IF(I31=0,0,""))</f>
        <v/>
      </c>
      <c r="O31" s="33" t="str">
        <f>IF(AND(OR(G31="drove",G31="rode"),K31&lt;&gt;database!$AB$13,K31&lt;&gt;0),VLOOKUP(D31,database!$A$13:$AB$58,K31,FALSE),IF(K31=0,0,""))</f>
        <v/>
      </c>
      <c r="P31" s="33" t="str">
        <f t="shared" si="4"/>
        <v/>
      </c>
      <c r="Q31" s="33" t="str">
        <f t="shared" si="0"/>
        <v/>
      </c>
      <c r="R31" s="33" t="str">
        <f>IF(ISERROR(P31),IF(ISNUMBER('DATA ENTRY'!Q34),'DATA ENTRY'!Q34,""),IF(OR(ISNUMBER(P31),P31=""),P31,""))</f>
        <v/>
      </c>
      <c r="S31" s="38" t="str">
        <f>IF(ISERROR(Q31),IF(ISNUMBER('DATA ENTRY'!R34),'DATA ENTRY'!R34,""),IF(OR(ISNUMBER(Q31),Q31=""),Q31,""))</f>
        <v/>
      </c>
      <c r="T31" s="39">
        <f>IF(ISNUMBER(R31),R31*database!$C$4,0)</f>
        <v>0</v>
      </c>
      <c r="U31" s="40">
        <f>IF(ISNUMBER(S31),IF(S31&gt;database!$C$6,database!$C$5,0),0)</f>
        <v>0</v>
      </c>
      <c r="V31" s="33" t="str">
        <f t="shared" si="5"/>
        <v/>
      </c>
      <c r="W31" s="33" t="str">
        <f t="shared" si="6"/>
        <v/>
      </c>
      <c r="X31" s="33" t="str">
        <f t="shared" si="2"/>
        <v/>
      </c>
    </row>
    <row r="32" spans="1:24" ht="15" customHeight="1">
      <c r="A32" s="36">
        <f t="shared" si="3"/>
        <v>17</v>
      </c>
      <c r="B32" s="37" t="str">
        <f>IF(ISBLANK('DATA ENTRY'!B35),"",IF(ISNUMBER('DATA ENTRY'!B35),CONCATENATE(MONTH('DATA ENTRY'!B35),"/",DAY('DATA ENTRY'!B35),"/",RIGHT(YEAR('DATA ENTRY'!B35),2)),PROPER('DATA ENTRY'!B35)))</f>
        <v/>
      </c>
      <c r="C32" s="23" t="str">
        <f>IF(ISBLANK('DATA ENTRY'!C35),"",PROPER('DATA ENTRY'!C35))</f>
        <v/>
      </c>
      <c r="D32" s="23" t="str">
        <f>IF(ISBLANK('DATA ENTRY'!D35),"",PROPER('DATA ENTRY'!D35))</f>
        <v/>
      </c>
      <c r="E32" s="23" t="str">
        <f>IF(ISBLANK('DATA ENTRY'!E35),"",PROPER('DATA ENTRY'!E35))</f>
        <v/>
      </c>
      <c r="F32" s="23" t="str">
        <f>IF(ISBLANK('DATA ENTRY'!F35),"",PROPER('DATA ENTRY'!F35))</f>
        <v/>
      </c>
      <c r="G32" s="23" t="str">
        <f>IF(ISBLANK('DATA ENTRY'!G35),"",PROPER('DATA ENTRY'!G35))</f>
        <v/>
      </c>
      <c r="H32" s="32" t="str">
        <f>IF(C32="","",IF(C32=D32,0,IF(ISERROR(HLOOKUP(C32,database!$C$9:AB$13,ROW(database!$A$13)-ROW(database!$A$9)+1,FALSE)),HLOOKUP("zunknown",database!$C$9:AB$13,ROW(database!$A$13)-ROW(database!$A$9)+1,FALSE),HLOOKUP(C32,database!$C$9:AB$13,ROW(database!$A$13)-ROW(database!$A$9)+1,FALSE))))</f>
        <v/>
      </c>
      <c r="I32" s="32" t="str">
        <f>IF(D32="","",IF(D32=E32,0,IF(ISERROR(HLOOKUP(D32,database!$C$9:AB$13,ROW(database!$A$13)-ROW(database!$A$9)+1,FALSE)),HLOOKUP("zunknown",database!$C$9:AB$13,ROW(database!$A$13)-ROW(database!$A$9)+1,FALSE),HLOOKUP(D32,database!$C$9:AB$13,ROW(database!$A$13)-ROW(database!$A$9)+1,FALSE))))</f>
        <v/>
      </c>
      <c r="J32" s="32">
        <f>'DATA ENTRY'!$C$9</f>
        <v>0</v>
      </c>
      <c r="K32" s="32">
        <f>IF(J32="","",IF(J32=D32,0,IF(ISERROR(HLOOKUP(J32,database!$C$9:$AB$13,ROW(database!$A$13)-ROW(database!$A$9)+1,FALSE)),HLOOKUP("zunknown",database!$C$9:$AB$13,ROW(database!$A$13)-ROW(database!$A$9)+1,FALSE),HLOOKUP(J32,database!$C$9:$AB$13,ROW(database!$A$13)-ROW(database!$A$9)+1,FALSE))))</f>
        <v>28</v>
      </c>
      <c r="L32" s="32" t="str">
        <f>IF(AND(OR(G32="drove",G32="rode"),H32&lt;&gt;database!$AB$13,H32&lt;&gt;0),VLOOKUP(D32,database!$A$13:$AB$58,H32,FALSE),IF(H32=0,0,""))</f>
        <v/>
      </c>
      <c r="M32" s="32" t="str">
        <f>IF(AND(OR(G32="drove",G32="rode"),I32&lt;&gt;database!$AB$13,I32&lt;&gt;0),VLOOKUP(E32,database!$A$13:$AB$58,I32,FALSE),IF(I32=0,0,""))</f>
        <v/>
      </c>
      <c r="N32" s="32" t="str">
        <f>IF(AND(OR(G32="drove",G32="rode"),I32&lt;&gt;database!$AB$13,I32&lt;&gt;0),VLOOKUP(E32,database!$A$13:$AB$58,I32,FALSE),IF(I32=0,0,""))</f>
        <v/>
      </c>
      <c r="O32" s="33" t="str">
        <f>IF(AND(OR(G32="drove",G32="rode"),K32&lt;&gt;database!$AB$13,K32&lt;&gt;0),VLOOKUP(D32,database!$A$13:$AB$58,K32,FALSE),IF(K32=0,0,""))</f>
        <v/>
      </c>
      <c r="P32" s="33" t="str">
        <f t="shared" si="4"/>
        <v/>
      </c>
      <c r="Q32" s="33" t="str">
        <f t="shared" si="0"/>
        <v/>
      </c>
      <c r="R32" s="33" t="str">
        <f>IF(ISERROR(P32),IF(ISNUMBER('DATA ENTRY'!Q35),'DATA ENTRY'!Q35,""),IF(OR(ISNUMBER(P32),P32=""),P32,""))</f>
        <v/>
      </c>
      <c r="S32" s="38" t="str">
        <f>IF(ISERROR(Q32),IF(ISNUMBER('DATA ENTRY'!R35),'DATA ENTRY'!R35,""),IF(OR(ISNUMBER(Q32),Q32=""),Q32,""))</f>
        <v/>
      </c>
      <c r="T32" s="39">
        <f>IF(ISNUMBER(R32),R32*database!$C$4,0)</f>
        <v>0</v>
      </c>
      <c r="U32" s="40">
        <f>IF(ISNUMBER(S32),IF(S32&gt;database!$C$6,database!$C$5,0),0)</f>
        <v>0</v>
      </c>
      <c r="V32" s="33" t="str">
        <f t="shared" si="5"/>
        <v/>
      </c>
      <c r="W32" s="33" t="str">
        <f t="shared" si="6"/>
        <v/>
      </c>
      <c r="X32" s="33" t="str">
        <f t="shared" si="2"/>
        <v/>
      </c>
    </row>
    <row r="33" spans="1:24" ht="15" customHeight="1">
      <c r="A33" s="36">
        <f t="shared" si="3"/>
        <v>18</v>
      </c>
      <c r="B33" s="37" t="str">
        <f>IF(ISBLANK('DATA ENTRY'!B36),"",IF(ISNUMBER('DATA ENTRY'!B36),CONCATENATE(MONTH('DATA ENTRY'!B36),"/",DAY('DATA ENTRY'!B36),"/",RIGHT(YEAR('DATA ENTRY'!B36),2)),PROPER('DATA ENTRY'!B36)))</f>
        <v/>
      </c>
      <c r="C33" s="23" t="str">
        <f>IF(ISBLANK('DATA ENTRY'!C36),"",PROPER('DATA ENTRY'!C36))</f>
        <v/>
      </c>
      <c r="D33" s="23" t="str">
        <f>IF(ISBLANK('DATA ENTRY'!D36),"",PROPER('DATA ENTRY'!D36))</f>
        <v/>
      </c>
      <c r="E33" s="23" t="str">
        <f>IF(ISBLANK('DATA ENTRY'!E36),"",PROPER('DATA ENTRY'!E36))</f>
        <v/>
      </c>
      <c r="F33" s="23" t="str">
        <f>IF(ISBLANK('DATA ENTRY'!F36),"",PROPER('DATA ENTRY'!F36))</f>
        <v/>
      </c>
      <c r="G33" s="23" t="str">
        <f>IF(ISBLANK('DATA ENTRY'!G36),"",PROPER('DATA ENTRY'!G36))</f>
        <v/>
      </c>
      <c r="H33" s="32" t="str">
        <f>IF(C33="","",IF(C33=D33,0,IF(ISERROR(HLOOKUP(C33,database!$C$9:AB$13,ROW(database!$A$13)-ROW(database!$A$9)+1,FALSE)),HLOOKUP("zunknown",database!$C$9:AB$13,ROW(database!$A$13)-ROW(database!$A$9)+1,FALSE),HLOOKUP(C33,database!$C$9:AB$13,ROW(database!$A$13)-ROW(database!$A$9)+1,FALSE))))</f>
        <v/>
      </c>
      <c r="I33" s="32" t="str">
        <f>IF(D33="","",IF(D33=E33,0,IF(ISERROR(HLOOKUP(D33,database!$C$9:AB$13,ROW(database!$A$13)-ROW(database!$A$9)+1,FALSE)),HLOOKUP("zunknown",database!$C$9:AB$13,ROW(database!$A$13)-ROW(database!$A$9)+1,FALSE),HLOOKUP(D33,database!$C$9:AB$13,ROW(database!$A$13)-ROW(database!$A$9)+1,FALSE))))</f>
        <v/>
      </c>
      <c r="J33" s="32">
        <f>'DATA ENTRY'!$C$9</f>
        <v>0</v>
      </c>
      <c r="K33" s="32">
        <f>IF(J33="","",IF(J33=D33,0,IF(ISERROR(HLOOKUP(J33,database!$C$9:$AB$13,ROW(database!$A$13)-ROW(database!$A$9)+1,FALSE)),HLOOKUP("zunknown",database!$C$9:$AB$13,ROW(database!$A$13)-ROW(database!$A$9)+1,FALSE),HLOOKUP(J33,database!$C$9:$AB$13,ROW(database!$A$13)-ROW(database!$A$9)+1,FALSE))))</f>
        <v>28</v>
      </c>
      <c r="L33" s="32" t="str">
        <f>IF(AND(OR(G33="drove",G33="rode"),H33&lt;&gt;database!$AB$13,H33&lt;&gt;0),VLOOKUP(D33,database!$A$13:$AB$58,H33,FALSE),IF(H33=0,0,""))</f>
        <v/>
      </c>
      <c r="M33" s="32" t="str">
        <f>IF(AND(OR(G33="drove",G33="rode"),I33&lt;&gt;database!$AB$13,I33&lt;&gt;0),VLOOKUP(E33,database!$A$13:$AB$58,I33,FALSE),IF(I33=0,0,""))</f>
        <v/>
      </c>
      <c r="N33" s="32" t="str">
        <f>IF(AND(OR(G33="drove",G33="rode"),I33&lt;&gt;database!$AB$13,I33&lt;&gt;0),VLOOKUP(E33,database!$A$13:$AB$58,I33,FALSE),IF(I33=0,0,""))</f>
        <v/>
      </c>
      <c r="O33" s="33" t="str">
        <f>IF(AND(OR(G33="drove",G33="rode"),K33&lt;&gt;database!$AB$13,K33&lt;&gt;0),VLOOKUP(D33,database!$A$13:$AB$58,K33,FALSE),IF(K33=0,0,""))</f>
        <v/>
      </c>
      <c r="P33" s="33" t="str">
        <f t="shared" si="4"/>
        <v/>
      </c>
      <c r="Q33" s="33" t="str">
        <f t="shared" si="0"/>
        <v/>
      </c>
      <c r="R33" s="33" t="str">
        <f>IF(ISERROR(P33),IF(ISNUMBER('DATA ENTRY'!Q36),'DATA ENTRY'!Q36,""),IF(OR(ISNUMBER(P33),P33=""),P33,""))</f>
        <v/>
      </c>
      <c r="S33" s="38" t="str">
        <f>IF(ISERROR(Q33),IF(ISNUMBER('DATA ENTRY'!R36),'DATA ENTRY'!R36,""),IF(OR(ISNUMBER(Q33),Q33=""),Q33,""))</f>
        <v/>
      </c>
      <c r="T33" s="39">
        <f>IF(ISNUMBER(R33),R33*database!$C$4,0)</f>
        <v>0</v>
      </c>
      <c r="U33" s="40">
        <f>IF(ISNUMBER(S33),IF(S33&gt;database!$C$6,database!$C$5,0),0)</f>
        <v>0</v>
      </c>
      <c r="V33" s="33" t="str">
        <f t="shared" si="5"/>
        <v/>
      </c>
      <c r="W33" s="33" t="str">
        <f t="shared" si="6"/>
        <v/>
      </c>
      <c r="X33" s="33" t="str">
        <f t="shared" si="2"/>
        <v/>
      </c>
    </row>
    <row r="34" spans="1:24" ht="15" customHeight="1">
      <c r="A34" s="36">
        <f t="shared" si="3"/>
        <v>19</v>
      </c>
      <c r="B34" s="37" t="str">
        <f>IF(ISBLANK('DATA ENTRY'!B37),"",IF(ISNUMBER('DATA ENTRY'!B37),CONCATENATE(MONTH('DATA ENTRY'!B37),"/",DAY('DATA ENTRY'!B37),"/",RIGHT(YEAR('DATA ENTRY'!B37),2)),PROPER('DATA ENTRY'!B37)))</f>
        <v/>
      </c>
      <c r="C34" s="23" t="str">
        <f>IF(ISBLANK('DATA ENTRY'!C37),"",PROPER('DATA ENTRY'!C37))</f>
        <v/>
      </c>
      <c r="D34" s="23" t="str">
        <f>IF(ISBLANK('DATA ENTRY'!D37),"",PROPER('DATA ENTRY'!D37))</f>
        <v/>
      </c>
      <c r="E34" s="23" t="str">
        <f>IF(ISBLANK('DATA ENTRY'!E37),"",PROPER('DATA ENTRY'!E37))</f>
        <v/>
      </c>
      <c r="F34" s="23" t="str">
        <f>IF(ISBLANK('DATA ENTRY'!F37),"",PROPER('DATA ENTRY'!F37))</f>
        <v/>
      </c>
      <c r="G34" s="23" t="str">
        <f>IF(ISBLANK('DATA ENTRY'!G37),"",PROPER('DATA ENTRY'!G37))</f>
        <v/>
      </c>
      <c r="H34" s="32" t="str">
        <f>IF(C34="","",IF(C34=D34,0,IF(ISERROR(HLOOKUP(C34,database!$C$9:AB$13,ROW(database!$A$13)-ROW(database!$A$9)+1,FALSE)),HLOOKUP("zunknown",database!$C$9:AB$13,ROW(database!$A$13)-ROW(database!$A$9)+1,FALSE),HLOOKUP(C34,database!$C$9:AB$13,ROW(database!$A$13)-ROW(database!$A$9)+1,FALSE))))</f>
        <v/>
      </c>
      <c r="I34" s="32" t="str">
        <f>IF(D34="","",IF(D34=E34,0,IF(ISERROR(HLOOKUP(D34,database!$C$9:AB$13,ROW(database!$A$13)-ROW(database!$A$9)+1,FALSE)),HLOOKUP("zunknown",database!$C$9:AB$13,ROW(database!$A$13)-ROW(database!$A$9)+1,FALSE),HLOOKUP(D34,database!$C$9:AB$13,ROW(database!$A$13)-ROW(database!$A$9)+1,FALSE))))</f>
        <v/>
      </c>
      <c r="J34" s="32">
        <f>'DATA ENTRY'!$C$9</f>
        <v>0</v>
      </c>
      <c r="K34" s="32">
        <f>IF(J34="","",IF(J34=D34,0,IF(ISERROR(HLOOKUP(J34,database!$C$9:$AB$13,ROW(database!$A$13)-ROW(database!$A$9)+1,FALSE)),HLOOKUP("zunknown",database!$C$9:$AB$13,ROW(database!$A$13)-ROW(database!$A$9)+1,FALSE),HLOOKUP(J34,database!$C$9:$AB$13,ROW(database!$A$13)-ROW(database!$A$9)+1,FALSE))))</f>
        <v>28</v>
      </c>
      <c r="L34" s="32" t="str">
        <f>IF(AND(OR(G34="drove",G34="rode"),H34&lt;&gt;database!$AB$13,H34&lt;&gt;0),VLOOKUP(D34,database!$A$13:$AB$58,H34,FALSE),IF(H34=0,0,""))</f>
        <v/>
      </c>
      <c r="M34" s="32" t="str">
        <f>IF(AND(OR(G34="drove",G34="rode"),I34&lt;&gt;database!$AB$13,I34&lt;&gt;0),VLOOKUP(E34,database!$A$13:$AB$58,I34,FALSE),IF(I34=0,0,""))</f>
        <v/>
      </c>
      <c r="N34" s="32" t="str">
        <f>IF(AND(OR(G34="drove",G34="rode"),I34&lt;&gt;database!$AB$13,I34&lt;&gt;0),VLOOKUP(E34,database!$A$13:$AB$58,I34,FALSE),IF(I34=0,0,""))</f>
        <v/>
      </c>
      <c r="O34" s="33" t="str">
        <f>IF(AND(OR(G34="drove",G34="rode"),K34&lt;&gt;database!$AB$13,K34&lt;&gt;0),VLOOKUP(D34,database!$A$13:$AB$58,K34,FALSE),IF(K34=0,0,""))</f>
        <v/>
      </c>
      <c r="P34" s="33" t="str">
        <f t="shared" si="4"/>
        <v/>
      </c>
      <c r="Q34" s="33" t="str">
        <f t="shared" si="0"/>
        <v/>
      </c>
      <c r="R34" s="33" t="str">
        <f>IF(ISERROR(P34),IF(ISNUMBER('DATA ENTRY'!Q37),'DATA ENTRY'!Q37,""),IF(OR(ISNUMBER(P34),P34=""),P34,""))</f>
        <v/>
      </c>
      <c r="S34" s="38" t="str">
        <f>IF(ISERROR(Q34),IF(ISNUMBER('DATA ENTRY'!R37),'DATA ENTRY'!R37,""),IF(OR(ISNUMBER(Q34),Q34=""),Q34,""))</f>
        <v/>
      </c>
      <c r="T34" s="39">
        <f>IF(ISNUMBER(R34),R34*database!$C$4,0)</f>
        <v>0</v>
      </c>
      <c r="U34" s="40">
        <f>IF(ISNUMBER(S34),IF(S34&gt;database!$C$6,database!$C$5,0),0)</f>
        <v>0</v>
      </c>
      <c r="V34" s="33" t="str">
        <f t="shared" si="5"/>
        <v/>
      </c>
      <c r="W34" s="33" t="str">
        <f t="shared" si="6"/>
        <v/>
      </c>
      <c r="X34" s="33" t="str">
        <f t="shared" si="2"/>
        <v/>
      </c>
    </row>
    <row r="35" spans="1:24" ht="15" customHeight="1">
      <c r="A35" s="36">
        <f t="shared" si="3"/>
        <v>20</v>
      </c>
      <c r="B35" s="37" t="str">
        <f>IF(ISBLANK('DATA ENTRY'!B38),"",IF(ISNUMBER('DATA ENTRY'!B38),CONCATENATE(MONTH('DATA ENTRY'!B38),"/",DAY('DATA ENTRY'!B38),"/",RIGHT(YEAR('DATA ENTRY'!B38),2)),PROPER('DATA ENTRY'!B38)))</f>
        <v/>
      </c>
      <c r="C35" s="23" t="str">
        <f>IF(ISBLANK('DATA ENTRY'!C38),"",PROPER('DATA ENTRY'!C38))</f>
        <v/>
      </c>
      <c r="D35" s="23" t="str">
        <f>IF(ISBLANK('DATA ENTRY'!D38),"",PROPER('DATA ENTRY'!D38))</f>
        <v/>
      </c>
      <c r="E35" s="23" t="str">
        <f>IF(ISBLANK('DATA ENTRY'!E38),"",PROPER('DATA ENTRY'!E38))</f>
        <v/>
      </c>
      <c r="F35" s="23" t="str">
        <f>IF(ISBLANK('DATA ENTRY'!F38),"",PROPER('DATA ENTRY'!F38))</f>
        <v/>
      </c>
      <c r="G35" s="23" t="str">
        <f>IF(ISBLANK('DATA ENTRY'!G38),"",PROPER('DATA ENTRY'!G38))</f>
        <v/>
      </c>
      <c r="H35" s="32" t="str">
        <f>IF(C35="","",IF(C35=D35,0,IF(ISERROR(HLOOKUP(C35,database!$C$9:AB$13,ROW(database!$A$13)-ROW(database!$A$9)+1,FALSE)),HLOOKUP("zunknown",database!$C$9:AB$13,ROW(database!$A$13)-ROW(database!$A$9)+1,FALSE),HLOOKUP(C35,database!$C$9:AB$13,ROW(database!$A$13)-ROW(database!$A$9)+1,FALSE))))</f>
        <v/>
      </c>
      <c r="I35" s="32" t="str">
        <f>IF(D35="","",IF(D35=E35,0,IF(ISERROR(HLOOKUP(D35,database!$C$9:AB$13,ROW(database!$A$13)-ROW(database!$A$9)+1,FALSE)),HLOOKUP("zunknown",database!$C$9:AB$13,ROW(database!$A$13)-ROW(database!$A$9)+1,FALSE),HLOOKUP(D35,database!$C$9:AB$13,ROW(database!$A$13)-ROW(database!$A$9)+1,FALSE))))</f>
        <v/>
      </c>
      <c r="J35" s="32">
        <f>'DATA ENTRY'!$C$9</f>
        <v>0</v>
      </c>
      <c r="K35" s="32">
        <f>IF(J35="","",IF(J35=D35,0,IF(ISERROR(HLOOKUP(J35,database!$C$9:$AB$13,ROW(database!$A$13)-ROW(database!$A$9)+1,FALSE)),HLOOKUP("zunknown",database!$C$9:$AB$13,ROW(database!$A$13)-ROW(database!$A$9)+1,FALSE),HLOOKUP(J35,database!$C$9:$AB$13,ROW(database!$A$13)-ROW(database!$A$9)+1,FALSE))))</f>
        <v>28</v>
      </c>
      <c r="L35" s="32" t="str">
        <f>IF(AND(OR(G35="drove",G35="rode"),H35&lt;&gt;database!$AB$13,H35&lt;&gt;0),VLOOKUP(D35,database!$A$13:$AB$58,H35,FALSE),IF(H35=0,0,""))</f>
        <v/>
      </c>
      <c r="M35" s="32" t="str">
        <f>IF(AND(OR(G35="drove",G35="rode"),I35&lt;&gt;database!$AB$13,I35&lt;&gt;0),VLOOKUP(E35,database!$A$13:$AB$58,I35,FALSE),IF(I35=0,0,""))</f>
        <v/>
      </c>
      <c r="N35" s="32" t="str">
        <f>IF(AND(OR(G35="drove",G35="rode"),I35&lt;&gt;database!$AB$13,I35&lt;&gt;0),VLOOKUP(E35,database!$A$13:$AB$58,I35,FALSE),IF(I35=0,0,""))</f>
        <v/>
      </c>
      <c r="O35" s="33" t="str">
        <f>IF(AND(OR(G35="drove",G35="rode"),K35&lt;&gt;database!$AB$13,K35&lt;&gt;0),VLOOKUP(D35,database!$A$13:$AB$58,K35,FALSE),IF(K35=0,0,""))</f>
        <v/>
      </c>
      <c r="P35" s="33" t="str">
        <f t="shared" si="4"/>
        <v/>
      </c>
      <c r="Q35" s="33" t="str">
        <f t="shared" si="0"/>
        <v/>
      </c>
      <c r="R35" s="33" t="str">
        <f>IF(ISERROR(P35),IF(ISNUMBER('DATA ENTRY'!Q38),'DATA ENTRY'!Q38,""),IF(OR(ISNUMBER(P35),P35=""),P35,""))</f>
        <v/>
      </c>
      <c r="S35" s="38" t="str">
        <f>IF(ISERROR(Q35),IF(ISNUMBER('DATA ENTRY'!R38),'DATA ENTRY'!R38,""),IF(OR(ISNUMBER(Q35),Q35=""),Q35,""))</f>
        <v/>
      </c>
      <c r="T35" s="39">
        <f>IF(ISNUMBER(R35),R35*database!$C$4,0)</f>
        <v>0</v>
      </c>
      <c r="U35" s="40">
        <f>IF(ISNUMBER(S35),IF(S35&gt;database!$C$6,database!$C$5,0),0)</f>
        <v>0</v>
      </c>
      <c r="V35" s="33" t="str">
        <f t="shared" si="5"/>
        <v/>
      </c>
      <c r="W35" s="33" t="str">
        <f t="shared" si="6"/>
        <v/>
      </c>
      <c r="X35" s="33" t="str">
        <f t="shared" si="2"/>
        <v/>
      </c>
    </row>
    <row r="36" spans="1:24" ht="15" customHeight="1">
      <c r="A36" s="36">
        <f t="shared" si="3"/>
        <v>21</v>
      </c>
      <c r="B36" s="37" t="str">
        <f>IF(ISBLANK('DATA ENTRY'!B39),"",IF(ISNUMBER('DATA ENTRY'!B39),CONCATENATE(MONTH('DATA ENTRY'!B39),"/",DAY('DATA ENTRY'!B39),"/",RIGHT(YEAR('DATA ENTRY'!B39),2)),PROPER('DATA ENTRY'!B39)))</f>
        <v/>
      </c>
      <c r="C36" s="23" t="str">
        <f>IF(ISBLANK('DATA ENTRY'!C39),"",PROPER('DATA ENTRY'!C39))</f>
        <v/>
      </c>
      <c r="D36" s="23" t="str">
        <f>IF(ISBLANK('DATA ENTRY'!D39),"",PROPER('DATA ENTRY'!D39))</f>
        <v/>
      </c>
      <c r="E36" s="23" t="str">
        <f>IF(ISBLANK('DATA ENTRY'!E39),"",PROPER('DATA ENTRY'!E39))</f>
        <v/>
      </c>
      <c r="F36" s="23" t="str">
        <f>IF(ISBLANK('DATA ENTRY'!F39),"",PROPER('DATA ENTRY'!F39))</f>
        <v/>
      </c>
      <c r="G36" s="23" t="str">
        <f>IF(ISBLANK('DATA ENTRY'!G39),"",PROPER('DATA ENTRY'!G39))</f>
        <v/>
      </c>
      <c r="H36" s="32" t="str">
        <f>IF(C36="","",IF(C36=D36,0,IF(ISERROR(HLOOKUP(C36,database!$C$9:AB$13,ROW(database!$A$13)-ROW(database!$A$9)+1,FALSE)),HLOOKUP("zunknown",database!$C$9:AB$13,ROW(database!$A$13)-ROW(database!$A$9)+1,FALSE),HLOOKUP(C36,database!$C$9:AB$13,ROW(database!$A$13)-ROW(database!$A$9)+1,FALSE))))</f>
        <v/>
      </c>
      <c r="I36" s="32" t="str">
        <f>IF(D36="","",IF(D36=E36,0,IF(ISERROR(HLOOKUP(D36,database!$C$9:AB$13,ROW(database!$A$13)-ROW(database!$A$9)+1,FALSE)),HLOOKUP("zunknown",database!$C$9:AB$13,ROW(database!$A$13)-ROW(database!$A$9)+1,FALSE),HLOOKUP(D36,database!$C$9:AB$13,ROW(database!$A$13)-ROW(database!$A$9)+1,FALSE))))</f>
        <v/>
      </c>
      <c r="J36" s="32">
        <f>'DATA ENTRY'!$C$9</f>
        <v>0</v>
      </c>
      <c r="K36" s="32">
        <f>IF(J36="","",IF(J36=D36,0,IF(ISERROR(HLOOKUP(J36,database!$C$9:$AB$13,ROW(database!$A$13)-ROW(database!$A$9)+1,FALSE)),HLOOKUP("zunknown",database!$C$9:$AB$13,ROW(database!$A$13)-ROW(database!$A$9)+1,FALSE),HLOOKUP(J36,database!$C$9:$AB$13,ROW(database!$A$13)-ROW(database!$A$9)+1,FALSE))))</f>
        <v>28</v>
      </c>
      <c r="L36" s="32" t="str">
        <f>IF(AND(OR(G36="drove",G36="rode"),H36&lt;&gt;database!$AB$13,H36&lt;&gt;0),VLOOKUP(D36,database!$A$13:$AB$58,H36,FALSE),IF(H36=0,0,""))</f>
        <v/>
      </c>
      <c r="M36" s="32" t="str">
        <f>IF(AND(OR(G36="drove",G36="rode"),I36&lt;&gt;database!$AB$13,I36&lt;&gt;0),VLOOKUP(E36,database!$A$13:$AB$58,I36,FALSE),IF(I36=0,0,""))</f>
        <v/>
      </c>
      <c r="N36" s="32" t="str">
        <f>IF(AND(OR(G36="drove",G36="rode"),I36&lt;&gt;database!$AB$13,I36&lt;&gt;0),VLOOKUP(E36,database!$A$13:$AB$58,I36,FALSE),IF(I36=0,0,""))</f>
        <v/>
      </c>
      <c r="O36" s="33" t="str">
        <f>IF(AND(OR(G36="drove",G36="rode"),K36&lt;&gt;database!$AB$13,K36&lt;&gt;0),VLOOKUP(D36,database!$A$13:$AB$58,K36,FALSE),IF(K36=0,0,""))</f>
        <v/>
      </c>
      <c r="P36" s="33" t="str">
        <f t="shared" si="4"/>
        <v/>
      </c>
      <c r="Q36" s="33" t="str">
        <f t="shared" si="0"/>
        <v/>
      </c>
      <c r="R36" s="33" t="str">
        <f>IF(ISERROR(P36),IF(ISNUMBER('DATA ENTRY'!Q39),'DATA ENTRY'!Q39,""),IF(OR(ISNUMBER(P36),P36=""),P36,""))</f>
        <v/>
      </c>
      <c r="S36" s="38" t="str">
        <f>IF(ISERROR(Q36),IF(ISNUMBER('DATA ENTRY'!R39),'DATA ENTRY'!R39,""),IF(OR(ISNUMBER(Q36),Q36=""),Q36,""))</f>
        <v/>
      </c>
      <c r="T36" s="39">
        <f>IF(ISNUMBER(R36),R36*database!$C$4,0)</f>
        <v>0</v>
      </c>
      <c r="U36" s="40">
        <f>IF(ISNUMBER(S36),IF(S36&gt;database!$C$6,database!$C$5,0),0)</f>
        <v>0</v>
      </c>
      <c r="V36" s="33" t="str">
        <f t="shared" si="5"/>
        <v/>
      </c>
      <c r="W36" s="33" t="str">
        <f t="shared" si="6"/>
        <v/>
      </c>
      <c r="X36" s="33" t="str">
        <f t="shared" si="2"/>
        <v/>
      </c>
    </row>
    <row r="37" spans="1:24" ht="15" customHeight="1">
      <c r="A37" s="36">
        <f t="shared" si="3"/>
        <v>22</v>
      </c>
      <c r="B37" s="37" t="str">
        <f>IF(ISBLANK('DATA ENTRY'!B40),"",IF(ISNUMBER('DATA ENTRY'!B40),CONCATENATE(MONTH('DATA ENTRY'!B40),"/",DAY('DATA ENTRY'!B40),"/",RIGHT(YEAR('DATA ENTRY'!B40),2)),PROPER('DATA ENTRY'!B40)))</f>
        <v/>
      </c>
      <c r="C37" s="23" t="str">
        <f>IF(ISBLANK('DATA ENTRY'!C40),"",PROPER('DATA ENTRY'!C40))</f>
        <v/>
      </c>
      <c r="D37" s="23" t="str">
        <f>IF(ISBLANK('DATA ENTRY'!D40),"",PROPER('DATA ENTRY'!D40))</f>
        <v/>
      </c>
      <c r="E37" s="23" t="str">
        <f>IF(ISBLANK('DATA ENTRY'!E40),"",PROPER('DATA ENTRY'!E40))</f>
        <v/>
      </c>
      <c r="F37" s="23" t="str">
        <f>IF(ISBLANK('DATA ENTRY'!F40),"",PROPER('DATA ENTRY'!F40))</f>
        <v/>
      </c>
      <c r="G37" s="23" t="str">
        <f>IF(ISBLANK('DATA ENTRY'!G40),"",PROPER('DATA ENTRY'!G40))</f>
        <v/>
      </c>
      <c r="H37" s="32" t="str">
        <f>IF(C37="","",IF(C37=D37,0,IF(ISERROR(HLOOKUP(C37,database!$C$9:AB$13,ROW(database!$A$13)-ROW(database!$A$9)+1,FALSE)),HLOOKUP("zunknown",database!$C$9:AB$13,ROW(database!$A$13)-ROW(database!$A$9)+1,FALSE),HLOOKUP(C37,database!$C$9:AB$13,ROW(database!$A$13)-ROW(database!$A$9)+1,FALSE))))</f>
        <v/>
      </c>
      <c r="I37" s="32" t="str">
        <f>IF(D37="","",IF(D37=E37,0,IF(ISERROR(HLOOKUP(D37,database!$C$9:AB$13,ROW(database!$A$13)-ROW(database!$A$9)+1,FALSE)),HLOOKUP("zunknown",database!$C$9:AB$13,ROW(database!$A$13)-ROW(database!$A$9)+1,FALSE),HLOOKUP(D37,database!$C$9:AB$13,ROW(database!$A$13)-ROW(database!$A$9)+1,FALSE))))</f>
        <v/>
      </c>
      <c r="J37" s="32">
        <f>'DATA ENTRY'!$C$9</f>
        <v>0</v>
      </c>
      <c r="K37" s="32">
        <f>IF(J37="","",IF(J37=D37,0,IF(ISERROR(HLOOKUP(J37,database!$C$9:$AB$13,ROW(database!$A$13)-ROW(database!$A$9)+1,FALSE)),HLOOKUP("zunknown",database!$C$9:$AB$13,ROW(database!$A$13)-ROW(database!$A$9)+1,FALSE),HLOOKUP(J37,database!$C$9:$AB$13,ROW(database!$A$13)-ROW(database!$A$9)+1,FALSE))))</f>
        <v>28</v>
      </c>
      <c r="L37" s="32" t="str">
        <f>IF(AND(OR(G37="drove",G37="rode"),H37&lt;&gt;database!$AB$13,H37&lt;&gt;0),VLOOKUP(D37,database!$A$13:$AB$58,H37,FALSE),IF(H37=0,0,""))</f>
        <v/>
      </c>
      <c r="M37" s="32" t="str">
        <f>IF(AND(OR(G37="drove",G37="rode"),I37&lt;&gt;database!$AB$13,I37&lt;&gt;0),VLOOKUP(E37,database!$A$13:$AB$58,I37,FALSE),IF(I37=0,0,""))</f>
        <v/>
      </c>
      <c r="N37" s="32" t="str">
        <f>IF(AND(OR(G37="drove",G37="rode"),I37&lt;&gt;database!$AB$13,I37&lt;&gt;0),VLOOKUP(E37,database!$A$13:$AB$58,I37,FALSE),IF(I37=0,0,""))</f>
        <v/>
      </c>
      <c r="O37" s="33" t="str">
        <f>IF(AND(OR(G37="drove",G37="rode"),K37&lt;&gt;database!$AB$13,K37&lt;&gt;0),VLOOKUP(D37,database!$A$13:$AB$58,K37,FALSE),IF(K37=0,0,""))</f>
        <v/>
      </c>
      <c r="P37" s="33" t="str">
        <f t="shared" si="4"/>
        <v/>
      </c>
      <c r="Q37" s="33" t="str">
        <f t="shared" si="0"/>
        <v/>
      </c>
      <c r="R37" s="33" t="str">
        <f>IF(ISERROR(P37),IF(ISNUMBER('DATA ENTRY'!Q40),'DATA ENTRY'!Q40,""),IF(OR(ISNUMBER(P37),P37=""),P37,""))</f>
        <v/>
      </c>
      <c r="S37" s="38" t="str">
        <f>IF(ISERROR(Q37),IF(ISNUMBER('DATA ENTRY'!R40),'DATA ENTRY'!R40,""),IF(OR(ISNUMBER(Q37),Q37=""),Q37,""))</f>
        <v/>
      </c>
      <c r="T37" s="39">
        <f>IF(ISNUMBER(R37),R37*database!$C$4,0)</f>
        <v>0</v>
      </c>
      <c r="U37" s="40">
        <f>IF(ISNUMBER(S37),IF(S37&gt;database!$C$6,database!$C$5,0),0)</f>
        <v>0</v>
      </c>
      <c r="V37" s="33" t="str">
        <f t="shared" si="5"/>
        <v/>
      </c>
      <c r="W37" s="33" t="str">
        <f t="shared" si="6"/>
        <v/>
      </c>
      <c r="X37" s="33" t="str">
        <f t="shared" si="2"/>
        <v/>
      </c>
    </row>
    <row r="38" spans="1:24" ht="15" customHeight="1">
      <c r="A38" s="36">
        <f t="shared" si="3"/>
        <v>23</v>
      </c>
      <c r="B38" s="37" t="str">
        <f>IF(ISBLANK('DATA ENTRY'!B41),"",IF(ISNUMBER('DATA ENTRY'!B41),CONCATENATE(MONTH('DATA ENTRY'!B41),"/",DAY('DATA ENTRY'!B41),"/",RIGHT(YEAR('DATA ENTRY'!B41),2)),PROPER('DATA ENTRY'!B41)))</f>
        <v/>
      </c>
      <c r="C38" s="23" t="str">
        <f>IF(ISBLANK('DATA ENTRY'!C41),"",PROPER('DATA ENTRY'!C41))</f>
        <v/>
      </c>
      <c r="D38" s="23" t="str">
        <f>IF(ISBLANK('DATA ENTRY'!D41),"",PROPER('DATA ENTRY'!D41))</f>
        <v/>
      </c>
      <c r="E38" s="23" t="str">
        <f>IF(ISBLANK('DATA ENTRY'!E41),"",PROPER('DATA ENTRY'!E41))</f>
        <v/>
      </c>
      <c r="F38" s="23" t="str">
        <f>IF(ISBLANK('DATA ENTRY'!F41),"",PROPER('DATA ENTRY'!F41))</f>
        <v/>
      </c>
      <c r="G38" s="23" t="str">
        <f>IF(ISBLANK('DATA ENTRY'!G41),"",PROPER('DATA ENTRY'!G41))</f>
        <v/>
      </c>
      <c r="H38" s="32" t="str">
        <f>IF(C38="","",IF(C38=D38,0,IF(ISERROR(HLOOKUP(C38,database!$C$9:AB$13,ROW(database!$A$13)-ROW(database!$A$9)+1,FALSE)),HLOOKUP("zunknown",database!$C$9:AB$13,ROW(database!$A$13)-ROW(database!$A$9)+1,FALSE),HLOOKUP(C38,database!$C$9:AB$13,ROW(database!$A$13)-ROW(database!$A$9)+1,FALSE))))</f>
        <v/>
      </c>
      <c r="I38" s="32" t="str">
        <f>IF(D38="","",IF(D38=E38,0,IF(ISERROR(HLOOKUP(D38,database!$C$9:AB$13,ROW(database!$A$13)-ROW(database!$A$9)+1,FALSE)),HLOOKUP("zunknown",database!$C$9:AB$13,ROW(database!$A$13)-ROW(database!$A$9)+1,FALSE),HLOOKUP(D38,database!$C$9:AB$13,ROW(database!$A$13)-ROW(database!$A$9)+1,FALSE))))</f>
        <v/>
      </c>
      <c r="J38" s="32">
        <f>'DATA ENTRY'!$C$9</f>
        <v>0</v>
      </c>
      <c r="K38" s="32">
        <f>IF(J38="","",IF(J38=D38,0,IF(ISERROR(HLOOKUP(J38,database!$C$9:$AB$13,ROW(database!$A$13)-ROW(database!$A$9)+1,FALSE)),HLOOKUP("zunknown",database!$C$9:$AB$13,ROW(database!$A$13)-ROW(database!$A$9)+1,FALSE),HLOOKUP(J38,database!$C$9:$AB$13,ROW(database!$A$13)-ROW(database!$A$9)+1,FALSE))))</f>
        <v>28</v>
      </c>
      <c r="L38" s="32" t="str">
        <f>IF(AND(OR(G38="drove",G38="rode"),H38&lt;&gt;database!$AB$13,H38&lt;&gt;0),VLOOKUP(D38,database!$A$13:$AB$58,H38,FALSE),IF(H38=0,0,""))</f>
        <v/>
      </c>
      <c r="M38" s="32" t="str">
        <f>IF(AND(OR(G38="drove",G38="rode"),I38&lt;&gt;database!$AB$13,I38&lt;&gt;0),VLOOKUP(E38,database!$A$13:$AB$58,I38,FALSE),IF(I38=0,0,""))</f>
        <v/>
      </c>
      <c r="N38" s="32" t="str">
        <f>IF(AND(OR(G38="drove",G38="rode"),I38&lt;&gt;database!$AB$13,I38&lt;&gt;0),VLOOKUP(E38,database!$A$13:$AB$58,I38,FALSE),IF(I38=0,0,""))</f>
        <v/>
      </c>
      <c r="O38" s="33" t="str">
        <f>IF(AND(OR(G38="drove",G38="rode"),K38&lt;&gt;database!$AB$13,K38&lt;&gt;0),VLOOKUP(D38,database!$A$13:$AB$58,K38,FALSE),IF(K38=0,0,""))</f>
        <v/>
      </c>
      <c r="P38" s="33" t="str">
        <f t="shared" si="4"/>
        <v/>
      </c>
      <c r="Q38" s="33" t="str">
        <f t="shared" si="0"/>
        <v/>
      </c>
      <c r="R38" s="33" t="str">
        <f>IF(ISERROR(P38),IF(ISNUMBER('DATA ENTRY'!Q41),'DATA ENTRY'!Q41,""),IF(OR(ISNUMBER(P38),P38=""),P38,""))</f>
        <v/>
      </c>
      <c r="S38" s="38" t="str">
        <f>IF(ISERROR(Q38),IF(ISNUMBER('DATA ENTRY'!R41),'DATA ENTRY'!R41,""),IF(OR(ISNUMBER(Q38),Q38=""),Q38,""))</f>
        <v/>
      </c>
      <c r="T38" s="39">
        <f>IF(ISNUMBER(R38),R38*database!$C$4,0)</f>
        <v>0</v>
      </c>
      <c r="U38" s="40">
        <f>IF(ISNUMBER(S38),IF(S38&gt;database!$C$6,database!$C$5,0),0)</f>
        <v>0</v>
      </c>
      <c r="V38" s="33" t="str">
        <f t="shared" si="5"/>
        <v/>
      </c>
      <c r="W38" s="33" t="str">
        <f t="shared" si="6"/>
        <v/>
      </c>
      <c r="X38" s="33" t="str">
        <f t="shared" si="2"/>
        <v/>
      </c>
    </row>
    <row r="39" spans="1:24" ht="15" customHeight="1">
      <c r="A39" s="36">
        <f t="shared" si="3"/>
        <v>24</v>
      </c>
      <c r="B39" s="37" t="str">
        <f>IF(ISBLANK('DATA ENTRY'!B42),"",IF(ISNUMBER('DATA ENTRY'!B42),CONCATENATE(MONTH('DATA ENTRY'!B42),"/",DAY('DATA ENTRY'!B42),"/",RIGHT(YEAR('DATA ENTRY'!B42),2)),PROPER('DATA ENTRY'!B42)))</f>
        <v/>
      </c>
      <c r="C39" s="23" t="str">
        <f>IF(ISBLANK('DATA ENTRY'!C42),"",PROPER('DATA ENTRY'!C42))</f>
        <v/>
      </c>
      <c r="D39" s="23" t="str">
        <f>IF(ISBLANK('DATA ENTRY'!D42),"",PROPER('DATA ENTRY'!D42))</f>
        <v/>
      </c>
      <c r="E39" s="23" t="str">
        <f>IF(ISBLANK('DATA ENTRY'!E42),"",PROPER('DATA ENTRY'!E42))</f>
        <v/>
      </c>
      <c r="F39" s="23" t="str">
        <f>IF(ISBLANK('DATA ENTRY'!F42),"",PROPER('DATA ENTRY'!F42))</f>
        <v/>
      </c>
      <c r="G39" s="23" t="str">
        <f>IF(ISBLANK('DATA ENTRY'!G42),"",PROPER('DATA ENTRY'!G42))</f>
        <v/>
      </c>
      <c r="H39" s="32" t="str">
        <f>IF(C39="","",IF(C39=D39,0,IF(ISERROR(HLOOKUP(C39,database!$C$9:AB$13,ROW(database!$A$13)-ROW(database!$A$9)+1,FALSE)),HLOOKUP("zunknown",database!$C$9:AB$13,ROW(database!$A$13)-ROW(database!$A$9)+1,FALSE),HLOOKUP(C39,database!$C$9:AB$13,ROW(database!$A$13)-ROW(database!$A$9)+1,FALSE))))</f>
        <v/>
      </c>
      <c r="I39" s="32" t="str">
        <f>IF(D39="","",IF(D39=E39,0,IF(ISERROR(HLOOKUP(D39,database!$C$9:AB$13,ROW(database!$A$13)-ROW(database!$A$9)+1,FALSE)),HLOOKUP("zunknown",database!$C$9:AB$13,ROW(database!$A$13)-ROW(database!$A$9)+1,FALSE),HLOOKUP(D39,database!$C$9:AB$13,ROW(database!$A$13)-ROW(database!$A$9)+1,FALSE))))</f>
        <v/>
      </c>
      <c r="J39" s="32">
        <f>'DATA ENTRY'!$C$9</f>
        <v>0</v>
      </c>
      <c r="K39" s="32">
        <f>IF(J39="","",IF(J39=D39,0,IF(ISERROR(HLOOKUP(J39,database!$C$9:$AB$13,ROW(database!$A$13)-ROW(database!$A$9)+1,FALSE)),HLOOKUP("zunknown",database!$C$9:$AB$13,ROW(database!$A$13)-ROW(database!$A$9)+1,FALSE),HLOOKUP(J39,database!$C$9:$AB$13,ROW(database!$A$13)-ROW(database!$A$9)+1,FALSE))))</f>
        <v>28</v>
      </c>
      <c r="L39" s="32" t="str">
        <f>IF(AND(OR(G39="drove",G39="rode"),H39&lt;&gt;database!$AB$13,H39&lt;&gt;0),VLOOKUP(D39,database!$A$13:$AB$58,H39,FALSE),IF(H39=0,0,""))</f>
        <v/>
      </c>
      <c r="M39" s="32" t="str">
        <f>IF(AND(OR(G39="drove",G39="rode"),I39&lt;&gt;database!$AB$13,I39&lt;&gt;0),VLOOKUP(E39,database!$A$13:$AB$58,I39,FALSE),IF(I39=0,0,""))</f>
        <v/>
      </c>
      <c r="N39" s="32" t="str">
        <f>IF(AND(OR(G39="drove",G39="rode"),I39&lt;&gt;database!$AB$13,I39&lt;&gt;0),VLOOKUP(E39,database!$A$13:$AB$58,I39,FALSE),IF(I39=0,0,""))</f>
        <v/>
      </c>
      <c r="O39" s="33" t="str">
        <f>IF(AND(OR(G39="drove",G39="rode"),K39&lt;&gt;database!$AB$13,K39&lt;&gt;0),VLOOKUP(D39,database!$A$13:$AB$58,K39,FALSE),IF(K39=0,0,""))</f>
        <v/>
      </c>
      <c r="P39" s="33" t="str">
        <f t="shared" si="4"/>
        <v/>
      </c>
      <c r="Q39" s="33" t="str">
        <f t="shared" si="0"/>
        <v/>
      </c>
      <c r="R39" s="33" t="str">
        <f>IF(ISERROR(P39),IF(ISNUMBER('DATA ENTRY'!Q42),'DATA ENTRY'!Q42,""),IF(OR(ISNUMBER(P39),P39=""),P39,""))</f>
        <v/>
      </c>
      <c r="S39" s="38" t="str">
        <f>IF(ISERROR(Q39),IF(ISNUMBER('DATA ENTRY'!R42),'DATA ENTRY'!R42,""),IF(OR(ISNUMBER(Q39),Q39=""),Q39,""))</f>
        <v/>
      </c>
      <c r="T39" s="39">
        <f>IF(ISNUMBER(R39),R39*database!$C$4,0)</f>
        <v>0</v>
      </c>
      <c r="U39" s="40">
        <f>IF(ISNUMBER(S39),IF(S39&gt;database!$C$6,database!$C$5,0),0)</f>
        <v>0</v>
      </c>
      <c r="V39" s="33" t="str">
        <f t="shared" si="5"/>
        <v/>
      </c>
      <c r="W39" s="33" t="str">
        <f t="shared" si="6"/>
        <v/>
      </c>
      <c r="X39" s="33" t="str">
        <f t="shared" si="2"/>
        <v/>
      </c>
    </row>
    <row r="40" spans="1:24" ht="15" customHeight="1">
      <c r="A40" s="36">
        <f t="shared" si="3"/>
        <v>25</v>
      </c>
      <c r="B40" s="37" t="str">
        <f>IF(ISBLANK('DATA ENTRY'!B43),"",IF(ISNUMBER('DATA ENTRY'!B43),CONCATENATE(MONTH('DATA ENTRY'!B43),"/",DAY('DATA ENTRY'!B43),"/",RIGHT(YEAR('DATA ENTRY'!B43),2)),PROPER('DATA ENTRY'!B43)))</f>
        <v/>
      </c>
      <c r="C40" s="23" t="str">
        <f>IF(ISBLANK('DATA ENTRY'!C43),"",PROPER('DATA ENTRY'!C43))</f>
        <v/>
      </c>
      <c r="D40" s="23" t="str">
        <f>IF(ISBLANK('DATA ENTRY'!D43),"",PROPER('DATA ENTRY'!D43))</f>
        <v/>
      </c>
      <c r="E40" s="23" t="str">
        <f>IF(ISBLANK('DATA ENTRY'!E43),"",PROPER('DATA ENTRY'!E43))</f>
        <v/>
      </c>
      <c r="F40" s="23" t="str">
        <f>IF(ISBLANK('DATA ENTRY'!F43),"",PROPER('DATA ENTRY'!F43))</f>
        <v/>
      </c>
      <c r="G40" s="23" t="str">
        <f>IF(ISBLANK('DATA ENTRY'!G43),"",PROPER('DATA ENTRY'!G43))</f>
        <v/>
      </c>
      <c r="H40" s="32" t="str">
        <f>IF(C40="","",IF(C40=D40,0,IF(ISERROR(HLOOKUP(C40,database!$C$9:AB$13,ROW(database!$A$13)-ROW(database!$A$9)+1,FALSE)),HLOOKUP("zunknown",database!$C$9:AB$13,ROW(database!$A$13)-ROW(database!$A$9)+1,FALSE),HLOOKUP(C40,database!$C$9:AB$13,ROW(database!$A$13)-ROW(database!$A$9)+1,FALSE))))</f>
        <v/>
      </c>
      <c r="I40" s="32" t="str">
        <f>IF(D40="","",IF(D40=E40,0,IF(ISERROR(HLOOKUP(D40,database!$C$9:AB$13,ROW(database!$A$13)-ROW(database!$A$9)+1,FALSE)),HLOOKUP("zunknown",database!$C$9:AB$13,ROW(database!$A$13)-ROW(database!$A$9)+1,FALSE),HLOOKUP(D40,database!$C$9:AB$13,ROW(database!$A$13)-ROW(database!$A$9)+1,FALSE))))</f>
        <v/>
      </c>
      <c r="J40" s="32">
        <f>'DATA ENTRY'!$C$9</f>
        <v>0</v>
      </c>
      <c r="K40" s="32">
        <f>IF(J40="","",IF(J40=D40,0,IF(ISERROR(HLOOKUP(J40,database!$C$9:$AB$13,ROW(database!$A$13)-ROW(database!$A$9)+1,FALSE)),HLOOKUP("zunknown",database!$C$9:$AB$13,ROW(database!$A$13)-ROW(database!$A$9)+1,FALSE),HLOOKUP(J40,database!$C$9:$AB$13,ROW(database!$A$13)-ROW(database!$A$9)+1,FALSE))))</f>
        <v>28</v>
      </c>
      <c r="L40" s="32" t="str">
        <f>IF(AND(OR(G40="drove",G40="rode"),H40&lt;&gt;database!$AB$13,H40&lt;&gt;0),VLOOKUP(D40,database!$A$13:$AB$58,H40,FALSE),IF(H40=0,0,""))</f>
        <v/>
      </c>
      <c r="M40" s="32" t="str">
        <f>IF(AND(OR(G40="drove",G40="rode"),I40&lt;&gt;database!$AB$13,I40&lt;&gt;0),VLOOKUP(E40,database!$A$13:$AB$58,I40,FALSE),IF(I40=0,0,""))</f>
        <v/>
      </c>
      <c r="N40" s="32" t="str">
        <f>IF(AND(OR(G40="drove",G40="rode"),I40&lt;&gt;database!$AB$13,I40&lt;&gt;0),VLOOKUP(E40,database!$A$13:$AB$58,I40,FALSE),IF(I40=0,0,""))</f>
        <v/>
      </c>
      <c r="O40" s="33" t="str">
        <f>IF(AND(OR(G40="drove",G40="rode"),K40&lt;&gt;database!$AB$13,K40&lt;&gt;0),VLOOKUP(D40,database!$A$13:$AB$58,K40,FALSE),IF(K40=0,0,""))</f>
        <v/>
      </c>
      <c r="P40" s="33" t="str">
        <f t="shared" si="4"/>
        <v/>
      </c>
      <c r="Q40" s="33" t="str">
        <f>IF(AND(C40&lt;&gt;"",D40&lt;&gt;"",E40&lt;&gt;"",G40="rode"),M40+N40,"")</f>
        <v/>
      </c>
      <c r="R40" s="33" t="str">
        <f>IF(ISERROR(P40),IF(ISNUMBER('DATA ENTRY'!Q43),'DATA ENTRY'!Q43,""),IF(OR(ISNUMBER(P40),P40=""),P40,""))</f>
        <v/>
      </c>
      <c r="S40" s="38" t="str">
        <f>IF(ISERROR(Q40),IF(ISNUMBER('DATA ENTRY'!R43),'DATA ENTRY'!R43,""),IF(OR(ISNUMBER(Q40),Q40=""),Q40,""))</f>
        <v/>
      </c>
      <c r="T40" s="39">
        <f>IF(ISNUMBER(R40),R40*database!$C$4,0)</f>
        <v>0</v>
      </c>
      <c r="U40" s="40">
        <f>IF(ISNUMBER(S40),IF(S40&gt;database!$C$6,database!$C$5,0),0)</f>
        <v>0</v>
      </c>
      <c r="V40" s="33" t="str">
        <f t="shared" si="5"/>
        <v/>
      </c>
      <c r="W40" s="33" t="str">
        <f t="shared" si="6"/>
        <v/>
      </c>
      <c r="X40" s="33" t="str">
        <f t="shared" si="2"/>
        <v/>
      </c>
    </row>
    <row r="41" spans="1:24" ht="15" customHeight="1">
      <c r="A41" s="36">
        <f t="shared" si="3"/>
        <v>26</v>
      </c>
      <c r="B41" s="37" t="str">
        <f>IF(ISBLANK('DATA ENTRY'!B44),"",IF(ISNUMBER('DATA ENTRY'!B44),CONCATENATE(MONTH('DATA ENTRY'!B44),"/",DAY('DATA ENTRY'!B44),"/",RIGHT(YEAR('DATA ENTRY'!B44),2)),PROPER('DATA ENTRY'!B44)))</f>
        <v/>
      </c>
      <c r="C41" s="23" t="str">
        <f>IF(ISBLANK('DATA ENTRY'!C44),"",PROPER('DATA ENTRY'!C44))</f>
        <v/>
      </c>
      <c r="D41" s="23" t="str">
        <f>IF(ISBLANK('DATA ENTRY'!D44),"",PROPER('DATA ENTRY'!D44))</f>
        <v/>
      </c>
      <c r="E41" s="23" t="str">
        <f>IF(ISBLANK('DATA ENTRY'!E44),"",PROPER('DATA ENTRY'!E44))</f>
        <v/>
      </c>
      <c r="F41" s="23" t="str">
        <f>IF(ISBLANK('DATA ENTRY'!F44),"",PROPER('DATA ENTRY'!F44))</f>
        <v/>
      </c>
      <c r="G41" s="23" t="str">
        <f>IF(ISBLANK('DATA ENTRY'!G44),"",PROPER('DATA ENTRY'!G44))</f>
        <v/>
      </c>
      <c r="H41" s="32" t="str">
        <f>IF(C41="","",IF(C41=D41,0,IF(ISERROR(HLOOKUP(C41,database!$C$9:AB$13,ROW(database!$A$13)-ROW(database!$A$9)+1,FALSE)),HLOOKUP("zunknown",database!$C$9:AB$13,ROW(database!$A$13)-ROW(database!$A$9)+1,FALSE),HLOOKUP(C41,database!$C$9:AB$13,ROW(database!$A$13)-ROW(database!$A$9)+1,FALSE))))</f>
        <v/>
      </c>
      <c r="I41" s="32" t="str">
        <f>IF(D41="","",IF(D41=E41,0,IF(ISERROR(HLOOKUP(D41,database!$C$9:AB$13,ROW(database!$A$13)-ROW(database!$A$9)+1,FALSE)),HLOOKUP("zunknown",database!$C$9:AB$13,ROW(database!$A$13)-ROW(database!$A$9)+1,FALSE),HLOOKUP(D41,database!$C$9:AB$13,ROW(database!$A$13)-ROW(database!$A$9)+1,FALSE))))</f>
        <v/>
      </c>
      <c r="J41" s="32">
        <f>'DATA ENTRY'!$C$9</f>
        <v>0</v>
      </c>
      <c r="K41" s="32">
        <f>IF(J41="","",IF(J41=D41,0,IF(ISERROR(HLOOKUP(J41,database!$C$9:$AB$13,ROW(database!$A$13)-ROW(database!$A$9)+1,FALSE)),HLOOKUP("zunknown",database!$C$9:$AB$13,ROW(database!$A$13)-ROW(database!$A$9)+1,FALSE),HLOOKUP(J41,database!$C$9:$AB$13,ROW(database!$A$13)-ROW(database!$A$9)+1,FALSE))))</f>
        <v>28</v>
      </c>
      <c r="L41" s="32" t="str">
        <f>IF(AND(OR(G41="drove",G41="rode"),H41&lt;&gt;database!$AB$13,H41&lt;&gt;0),VLOOKUP(D41,database!$A$13:$AB$58,H41,FALSE),IF(H41=0,0,""))</f>
        <v/>
      </c>
      <c r="M41" s="32" t="str">
        <f>IF(AND(OR(G41="drove",G41="rode"),I41&lt;&gt;database!$AB$13,I41&lt;&gt;0),VLOOKUP(E41,database!$A$13:$AB$58,I41,FALSE),IF(I41=0,0,""))</f>
        <v/>
      </c>
      <c r="N41" s="32" t="str">
        <f>IF(AND(OR(G41="drove",G41="rode"),I41&lt;&gt;database!$AB$13,I41&lt;&gt;0),VLOOKUP(E41,database!$A$13:$AB$58,I41,FALSE),IF(I41=0,0,""))</f>
        <v/>
      </c>
      <c r="O41" s="33" t="str">
        <f>IF(AND(OR(G41="drove",G41="rode"),K41&lt;&gt;database!$AB$13,K41&lt;&gt;0),VLOOKUP(D41,database!$A$13:$AB$58,K41,FALSE),IF(K41=0,0,""))</f>
        <v/>
      </c>
      <c r="P41" s="33" t="str">
        <f t="shared" si="4"/>
        <v/>
      </c>
      <c r="Q41" s="33" t="str">
        <f>IF(AND(C41&lt;&gt;"",D41&lt;&gt;"",E41&lt;&gt;"",G41="rode"),M41+N41,"")</f>
        <v/>
      </c>
      <c r="R41" s="33" t="str">
        <f>IF(ISERROR(P41),IF(ISNUMBER('DATA ENTRY'!Q44),'DATA ENTRY'!Q44,""),IF(OR(ISNUMBER(P41),P41=""),P41,""))</f>
        <v/>
      </c>
      <c r="S41" s="38" t="str">
        <f>IF(ISERROR(Q41),IF(ISNUMBER('DATA ENTRY'!R44),'DATA ENTRY'!R44,""),IF(OR(ISNUMBER(Q41),Q41=""),Q41,""))</f>
        <v/>
      </c>
      <c r="T41" s="39">
        <f>IF(ISNUMBER(R41),R41*database!$C$4,0)</f>
        <v>0</v>
      </c>
      <c r="U41" s="40">
        <f>IF(ISNUMBER(S41),IF(S41&gt;database!$C$6,database!$C$5,0),0)</f>
        <v>0</v>
      </c>
      <c r="V41" s="33" t="str">
        <f t="shared" si="5"/>
        <v/>
      </c>
      <c r="W41" s="33" t="str">
        <f t="shared" si="6"/>
        <v/>
      </c>
      <c r="X41" s="33" t="str">
        <f t="shared" si="2"/>
        <v/>
      </c>
    </row>
    <row r="42" spans="1:24" ht="15" customHeight="1">
      <c r="A42" s="36">
        <f t="shared" si="3"/>
        <v>27</v>
      </c>
      <c r="B42" s="37" t="str">
        <f>IF(ISBLANK('DATA ENTRY'!B45),"",IF(ISNUMBER('DATA ENTRY'!B45),CONCATENATE(MONTH('DATA ENTRY'!B45),"/",DAY('DATA ENTRY'!B45),"/",RIGHT(YEAR('DATA ENTRY'!B45),2)),PROPER('DATA ENTRY'!B45)))</f>
        <v/>
      </c>
      <c r="C42" s="23" t="str">
        <f>IF(ISBLANK('DATA ENTRY'!C45),"",PROPER('DATA ENTRY'!C45))</f>
        <v/>
      </c>
      <c r="D42" s="23" t="str">
        <f>IF(ISBLANK('DATA ENTRY'!D45),"",PROPER('DATA ENTRY'!D45))</f>
        <v/>
      </c>
      <c r="E42" s="23" t="str">
        <f>IF(ISBLANK('DATA ENTRY'!E45),"",PROPER('DATA ENTRY'!E45))</f>
        <v/>
      </c>
      <c r="F42" s="23" t="str">
        <f>IF(ISBLANK('DATA ENTRY'!F45),"",PROPER('DATA ENTRY'!F45))</f>
        <v/>
      </c>
      <c r="G42" s="23" t="str">
        <f>IF(ISBLANK('DATA ENTRY'!G45),"",PROPER('DATA ENTRY'!G45))</f>
        <v/>
      </c>
      <c r="H42" s="32" t="str">
        <f>IF(C42="","",IF(C42=D42,0,IF(ISERROR(HLOOKUP(C42,database!$C$9:AB$13,ROW(database!$A$13)-ROW(database!$A$9)+1,FALSE)),HLOOKUP("zunknown",database!$C$9:AB$13,ROW(database!$A$13)-ROW(database!$A$9)+1,FALSE),HLOOKUP(C42,database!$C$9:AB$13,ROW(database!$A$13)-ROW(database!$A$9)+1,FALSE))))</f>
        <v/>
      </c>
      <c r="I42" s="32" t="str">
        <f>IF(D42="","",IF(D42=E42,0,IF(ISERROR(HLOOKUP(D42,database!$C$9:AB$13,ROW(database!$A$13)-ROW(database!$A$9)+1,FALSE)),HLOOKUP("zunknown",database!$C$9:AB$13,ROW(database!$A$13)-ROW(database!$A$9)+1,FALSE),HLOOKUP(D42,database!$C$9:AB$13,ROW(database!$A$13)-ROW(database!$A$9)+1,FALSE))))</f>
        <v/>
      </c>
      <c r="J42" s="32">
        <f>'DATA ENTRY'!$C$9</f>
        <v>0</v>
      </c>
      <c r="K42" s="32">
        <f>IF(J42="","",IF(J42=D42,0,IF(ISERROR(HLOOKUP(J42,database!$C$9:$AB$13,ROW(database!$A$13)-ROW(database!$A$9)+1,FALSE)),HLOOKUP("zunknown",database!$C$9:$AB$13,ROW(database!$A$13)-ROW(database!$A$9)+1,FALSE),HLOOKUP(J42,database!$C$9:$AB$13,ROW(database!$A$13)-ROW(database!$A$9)+1,FALSE))))</f>
        <v>28</v>
      </c>
      <c r="L42" s="32" t="str">
        <f>IF(AND(OR(G42="drove",G42="rode"),H42&lt;&gt;database!$AB$13,H42&lt;&gt;0),VLOOKUP(D42,database!$A$13:$AB$58,H42,FALSE),IF(H42=0,0,""))</f>
        <v/>
      </c>
      <c r="M42" s="32" t="str">
        <f>IF(AND(OR(G42="drove",G42="rode"),I42&lt;&gt;database!$AB$13,I42&lt;&gt;0),VLOOKUP(E42,database!$A$13:$AB$58,I42,FALSE),IF(I42=0,0,""))</f>
        <v/>
      </c>
      <c r="N42" s="32" t="str">
        <f>IF(AND(OR(G42="drove",G42="rode"),I42&lt;&gt;database!$AB$13,I42&lt;&gt;0),VLOOKUP(E42,database!$A$13:$AB$58,I42,FALSE),IF(I42=0,0,""))</f>
        <v/>
      </c>
      <c r="O42" s="33" t="str">
        <f>IF(AND(OR(G42="drove",G42="rode"),K42&lt;&gt;database!$AB$13,K42&lt;&gt;0),VLOOKUP(D42,database!$A$13:$AB$58,K42,FALSE),IF(K42=0,0,""))</f>
        <v/>
      </c>
      <c r="P42" s="33" t="str">
        <f t="shared" si="4"/>
        <v/>
      </c>
      <c r="Q42" s="33" t="str">
        <f>IF(AND(C42&lt;&gt;"",D42&lt;&gt;"",E42&lt;&gt;"",G42="rode"),M42+N42,"")</f>
        <v/>
      </c>
      <c r="R42" s="33" t="str">
        <f>IF(ISERROR(P42),IF(ISNUMBER('DATA ENTRY'!Q45),'DATA ENTRY'!Q45,""),IF(OR(ISNUMBER(P42),P42=""),P42,""))</f>
        <v/>
      </c>
      <c r="S42" s="38" t="str">
        <f>IF(ISERROR(Q42),IF(ISNUMBER('DATA ENTRY'!R45),'DATA ENTRY'!R45,""),IF(OR(ISNUMBER(Q42),Q42=""),Q42,""))</f>
        <v/>
      </c>
      <c r="T42" s="39">
        <f>IF(ISNUMBER(R42),R42*database!$C$4,0)</f>
        <v>0</v>
      </c>
      <c r="U42" s="40">
        <f>IF(ISNUMBER(S42),IF(S42&gt;database!$C$6,database!$C$5,0),0)</f>
        <v>0</v>
      </c>
      <c r="V42" s="33" t="str">
        <f t="shared" si="5"/>
        <v/>
      </c>
      <c r="W42" s="33" t="str">
        <f t="shared" si="6"/>
        <v/>
      </c>
      <c r="X42" s="33" t="str">
        <f t="shared" si="2"/>
        <v/>
      </c>
    </row>
    <row r="43" spans="1:24" ht="15" customHeight="1">
      <c r="A43" s="36">
        <f t="shared" si="3"/>
        <v>28</v>
      </c>
      <c r="B43" s="37" t="str">
        <f>IF(ISBLANK('DATA ENTRY'!B46),"",IF(ISNUMBER('DATA ENTRY'!B46),CONCATENATE(MONTH('DATA ENTRY'!B46),"/",DAY('DATA ENTRY'!B46),"/",RIGHT(YEAR('DATA ENTRY'!B46),2)),PROPER('DATA ENTRY'!B46)))</f>
        <v/>
      </c>
      <c r="C43" s="23" t="str">
        <f>IF(ISBLANK('DATA ENTRY'!C46),"",PROPER('DATA ENTRY'!C46))</f>
        <v/>
      </c>
      <c r="D43" s="23" t="str">
        <f>IF(ISBLANK('DATA ENTRY'!D46),"",PROPER('DATA ENTRY'!D46))</f>
        <v/>
      </c>
      <c r="E43" s="23" t="str">
        <f>IF(ISBLANK('DATA ENTRY'!E46),"",PROPER('DATA ENTRY'!E46))</f>
        <v/>
      </c>
      <c r="F43" s="23" t="str">
        <f>IF(ISBLANK('DATA ENTRY'!F46),"",PROPER('DATA ENTRY'!F46))</f>
        <v/>
      </c>
      <c r="G43" s="23" t="str">
        <f>IF(ISBLANK('DATA ENTRY'!G46),"",PROPER('DATA ENTRY'!G46))</f>
        <v/>
      </c>
      <c r="H43" s="32" t="str">
        <f>IF(C43="","",IF(C43=D43,0,IF(ISERROR(HLOOKUP(C43,database!$C$9:AB$13,ROW(database!$A$13)-ROW(database!$A$9)+1,FALSE)),HLOOKUP("zunknown",database!$C$9:AB$13,ROW(database!$A$13)-ROW(database!$A$9)+1,FALSE),HLOOKUP(C43,database!$C$9:AB$13,ROW(database!$A$13)-ROW(database!$A$9)+1,FALSE))))</f>
        <v/>
      </c>
      <c r="I43" s="32" t="str">
        <f>IF(D43="","",IF(D43=E43,0,IF(ISERROR(HLOOKUP(D43,database!$C$9:AB$13,ROW(database!$A$13)-ROW(database!$A$9)+1,FALSE)),HLOOKUP("zunknown",database!$C$9:AB$13,ROW(database!$A$13)-ROW(database!$A$9)+1,FALSE),HLOOKUP(D43,database!$C$9:AB$13,ROW(database!$A$13)-ROW(database!$A$9)+1,FALSE))))</f>
        <v/>
      </c>
      <c r="J43" s="32">
        <f>'DATA ENTRY'!$C$9</f>
        <v>0</v>
      </c>
      <c r="K43" s="32">
        <f>IF(J43="","",IF(J43=D43,0,IF(ISERROR(HLOOKUP(J43,database!$C$9:$AB$13,ROW(database!$A$13)-ROW(database!$A$9)+1,FALSE)),HLOOKUP("zunknown",database!$C$9:$AB$13,ROW(database!$A$13)-ROW(database!$A$9)+1,FALSE),HLOOKUP(J43,database!$C$9:$AB$13,ROW(database!$A$13)-ROW(database!$A$9)+1,FALSE))))</f>
        <v>28</v>
      </c>
      <c r="L43" s="32" t="str">
        <f>IF(AND(OR(G43="drove",G43="rode"),H43&lt;&gt;database!$AB$13,H43&lt;&gt;0),VLOOKUP(D43,database!$A$13:$AB$58,H43,FALSE),IF(H43=0,0,""))</f>
        <v/>
      </c>
      <c r="M43" s="32" t="str">
        <f>IF(AND(OR(G43="drove",G43="rode"),I43&lt;&gt;database!$AB$13,I43&lt;&gt;0),VLOOKUP(E43,database!$A$13:$AB$58,I43,FALSE),IF(I43=0,0,""))</f>
        <v/>
      </c>
      <c r="N43" s="32" t="str">
        <f>IF(AND(OR(G43="drove",G43="rode"),I43&lt;&gt;database!$AB$13,I43&lt;&gt;0),VLOOKUP(E43,database!$A$13:$AB$58,I43,FALSE),IF(I43=0,0,""))</f>
        <v/>
      </c>
      <c r="O43" s="33" t="str">
        <f>IF(AND(OR(G43="drove",G43="rode"),K43&lt;&gt;database!$AB$13,K43&lt;&gt;0),VLOOKUP(D43,database!$A$13:$AB$58,K43,FALSE),IF(K43=0,0,""))</f>
        <v/>
      </c>
      <c r="P43" s="33" t="str">
        <f t="shared" si="4"/>
        <v/>
      </c>
      <c r="Q43" s="33" t="str">
        <f>IF(AND(C43&lt;&gt;"",D43&lt;&gt;"",E43&lt;&gt;"",G43="rode"),M43+N43,"")</f>
        <v/>
      </c>
      <c r="R43" s="33" t="str">
        <f>IF(ISERROR(P43),IF(ISNUMBER('DATA ENTRY'!Q46),'DATA ENTRY'!Q46,""),IF(OR(ISNUMBER(P43),P43=""),P43,""))</f>
        <v/>
      </c>
      <c r="S43" s="38" t="str">
        <f>IF(ISERROR(Q43),IF(ISNUMBER('DATA ENTRY'!R46),'DATA ENTRY'!R46,""),IF(OR(ISNUMBER(Q43),Q43=""),Q43,""))</f>
        <v/>
      </c>
      <c r="T43" s="39">
        <f>IF(ISNUMBER(R43),R43*database!$C$4,0)</f>
        <v>0</v>
      </c>
      <c r="U43" s="40">
        <f>IF(ISNUMBER(S43),IF(S43&gt;database!$C$6,database!$C$5,0),0)</f>
        <v>0</v>
      </c>
      <c r="V43" s="33" t="str">
        <f t="shared" si="5"/>
        <v/>
      </c>
      <c r="W43" s="33" t="str">
        <f t="shared" si="6"/>
        <v/>
      </c>
      <c r="X43" s="33" t="str">
        <f t="shared" si="2"/>
        <v/>
      </c>
    </row>
    <row r="44" spans="1:24" ht="15" customHeight="1" thickBot="1">
      <c r="A44" s="41">
        <f t="shared" si="3"/>
        <v>29</v>
      </c>
      <c r="B44" s="42" t="str">
        <f>IF(ISBLANK('DATA ENTRY'!B47),"",IF(ISNUMBER('DATA ENTRY'!B47),CONCATENATE(MONTH('DATA ENTRY'!B47),"/",DAY('DATA ENTRY'!B47),"/",RIGHT(YEAR('DATA ENTRY'!B47),2)),PROPER('DATA ENTRY'!B47)))</f>
        <v/>
      </c>
      <c r="C44" s="43" t="str">
        <f>IF(ISBLANK('DATA ENTRY'!C47),"",PROPER('DATA ENTRY'!C47))</f>
        <v/>
      </c>
      <c r="D44" s="43" t="str">
        <f>IF(ISBLANK('DATA ENTRY'!D47),"",PROPER('DATA ENTRY'!D47))</f>
        <v/>
      </c>
      <c r="E44" s="43" t="str">
        <f>IF(ISBLANK('DATA ENTRY'!E47),"",PROPER('DATA ENTRY'!E47))</f>
        <v/>
      </c>
      <c r="F44" s="43" t="str">
        <f>IF(ISBLANK('DATA ENTRY'!F47),"",PROPER('DATA ENTRY'!F47))</f>
        <v/>
      </c>
      <c r="G44" s="43" t="str">
        <f>IF(ISBLANK('DATA ENTRY'!G47),"",PROPER('DATA ENTRY'!G47))</f>
        <v/>
      </c>
      <c r="H44" s="32" t="str">
        <f>IF(C44="","",IF(C44=D44,0,IF(ISERROR(HLOOKUP(C44,database!$C$9:AB$13,ROW(database!$A$13)-ROW(database!$A$9)+1,FALSE)),HLOOKUP("zunknown",database!$C$9:AB$13,ROW(database!$A$13)-ROW(database!$A$9)+1,FALSE),HLOOKUP(C44,database!$C$9:AB$13,ROW(database!$A$13)-ROW(database!$A$9)+1,FALSE))))</f>
        <v/>
      </c>
      <c r="I44" s="32" t="str">
        <f>IF(D44="","",IF(D44=E44,0,IF(ISERROR(HLOOKUP(D44,database!$C$9:AB$13,ROW(database!$A$13)-ROW(database!$A$9)+1,FALSE)),HLOOKUP("zunknown",database!$C$9:AB$13,ROW(database!$A$13)-ROW(database!$A$9)+1,FALSE),HLOOKUP(D44,database!$C$9:AB$13,ROW(database!$A$13)-ROW(database!$A$9)+1,FALSE))))</f>
        <v/>
      </c>
      <c r="J44" s="32">
        <f>'DATA ENTRY'!$C$9</f>
        <v>0</v>
      </c>
      <c r="K44" s="32">
        <f>IF(J44="","",IF(J44=D44,0,IF(ISERROR(HLOOKUP(J44,database!$C$9:$AB$13,ROW(database!$A$13)-ROW(database!$A$9)+1,FALSE)),HLOOKUP("zunknown",database!$C$9:$AB$13,ROW(database!$A$13)-ROW(database!$A$9)+1,FALSE),HLOOKUP(J44,database!$C$9:$AB$13,ROW(database!$A$13)-ROW(database!$A$9)+1,FALSE))))</f>
        <v>28</v>
      </c>
      <c r="L44" s="32" t="str">
        <f>IF(AND(OR(G44="drove",G44="rode"),H44&lt;&gt;database!$AB$13,H44&lt;&gt;0),VLOOKUP(D44,database!$A$13:$AB$58,H44,FALSE),IF(H44=0,0,""))</f>
        <v/>
      </c>
      <c r="M44" s="32" t="str">
        <f>IF(AND(OR(G44="drove",G44="rode"),I44&lt;&gt;database!$AB$13,I44&lt;&gt;0),VLOOKUP(E44,database!$A$13:$AB$58,I44,FALSE),IF(I44=0,0,""))</f>
        <v/>
      </c>
      <c r="N44" s="32" t="str">
        <f>IF(AND(OR(G44="drove",G44="rode"),I44&lt;&gt;database!$AB$13,I44&lt;&gt;0),VLOOKUP(E44,database!$A$13:$AB$58,I44,FALSE),IF(I44=0,0,""))</f>
        <v/>
      </c>
      <c r="O44" s="33" t="str">
        <f>IF(AND(OR(G44="drove",G44="rode"),K44&lt;&gt;database!$AB$13,K44&lt;&gt;0),VLOOKUP(D44,database!$A$13:$AB$58,K44,FALSE),IF(K44=0,0,""))</f>
        <v/>
      </c>
      <c r="P44" s="33" t="str">
        <f t="shared" si="4"/>
        <v/>
      </c>
      <c r="Q44" s="33" t="str">
        <f>IF(AND(C44&lt;&gt;"",D44&lt;&gt;"",E44&lt;&gt;"",G44="rode"),M44+N44,"")</f>
        <v/>
      </c>
      <c r="R44" s="44" t="str">
        <f>IF(ISERROR(P44),IF(ISNUMBER('DATA ENTRY'!Q47),'DATA ENTRY'!Q47,""),IF(OR(ISNUMBER(P44),P44=""),P44,""))</f>
        <v/>
      </c>
      <c r="S44" s="45" t="str">
        <f>IF(ISERROR(Q44),IF(ISNUMBER('DATA ENTRY'!R47),'DATA ENTRY'!R47,""),IF(OR(ISNUMBER(Q44),Q44=""),Q44,""))</f>
        <v/>
      </c>
      <c r="T44" s="39">
        <f>IF(ISNUMBER(R44),R44*database!$C$4,0)</f>
        <v>0</v>
      </c>
      <c r="U44" s="40">
        <f>IF(ISNUMBER(S44),IF(S44&gt;database!$C$6,database!$C$5,0),0)</f>
        <v>0</v>
      </c>
      <c r="V44" s="33" t="str">
        <f t="shared" si="5"/>
        <v/>
      </c>
      <c r="W44" s="33" t="str">
        <f t="shared" si="6"/>
        <v/>
      </c>
      <c r="X44" s="33" t="str">
        <f t="shared" si="2"/>
        <v/>
      </c>
    </row>
    <row r="45" spans="1:24" ht="18.75" customHeight="1" thickTop="1">
      <c r="B45" s="25" t="s">
        <v>195</v>
      </c>
      <c r="C45" s="46">
        <f>SUM(T17:T44)</f>
        <v>0</v>
      </c>
      <c r="D45" s="134" t="str">
        <f>"Driver gets $"&amp;database!C4&amp;" "&amp;database!D4</f>
        <v xml:space="preserve">Driver gets $0.54 =54 cents per mile </v>
      </c>
      <c r="E45" s="135"/>
      <c r="F45" s="136" t="str">
        <f>CONCATENATE(IF(SUM(V17:W44)=0,IF(C5="gus","equation",""),"Manual Entries in: "),X17,X18,X19,X20,X21,X22,X23,X24,X25,X26,X27,X28,X29,X30,X31,X32,X33,X34,X35,X36,X37,X38,X39,X40,X41,X42,X43,X44)</f>
        <v/>
      </c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</row>
    <row r="46" spans="1:24" ht="12.75" customHeight="1">
      <c r="B46" s="47" t="s">
        <v>194</v>
      </c>
      <c r="C46" s="48">
        <f>SUM(U17:U44)</f>
        <v>0</v>
      </c>
      <c r="D46" s="137" t="str">
        <f>CONCATENATE("Rider gets ",DOLLAR(database!C5)," per match ",database!D5," ",(database!C6)," ",database!D6)</f>
        <v>Rider gets $15.00 per match OVER 90 MILES (round trip)</v>
      </c>
      <c r="E46" s="195" t="s">
        <v>252</v>
      </c>
      <c r="F46" s="195"/>
      <c r="G46" s="195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</row>
    <row r="47" spans="1:24">
      <c r="B47" s="25" t="s">
        <v>193</v>
      </c>
      <c r="C47" s="49">
        <f>C45+C46</f>
        <v>0</v>
      </c>
      <c r="D47" s="138"/>
      <c r="E47" s="139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</row>
    <row r="48" spans="1:24"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</row>
  </sheetData>
  <sheetProtection password="C67E" sheet="1" objects="1" scenarios="1"/>
  <customSheetViews>
    <customSheetView guid="{68CA99EB-C196-46E7-AC9D-43F9554C0015}" hiddenColumns="1">
      <pageMargins left="0.3" right="0.18" top="0.5" bottom="0.75" header="0.5" footer="0.5"/>
      <pageSetup orientation="portrait" horizontalDpi="4294967293" r:id="rId1"/>
      <headerFooter alignWithMargins="0"/>
    </customSheetView>
  </customSheetViews>
  <mergeCells count="33">
    <mergeCell ref="X14:X15"/>
    <mergeCell ref="T14:T15"/>
    <mergeCell ref="C14:C15"/>
    <mergeCell ref="L14:L15"/>
    <mergeCell ref="M14:M15"/>
    <mergeCell ref="F14:F15"/>
    <mergeCell ref="G14:G15"/>
    <mergeCell ref="W14:W15"/>
    <mergeCell ref="V14:V15"/>
    <mergeCell ref="U14:U15"/>
    <mergeCell ref="E46:G46"/>
    <mergeCell ref="A14:A15"/>
    <mergeCell ref="D14:D15"/>
    <mergeCell ref="R14:R15"/>
    <mergeCell ref="B2:U2"/>
    <mergeCell ref="B3:U3"/>
    <mergeCell ref="S14:S15"/>
    <mergeCell ref="H14:H15"/>
    <mergeCell ref="I14:I15"/>
    <mergeCell ref="B11:U11"/>
    <mergeCell ref="B12:U12"/>
    <mergeCell ref="C5:E5"/>
    <mergeCell ref="C7:E7"/>
    <mergeCell ref="C9:E9"/>
    <mergeCell ref="B14:B15"/>
    <mergeCell ref="E14:E15"/>
    <mergeCell ref="R13:S13"/>
    <mergeCell ref="J14:J15"/>
    <mergeCell ref="Q14:Q15"/>
    <mergeCell ref="N14:N15"/>
    <mergeCell ref="O14:O15"/>
    <mergeCell ref="K14:K15"/>
    <mergeCell ref="P14:P15"/>
  </mergeCells>
  <phoneticPr fontId="0" type="noConversion"/>
  <pageMargins left="0.3" right="0.18" top="0.5" bottom="0.75" header="0.5" footer="0.5"/>
  <pageSetup orientation="portrait" horizontalDpi="4294967293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8"/>
  <sheetViews>
    <sheetView zoomScale="75" zoomScaleNormal="75" workbookViewId="0">
      <pane xSplit="2" ySplit="14" topLeftCell="C30" activePane="bottomRight" state="frozen"/>
      <selection activeCell="G54" sqref="G54"/>
      <selection pane="topRight" activeCell="G54" sqref="G54"/>
      <selection pane="bottomLeft" activeCell="G54" sqref="G54"/>
      <selection pane="bottomRight" activeCell="G54" sqref="G54"/>
    </sheetView>
  </sheetViews>
  <sheetFormatPr defaultRowHeight="12.75"/>
  <cols>
    <col min="1" max="1" width="25.7109375" bestFit="1" customWidth="1"/>
    <col min="2" max="2" width="20" customWidth="1"/>
    <col min="3" max="3" width="11.28515625" customWidth="1"/>
    <col min="4" max="5" width="14.28515625" customWidth="1"/>
    <col min="6" max="6" width="8.28515625" bestFit="1" customWidth="1"/>
    <col min="7" max="7" width="11.28515625" customWidth="1"/>
    <col min="8" max="8" width="12.28515625" customWidth="1"/>
    <col min="9" max="9" width="9.85546875" bestFit="1" customWidth="1"/>
    <col min="10" max="10" width="9.42578125" customWidth="1"/>
    <col min="11" max="11" width="13.42578125" customWidth="1"/>
    <col min="12" max="12" width="13.28515625" customWidth="1"/>
    <col min="13" max="13" width="11.140625" customWidth="1"/>
    <col min="14" max="14" width="11.42578125" customWidth="1"/>
    <col min="15" max="15" width="12.42578125" customWidth="1"/>
    <col min="16" max="16" width="9" customWidth="1"/>
    <col min="17" max="17" width="15.28515625" customWidth="1"/>
    <col min="18" max="18" width="8.140625" customWidth="1"/>
    <col min="19" max="19" width="10" customWidth="1"/>
    <col min="20" max="20" width="11.28515625" customWidth="1"/>
    <col min="21" max="21" width="12.85546875" customWidth="1"/>
    <col min="22" max="22" width="9.28515625" customWidth="1"/>
    <col min="23" max="23" width="12.85546875" customWidth="1"/>
    <col min="24" max="24" width="11.42578125" bestFit="1" customWidth="1"/>
    <col min="25" max="25" width="12.85546875" customWidth="1"/>
    <col min="26" max="26" width="9.42578125" customWidth="1"/>
    <col min="27" max="27" width="14" customWidth="1"/>
    <col min="28" max="28" width="11.7109375" customWidth="1"/>
    <col min="30" max="30" width="86.5703125" style="6" bestFit="1" customWidth="1"/>
  </cols>
  <sheetData>
    <row r="1" spans="1:30" ht="20.25">
      <c r="D1" s="205" t="s">
        <v>245</v>
      </c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W1" s="11"/>
      <c r="X1" s="11"/>
      <c r="Y1" s="11"/>
      <c r="Z1" s="11"/>
    </row>
    <row r="2" spans="1:30">
      <c r="J2" s="104" t="s">
        <v>231</v>
      </c>
      <c r="K2" s="104"/>
      <c r="L2" s="104"/>
      <c r="M2" s="116" t="s">
        <v>235</v>
      </c>
      <c r="N2" s="116"/>
      <c r="O2" s="116"/>
      <c r="P2" s="118" t="s">
        <v>237</v>
      </c>
      <c r="Q2" s="118"/>
      <c r="R2" s="118"/>
      <c r="S2" s="118"/>
      <c r="W2" s="11"/>
      <c r="X2" s="11"/>
      <c r="Y2" s="11"/>
      <c r="Z2" s="11"/>
    </row>
    <row r="3" spans="1:30">
      <c r="C3" t="s">
        <v>45</v>
      </c>
      <c r="J3" s="106" t="s">
        <v>118</v>
      </c>
      <c r="K3" s="106"/>
      <c r="L3" s="106"/>
      <c r="M3" s="106"/>
      <c r="N3" s="106"/>
      <c r="O3" s="106"/>
      <c r="P3" s="127" t="s">
        <v>240</v>
      </c>
      <c r="Q3" s="124"/>
      <c r="R3" s="125"/>
      <c r="S3" s="124"/>
      <c r="W3" s="11"/>
      <c r="X3" s="11"/>
      <c r="Y3" s="11"/>
      <c r="Z3" s="11"/>
    </row>
    <row r="4" spans="1:30">
      <c r="A4" t="s">
        <v>47</v>
      </c>
      <c r="B4" t="s">
        <v>46</v>
      </c>
      <c r="C4" s="131">
        <v>0.54</v>
      </c>
      <c r="D4" s="140" t="s">
        <v>251</v>
      </c>
      <c r="E4" s="129"/>
      <c r="F4" s="129" t="s">
        <v>250</v>
      </c>
      <c r="G4" s="129"/>
      <c r="H4" s="129"/>
      <c r="I4" s="129"/>
      <c r="J4" s="111" t="s">
        <v>119</v>
      </c>
      <c r="K4" s="111"/>
      <c r="L4" s="111"/>
      <c r="M4" s="111"/>
      <c r="N4" s="111"/>
      <c r="O4" s="111"/>
      <c r="P4" s="117"/>
      <c r="Q4" s="117"/>
      <c r="R4" s="117"/>
      <c r="W4" s="11"/>
      <c r="X4" s="11"/>
      <c r="Y4" s="11"/>
      <c r="Z4" s="11"/>
    </row>
    <row r="5" spans="1:30">
      <c r="A5" s="206" t="s">
        <v>48</v>
      </c>
      <c r="C5" s="132">
        <v>15</v>
      </c>
      <c r="D5" s="133" t="s">
        <v>49</v>
      </c>
      <c r="E5" s="129"/>
      <c r="F5" s="129"/>
      <c r="G5" s="129" t="s">
        <v>247</v>
      </c>
      <c r="H5" s="129"/>
      <c r="I5" s="129"/>
      <c r="J5" s="107" t="s">
        <v>120</v>
      </c>
      <c r="K5" s="107"/>
      <c r="L5" s="107"/>
      <c r="M5" s="107"/>
      <c r="N5" s="107"/>
      <c r="O5" s="107"/>
      <c r="P5" s="117"/>
      <c r="Q5" s="117"/>
      <c r="R5" s="117"/>
      <c r="S5" s="92"/>
      <c r="W5" s="11"/>
      <c r="X5" s="11"/>
      <c r="Y5" s="11"/>
      <c r="Z5" s="11"/>
    </row>
    <row r="6" spans="1:30">
      <c r="A6" s="206"/>
      <c r="C6" s="133">
        <v>90</v>
      </c>
      <c r="D6" s="133" t="s">
        <v>226</v>
      </c>
      <c r="E6" s="133"/>
      <c r="F6" s="129"/>
      <c r="G6" s="129"/>
      <c r="H6" s="130"/>
      <c r="I6" s="130"/>
      <c r="J6" s="109" t="s">
        <v>209</v>
      </c>
      <c r="K6" s="109"/>
      <c r="L6" s="109"/>
      <c r="M6" s="109"/>
      <c r="N6" s="109"/>
      <c r="O6" s="109"/>
      <c r="P6" s="117"/>
      <c r="Q6" s="117"/>
      <c r="R6" s="117"/>
      <c r="W6" s="11"/>
      <c r="X6" s="11"/>
      <c r="Y6" s="11"/>
      <c r="Z6" s="11"/>
    </row>
    <row r="7" spans="1:30" s="5" customFormat="1">
      <c r="J7" s="110" t="s">
        <v>214</v>
      </c>
      <c r="K7" s="110"/>
      <c r="L7" s="110"/>
      <c r="M7" s="110"/>
      <c r="N7" s="110"/>
      <c r="O7" s="110"/>
      <c r="P7" s="117"/>
      <c r="Q7" s="117"/>
      <c r="R7" s="117"/>
    </row>
    <row r="8" spans="1:30">
      <c r="J8" s="108" t="s">
        <v>220</v>
      </c>
      <c r="K8" s="108"/>
      <c r="L8" s="108"/>
      <c r="M8" s="108"/>
      <c r="N8" s="108"/>
      <c r="O8" s="108"/>
      <c r="P8" s="117"/>
      <c r="Q8" s="117"/>
      <c r="R8" s="117"/>
    </row>
    <row r="9" spans="1:30">
      <c r="A9" t="s">
        <v>0</v>
      </c>
      <c r="B9" t="s">
        <v>63</v>
      </c>
      <c r="C9" s="17" t="s">
        <v>239</v>
      </c>
      <c r="D9" s="17" t="s">
        <v>112</v>
      </c>
      <c r="E9" s="17" t="s">
        <v>64</v>
      </c>
      <c r="F9" s="17" t="s">
        <v>223</v>
      </c>
      <c r="G9" s="17" t="s">
        <v>1</v>
      </c>
      <c r="H9" s="17" t="s">
        <v>2</v>
      </c>
      <c r="I9" s="17" t="s">
        <v>221</v>
      </c>
      <c r="J9" s="17" t="s">
        <v>207</v>
      </c>
      <c r="K9" s="17" t="s">
        <v>218</v>
      </c>
      <c r="L9" s="17" t="s">
        <v>111</v>
      </c>
      <c r="M9" s="17" t="s">
        <v>3</v>
      </c>
      <c r="N9" s="17" t="s">
        <v>125</v>
      </c>
      <c r="O9" s="17" t="s">
        <v>222</v>
      </c>
      <c r="P9" s="17" t="s">
        <v>210</v>
      </c>
      <c r="Q9" s="17" t="s">
        <v>44</v>
      </c>
      <c r="R9" s="17" t="s">
        <v>232</v>
      </c>
      <c r="S9" s="17" t="s">
        <v>113</v>
      </c>
      <c r="T9" s="17" t="s">
        <v>4</v>
      </c>
      <c r="U9" s="17" t="s">
        <v>5</v>
      </c>
      <c r="V9" s="17" t="s">
        <v>18</v>
      </c>
      <c r="W9" s="18" t="s">
        <v>114</v>
      </c>
      <c r="X9" s="18" t="s">
        <v>241</v>
      </c>
      <c r="Y9" s="18" t="s">
        <v>233</v>
      </c>
      <c r="Z9" s="18" t="s">
        <v>126</v>
      </c>
      <c r="AA9" s="17" t="s">
        <v>43</v>
      </c>
      <c r="AB9" s="17" t="s">
        <v>58</v>
      </c>
      <c r="AD9" s="6" t="s">
        <v>75</v>
      </c>
    </row>
    <row r="10" spans="1:30">
      <c r="G10" t="s">
        <v>72</v>
      </c>
      <c r="T10" t="s">
        <v>72</v>
      </c>
      <c r="W10" s="11"/>
      <c r="X10" s="11"/>
      <c r="Y10" s="11"/>
      <c r="Z10" s="11"/>
    </row>
    <row r="11" spans="1:30">
      <c r="G11" s="4" t="s">
        <v>76</v>
      </c>
      <c r="H11" s="4" t="s">
        <v>77</v>
      </c>
      <c r="I11" s="4"/>
      <c r="J11" s="4"/>
      <c r="K11" s="4" t="s">
        <v>77</v>
      </c>
      <c r="L11" s="4"/>
      <c r="M11" s="4" t="s">
        <v>77</v>
      </c>
      <c r="N11" s="4" t="s">
        <v>77</v>
      </c>
      <c r="O11" s="4"/>
      <c r="P11" s="4"/>
      <c r="Q11" s="4" t="s">
        <v>80</v>
      </c>
      <c r="R11" s="4"/>
      <c r="S11" s="4" t="s">
        <v>77</v>
      </c>
      <c r="T11" s="4" t="s">
        <v>81</v>
      </c>
      <c r="U11" s="4" t="s">
        <v>77</v>
      </c>
      <c r="V11" s="4" t="s">
        <v>77</v>
      </c>
      <c r="W11" s="12" t="s">
        <v>77</v>
      </c>
      <c r="X11" s="128" t="s">
        <v>242</v>
      </c>
      <c r="Y11" s="12" t="s">
        <v>77</v>
      </c>
      <c r="Z11" s="4" t="s">
        <v>77</v>
      </c>
      <c r="AA11" s="4" t="s">
        <v>85</v>
      </c>
    </row>
    <row r="12" spans="1:30" s="16" customFormat="1" ht="102">
      <c r="A12" s="13" t="s">
        <v>142</v>
      </c>
      <c r="B12" s="13" t="s">
        <v>75</v>
      </c>
      <c r="C12" s="123">
        <v>95843</v>
      </c>
      <c r="D12" s="13" t="s">
        <v>115</v>
      </c>
      <c r="E12" s="13" t="s">
        <v>217</v>
      </c>
      <c r="F12" s="13" t="s">
        <v>224</v>
      </c>
      <c r="G12" s="14" t="s">
        <v>71</v>
      </c>
      <c r="H12" s="13" t="s">
        <v>73</v>
      </c>
      <c r="I12" s="13"/>
      <c r="J12" s="13" t="s">
        <v>89</v>
      </c>
      <c r="K12" s="71" t="s">
        <v>219</v>
      </c>
      <c r="L12" s="13" t="s">
        <v>116</v>
      </c>
      <c r="M12" s="13" t="s">
        <v>79</v>
      </c>
      <c r="N12" s="13" t="s">
        <v>94</v>
      </c>
      <c r="O12" s="13"/>
      <c r="P12" s="13" t="s">
        <v>208</v>
      </c>
      <c r="Q12" s="13" t="s">
        <v>78</v>
      </c>
      <c r="R12" s="13"/>
      <c r="S12" s="13" t="s">
        <v>127</v>
      </c>
      <c r="T12" s="13" t="s">
        <v>82</v>
      </c>
      <c r="U12" s="13" t="s">
        <v>216</v>
      </c>
      <c r="V12" s="13" t="s">
        <v>83</v>
      </c>
      <c r="W12" s="15" t="s">
        <v>117</v>
      </c>
      <c r="X12" s="15" t="s">
        <v>243</v>
      </c>
      <c r="Y12" s="15" t="s">
        <v>109</v>
      </c>
      <c r="Z12" s="13" t="s">
        <v>110</v>
      </c>
      <c r="AA12" s="13" t="s">
        <v>84</v>
      </c>
    </row>
    <row r="13" spans="1:30">
      <c r="A13">
        <f>COLUMN()</f>
        <v>1</v>
      </c>
      <c r="B13">
        <f>COLUMN()</f>
        <v>2</v>
      </c>
      <c r="C13">
        <f>COLUMN()</f>
        <v>3</v>
      </c>
      <c r="D13">
        <f>COLUMN()</f>
        <v>4</v>
      </c>
      <c r="E13">
        <f>COLUMN()</f>
        <v>5</v>
      </c>
      <c r="F13">
        <f>COLUMN()</f>
        <v>6</v>
      </c>
      <c r="G13">
        <f>COLUMN()</f>
        <v>7</v>
      </c>
      <c r="H13">
        <f>COLUMN()</f>
        <v>8</v>
      </c>
      <c r="I13">
        <f>COLUMN()</f>
        <v>9</v>
      </c>
      <c r="J13">
        <f>COLUMN()</f>
        <v>10</v>
      </c>
      <c r="K13">
        <f>COLUMN()</f>
        <v>11</v>
      </c>
      <c r="L13">
        <f>COLUMN()</f>
        <v>12</v>
      </c>
      <c r="M13">
        <f>COLUMN()</f>
        <v>13</v>
      </c>
      <c r="N13">
        <f>COLUMN()</f>
        <v>14</v>
      </c>
      <c r="O13">
        <f>COLUMN()</f>
        <v>15</v>
      </c>
      <c r="P13">
        <f>COLUMN()</f>
        <v>16</v>
      </c>
      <c r="Q13">
        <f>COLUMN()</f>
        <v>17</v>
      </c>
      <c r="R13">
        <f>COLUMN()</f>
        <v>18</v>
      </c>
      <c r="S13">
        <f>COLUMN()</f>
        <v>19</v>
      </c>
      <c r="T13">
        <f>COLUMN()</f>
        <v>20</v>
      </c>
      <c r="U13">
        <f>COLUMN()</f>
        <v>21</v>
      </c>
      <c r="V13">
        <f>COLUMN()</f>
        <v>22</v>
      </c>
      <c r="W13">
        <f>COLUMN()</f>
        <v>23</v>
      </c>
      <c r="X13">
        <f>COLUMN()</f>
        <v>24</v>
      </c>
      <c r="Y13">
        <f>COLUMN()</f>
        <v>25</v>
      </c>
      <c r="Z13">
        <f>COLUMN()</f>
        <v>26</v>
      </c>
      <c r="AA13">
        <f>COLUMN()</f>
        <v>27</v>
      </c>
      <c r="AB13">
        <f>COLUMN()</f>
        <v>28</v>
      </c>
      <c r="AC13">
        <f>COLUMN()</f>
        <v>29</v>
      </c>
      <c r="AD13">
        <f>COLUMN()</f>
        <v>30</v>
      </c>
    </row>
    <row r="14" spans="1:30" ht="14.25" customHeight="1">
      <c r="A14" t="s">
        <v>67</v>
      </c>
      <c r="W14" s="11"/>
      <c r="X14" s="11"/>
      <c r="Y14" s="11"/>
      <c r="Z14" s="11"/>
    </row>
    <row r="15" spans="1:30" ht="14.25" customHeight="1">
      <c r="A15" s="17" t="s">
        <v>6</v>
      </c>
      <c r="C15" s="126">
        <v>62</v>
      </c>
      <c r="D15" s="1">
        <v>21</v>
      </c>
      <c r="E15" s="1">
        <v>22</v>
      </c>
      <c r="F15" s="79"/>
      <c r="G15" s="1">
        <v>26</v>
      </c>
      <c r="H15" s="3">
        <v>35</v>
      </c>
      <c r="I15" s="84">
        <v>53</v>
      </c>
      <c r="J15" s="22">
        <v>22</v>
      </c>
      <c r="K15" s="72">
        <v>59</v>
      </c>
      <c r="L15" s="2">
        <v>39</v>
      </c>
      <c r="M15" s="1">
        <v>5</v>
      </c>
      <c r="N15" s="1">
        <v>38</v>
      </c>
      <c r="O15" s="79">
        <v>51</v>
      </c>
      <c r="P15" s="21">
        <v>36</v>
      </c>
      <c r="Q15" s="1">
        <v>24</v>
      </c>
      <c r="R15" s="1">
        <v>95</v>
      </c>
      <c r="S15" s="1">
        <v>47</v>
      </c>
      <c r="T15" s="1">
        <v>13</v>
      </c>
      <c r="U15" s="1">
        <v>31</v>
      </c>
      <c r="V15" s="1">
        <v>54</v>
      </c>
      <c r="W15" s="1">
        <v>68</v>
      </c>
      <c r="X15" s="126">
        <v>91</v>
      </c>
      <c r="Y15" s="1">
        <v>43</v>
      </c>
      <c r="Z15" s="1">
        <v>37</v>
      </c>
      <c r="AA15" s="1">
        <v>21</v>
      </c>
      <c r="AB15" s="2" t="s">
        <v>57</v>
      </c>
      <c r="AD15" s="6" t="s">
        <v>74</v>
      </c>
    </row>
    <row r="16" spans="1:30" ht="14.25" customHeight="1">
      <c r="A16" s="19" t="s">
        <v>112</v>
      </c>
      <c r="B16" s="11" t="s">
        <v>72</v>
      </c>
      <c r="C16" s="126">
        <v>82</v>
      </c>
      <c r="D16" s="1">
        <v>0</v>
      </c>
      <c r="E16" s="1">
        <v>33</v>
      </c>
      <c r="F16" s="79"/>
      <c r="G16" s="1">
        <v>26</v>
      </c>
      <c r="H16" s="1">
        <v>20</v>
      </c>
      <c r="I16" s="79">
        <v>47</v>
      </c>
      <c r="J16" s="1">
        <v>28</v>
      </c>
      <c r="K16" s="2">
        <v>20</v>
      </c>
      <c r="L16" s="1">
        <v>40</v>
      </c>
      <c r="M16" s="1">
        <v>23</v>
      </c>
      <c r="N16" s="1">
        <v>22</v>
      </c>
      <c r="O16" s="79">
        <v>47</v>
      </c>
      <c r="P16" s="21">
        <v>48</v>
      </c>
      <c r="Q16" s="1">
        <v>43</v>
      </c>
      <c r="R16" s="1"/>
      <c r="S16" s="1">
        <v>33</v>
      </c>
      <c r="T16" s="1">
        <v>25</v>
      </c>
      <c r="U16" s="1">
        <v>43</v>
      </c>
      <c r="V16" s="1">
        <v>42</v>
      </c>
      <c r="W16" s="1">
        <v>63</v>
      </c>
      <c r="X16" s="126">
        <v>86</v>
      </c>
      <c r="Y16" s="1">
        <v>29</v>
      </c>
      <c r="Z16" s="1">
        <v>16</v>
      </c>
      <c r="AA16" s="1">
        <v>39</v>
      </c>
      <c r="AB16" s="2" t="s">
        <v>57</v>
      </c>
      <c r="AD16" s="5" t="s">
        <v>115</v>
      </c>
    </row>
    <row r="17" spans="1:30" ht="14.25" customHeight="1">
      <c r="A17" s="20" t="s">
        <v>64</v>
      </c>
      <c r="C17" s="126">
        <v>82</v>
      </c>
      <c r="D17" s="1">
        <v>33</v>
      </c>
      <c r="E17" s="1">
        <v>0</v>
      </c>
      <c r="F17" s="79"/>
      <c r="G17" s="1">
        <v>13</v>
      </c>
      <c r="H17" s="1">
        <v>53</v>
      </c>
      <c r="I17" s="79">
        <v>40</v>
      </c>
      <c r="J17" s="1">
        <v>9</v>
      </c>
      <c r="K17" s="2">
        <v>53</v>
      </c>
      <c r="L17" s="1">
        <v>26</v>
      </c>
      <c r="M17" s="1">
        <v>24</v>
      </c>
      <c r="N17" s="1">
        <v>25</v>
      </c>
      <c r="O17" s="79">
        <v>38</v>
      </c>
      <c r="P17" s="21">
        <v>15</v>
      </c>
      <c r="Q17" s="1">
        <v>38</v>
      </c>
      <c r="R17" s="1">
        <v>82</v>
      </c>
      <c r="S17" s="1">
        <v>34</v>
      </c>
      <c r="T17" s="1">
        <v>13</v>
      </c>
      <c r="U17" s="1">
        <v>10</v>
      </c>
      <c r="V17" s="1">
        <v>75</v>
      </c>
      <c r="W17" s="1">
        <v>54</v>
      </c>
      <c r="X17" s="126">
        <v>110</v>
      </c>
      <c r="Y17" s="1">
        <v>65</v>
      </c>
      <c r="Z17" s="1">
        <v>39</v>
      </c>
      <c r="AA17" s="1">
        <v>39</v>
      </c>
      <c r="AB17" s="2" t="s">
        <v>57</v>
      </c>
      <c r="AD17" s="6" t="s">
        <v>217</v>
      </c>
    </row>
    <row r="18" spans="1:30" ht="14.25" customHeight="1">
      <c r="A18" s="17" t="s">
        <v>234</v>
      </c>
      <c r="B18" s="9">
        <v>3</v>
      </c>
      <c r="C18" s="126">
        <v>88</v>
      </c>
      <c r="D18" s="112">
        <v>30</v>
      </c>
      <c r="E18" s="112">
        <v>16</v>
      </c>
      <c r="F18" s="112">
        <v>27</v>
      </c>
      <c r="G18" s="112">
        <v>3</v>
      </c>
      <c r="H18" s="112">
        <v>50</v>
      </c>
      <c r="I18" s="113">
        <v>26</v>
      </c>
      <c r="J18" s="112">
        <v>11</v>
      </c>
      <c r="K18" s="112">
        <v>57</v>
      </c>
      <c r="L18" s="112">
        <v>16</v>
      </c>
      <c r="M18" s="112">
        <v>31</v>
      </c>
      <c r="N18" s="112">
        <v>11</v>
      </c>
      <c r="O18" s="112">
        <v>25</v>
      </c>
      <c r="P18" s="112">
        <v>22</v>
      </c>
      <c r="Q18" s="112">
        <v>17</v>
      </c>
      <c r="R18" s="114">
        <v>76</v>
      </c>
      <c r="S18" s="112">
        <v>20</v>
      </c>
      <c r="T18" s="112">
        <v>25</v>
      </c>
      <c r="U18" s="112">
        <v>17</v>
      </c>
      <c r="V18" s="112">
        <v>74</v>
      </c>
      <c r="W18" s="115">
        <v>53</v>
      </c>
      <c r="X18" s="126">
        <v>120</v>
      </c>
      <c r="Y18" s="115">
        <v>63</v>
      </c>
      <c r="Z18" s="115">
        <v>37</v>
      </c>
      <c r="AA18" s="115">
        <v>47</v>
      </c>
      <c r="AB18" s="115" t="s">
        <v>57</v>
      </c>
      <c r="AD18" s="6" t="s">
        <v>230</v>
      </c>
    </row>
    <row r="19" spans="1:30" ht="14.25" customHeight="1">
      <c r="A19" s="17" t="s">
        <v>7</v>
      </c>
      <c r="C19" s="126">
        <v>153</v>
      </c>
      <c r="D19" s="1">
        <v>94</v>
      </c>
      <c r="E19" s="1">
        <v>77</v>
      </c>
      <c r="F19" s="79"/>
      <c r="G19" s="1">
        <v>65</v>
      </c>
      <c r="H19" s="1">
        <v>111</v>
      </c>
      <c r="I19" s="79">
        <v>88</v>
      </c>
      <c r="J19" s="21">
        <v>72</v>
      </c>
      <c r="K19" s="73">
        <v>123</v>
      </c>
      <c r="L19" s="1">
        <v>51</v>
      </c>
      <c r="M19" s="1">
        <v>93</v>
      </c>
      <c r="N19" s="1">
        <v>77</v>
      </c>
      <c r="O19" s="79">
        <v>81</v>
      </c>
      <c r="P19" s="21">
        <v>82</v>
      </c>
      <c r="Q19" s="1">
        <v>112</v>
      </c>
      <c r="R19" s="1">
        <v>29</v>
      </c>
      <c r="S19" s="1">
        <v>86</v>
      </c>
      <c r="T19" s="1">
        <v>86</v>
      </c>
      <c r="U19" s="1">
        <v>77</v>
      </c>
      <c r="V19" s="1">
        <v>136</v>
      </c>
      <c r="W19" s="1">
        <v>72</v>
      </c>
      <c r="X19" s="126">
        <v>202</v>
      </c>
      <c r="Y19" s="1">
        <v>143</v>
      </c>
      <c r="Z19" s="1">
        <v>98</v>
      </c>
      <c r="AA19" s="1">
        <v>109</v>
      </c>
      <c r="AB19" s="2" t="s">
        <v>57</v>
      </c>
      <c r="AD19" s="6" t="s">
        <v>86</v>
      </c>
    </row>
    <row r="20" spans="1:30" ht="14.25" customHeight="1">
      <c r="A20" s="20" t="s">
        <v>1</v>
      </c>
      <c r="B20" t="s">
        <v>72</v>
      </c>
      <c r="C20" s="126">
        <v>88</v>
      </c>
      <c r="D20" s="1">
        <v>26</v>
      </c>
      <c r="E20" s="1">
        <v>13</v>
      </c>
      <c r="F20" s="79"/>
      <c r="G20" s="1">
        <v>0</v>
      </c>
      <c r="H20" s="105">
        <v>46</v>
      </c>
      <c r="I20" s="79">
        <v>28</v>
      </c>
      <c r="J20" s="1">
        <v>8</v>
      </c>
      <c r="K20" s="2">
        <v>46</v>
      </c>
      <c r="L20" s="1">
        <v>14</v>
      </c>
      <c r="M20" s="1">
        <v>28</v>
      </c>
      <c r="N20" s="1">
        <v>12</v>
      </c>
      <c r="O20" s="79">
        <v>28</v>
      </c>
      <c r="P20" s="21">
        <v>19</v>
      </c>
      <c r="Q20" s="1">
        <v>47</v>
      </c>
      <c r="R20" s="1">
        <v>70</v>
      </c>
      <c r="S20" s="1">
        <v>22</v>
      </c>
      <c r="T20" s="1">
        <v>22</v>
      </c>
      <c r="U20" s="1">
        <v>14</v>
      </c>
      <c r="V20" s="1">
        <v>71</v>
      </c>
      <c r="W20" s="1">
        <v>42</v>
      </c>
      <c r="X20" s="126">
        <v>118</v>
      </c>
      <c r="Y20" s="1">
        <v>61</v>
      </c>
      <c r="Z20" s="1">
        <v>33</v>
      </c>
      <c r="AA20" s="1">
        <v>44</v>
      </c>
      <c r="AB20" s="2" t="s">
        <v>57</v>
      </c>
      <c r="AD20" s="7" t="s">
        <v>71</v>
      </c>
    </row>
    <row r="21" spans="1:30" ht="14.25" customHeight="1">
      <c r="A21" s="17" t="s">
        <v>66</v>
      </c>
      <c r="B21" s="9">
        <v>2</v>
      </c>
      <c r="C21" s="126">
        <v>88</v>
      </c>
      <c r="D21" s="1">
        <v>26</v>
      </c>
      <c r="E21" s="1">
        <v>15</v>
      </c>
      <c r="F21" s="79">
        <v>15</v>
      </c>
      <c r="G21" s="105">
        <v>0</v>
      </c>
      <c r="H21" s="1">
        <v>46</v>
      </c>
      <c r="I21" s="79">
        <v>27</v>
      </c>
      <c r="J21" s="21">
        <v>8</v>
      </c>
      <c r="K21" s="73">
        <v>57</v>
      </c>
      <c r="L21" s="1">
        <v>16</v>
      </c>
      <c r="M21" s="1">
        <v>30</v>
      </c>
      <c r="N21" s="1">
        <v>10</v>
      </c>
      <c r="O21" s="79">
        <v>26</v>
      </c>
      <c r="P21" s="21">
        <v>21</v>
      </c>
      <c r="Q21" s="1">
        <v>49</v>
      </c>
      <c r="R21" s="1">
        <v>71</v>
      </c>
      <c r="S21" s="1">
        <v>20</v>
      </c>
      <c r="T21" s="1">
        <v>24</v>
      </c>
      <c r="U21" s="1">
        <v>16</v>
      </c>
      <c r="V21" s="1">
        <v>73</v>
      </c>
      <c r="W21" s="1">
        <v>41</v>
      </c>
      <c r="X21" s="126">
        <v>120</v>
      </c>
      <c r="Y21" s="1">
        <v>60</v>
      </c>
      <c r="Z21" s="1">
        <v>33</v>
      </c>
      <c r="AA21" s="1">
        <v>46</v>
      </c>
      <c r="AB21" s="2" t="s">
        <v>57</v>
      </c>
      <c r="AD21" s="6" t="s">
        <v>87</v>
      </c>
    </row>
    <row r="22" spans="1:30" ht="14.25" customHeight="1">
      <c r="A22" s="17" t="s">
        <v>236</v>
      </c>
      <c r="B22" s="9"/>
      <c r="C22" s="126">
        <v>88</v>
      </c>
      <c r="D22" s="119">
        <v>26</v>
      </c>
      <c r="E22" s="119">
        <v>14</v>
      </c>
      <c r="F22" s="119">
        <v>20</v>
      </c>
      <c r="G22" s="119">
        <v>2</v>
      </c>
      <c r="H22" s="119">
        <v>45</v>
      </c>
      <c r="I22" s="119">
        <v>29</v>
      </c>
      <c r="J22" s="119">
        <v>7</v>
      </c>
      <c r="K22" s="120">
        <v>54</v>
      </c>
      <c r="L22" s="119">
        <v>15</v>
      </c>
      <c r="M22" s="119">
        <v>29</v>
      </c>
      <c r="N22" s="119">
        <v>11</v>
      </c>
      <c r="O22" s="119">
        <v>27</v>
      </c>
      <c r="P22" s="119">
        <v>19</v>
      </c>
      <c r="Q22" s="119">
        <v>48</v>
      </c>
      <c r="R22" s="119">
        <v>70</v>
      </c>
      <c r="S22" s="119">
        <v>21</v>
      </c>
      <c r="T22" s="119">
        <v>23</v>
      </c>
      <c r="U22" s="119">
        <v>14</v>
      </c>
      <c r="V22" s="119">
        <v>71</v>
      </c>
      <c r="W22" s="119">
        <v>42</v>
      </c>
      <c r="X22" s="126">
        <v>118</v>
      </c>
      <c r="Y22" s="119">
        <v>60</v>
      </c>
      <c r="Z22" s="119">
        <v>32</v>
      </c>
      <c r="AA22" s="119">
        <v>45</v>
      </c>
      <c r="AB22" s="119" t="s">
        <v>57</v>
      </c>
      <c r="AD22" s="6" t="s">
        <v>238</v>
      </c>
    </row>
    <row r="23" spans="1:30" ht="14.25" customHeight="1">
      <c r="A23" s="20" t="s">
        <v>2</v>
      </c>
      <c r="C23" s="126">
        <v>70</v>
      </c>
      <c r="D23" s="1">
        <v>20</v>
      </c>
      <c r="E23" s="1">
        <v>53</v>
      </c>
      <c r="F23" s="79">
        <v>44</v>
      </c>
      <c r="G23" s="1">
        <v>46</v>
      </c>
      <c r="H23" s="1">
        <v>0</v>
      </c>
      <c r="I23" s="79">
        <v>63</v>
      </c>
      <c r="J23" s="1">
        <v>43</v>
      </c>
      <c r="K23" s="73">
        <v>55</v>
      </c>
      <c r="L23" s="1">
        <v>60</v>
      </c>
      <c r="M23" s="1">
        <v>31</v>
      </c>
      <c r="N23" s="1">
        <v>39</v>
      </c>
      <c r="O23" s="79">
        <v>64</v>
      </c>
      <c r="P23" s="21">
        <v>68</v>
      </c>
      <c r="Q23" s="1">
        <v>27</v>
      </c>
      <c r="R23" s="1">
        <v>120</v>
      </c>
      <c r="S23" s="1">
        <v>49</v>
      </c>
      <c r="T23" s="1">
        <v>45</v>
      </c>
      <c r="U23" s="1">
        <v>63</v>
      </c>
      <c r="V23" s="1">
        <v>20</v>
      </c>
      <c r="W23" s="1">
        <v>80</v>
      </c>
      <c r="X23" s="126">
        <v>66</v>
      </c>
      <c r="Y23" s="1">
        <v>9</v>
      </c>
      <c r="Z23" s="79">
        <v>34</v>
      </c>
      <c r="AA23" s="1">
        <v>24</v>
      </c>
      <c r="AB23" s="2" t="s">
        <v>57</v>
      </c>
      <c r="AD23" s="6" t="s">
        <v>73</v>
      </c>
    </row>
    <row r="24" spans="1:30" ht="14.25" customHeight="1">
      <c r="A24" s="17" t="s">
        <v>8</v>
      </c>
      <c r="C24" s="126">
        <v>116</v>
      </c>
      <c r="D24" s="1">
        <v>47</v>
      </c>
      <c r="E24" s="1">
        <v>40</v>
      </c>
      <c r="F24" s="79">
        <v>13</v>
      </c>
      <c r="G24" s="1">
        <v>28</v>
      </c>
      <c r="H24" s="1">
        <v>63</v>
      </c>
      <c r="I24" s="79">
        <v>0</v>
      </c>
      <c r="J24" s="21">
        <v>36</v>
      </c>
      <c r="K24" s="73">
        <v>51</v>
      </c>
      <c r="L24" s="1">
        <v>41</v>
      </c>
      <c r="M24" s="1">
        <v>56</v>
      </c>
      <c r="N24" s="1">
        <v>19</v>
      </c>
      <c r="O24" s="79">
        <v>11</v>
      </c>
      <c r="P24" s="21">
        <v>47</v>
      </c>
      <c r="Q24" s="1">
        <v>74</v>
      </c>
      <c r="R24" s="1">
        <v>61</v>
      </c>
      <c r="S24" s="1">
        <v>15</v>
      </c>
      <c r="T24" s="1">
        <v>49</v>
      </c>
      <c r="U24" s="1">
        <v>41</v>
      </c>
      <c r="V24" s="1">
        <v>68</v>
      </c>
      <c r="W24" s="1">
        <v>22</v>
      </c>
      <c r="X24" s="126">
        <v>116</v>
      </c>
      <c r="Y24" s="1">
        <v>57</v>
      </c>
      <c r="Z24" s="79">
        <v>32</v>
      </c>
      <c r="AA24" s="1">
        <v>72</v>
      </c>
      <c r="AB24" s="2" t="s">
        <v>57</v>
      </c>
      <c r="AD24" s="6" t="s">
        <v>88</v>
      </c>
    </row>
    <row r="25" spans="1:30" ht="14.25" customHeight="1">
      <c r="A25" s="17" t="s">
        <v>9</v>
      </c>
      <c r="C25" s="126">
        <v>30</v>
      </c>
      <c r="D25" s="1">
        <v>103</v>
      </c>
      <c r="E25" s="1">
        <v>92</v>
      </c>
      <c r="F25" s="79">
        <v>124</v>
      </c>
      <c r="G25" s="1">
        <v>100</v>
      </c>
      <c r="H25" s="1">
        <v>81</v>
      </c>
      <c r="I25" s="79">
        <v>128</v>
      </c>
      <c r="J25" s="21">
        <v>96</v>
      </c>
      <c r="K25" s="73">
        <v>119</v>
      </c>
      <c r="L25" s="1">
        <v>113</v>
      </c>
      <c r="M25" s="1">
        <v>72</v>
      </c>
      <c r="N25" s="1">
        <v>74</v>
      </c>
      <c r="O25" s="79">
        <v>128</v>
      </c>
      <c r="P25" s="21">
        <v>105</v>
      </c>
      <c r="Q25" s="1">
        <v>55</v>
      </c>
      <c r="R25" s="1">
        <v>185</v>
      </c>
      <c r="S25" s="1">
        <v>115</v>
      </c>
      <c r="T25" s="1">
        <v>80</v>
      </c>
      <c r="U25" s="1">
        <v>100</v>
      </c>
      <c r="V25" s="1">
        <v>61</v>
      </c>
      <c r="W25" s="1">
        <v>146</v>
      </c>
      <c r="X25" s="126">
        <v>45</v>
      </c>
      <c r="Y25" s="1">
        <v>73</v>
      </c>
      <c r="Z25" s="1">
        <v>49</v>
      </c>
      <c r="AA25" s="1">
        <v>56</v>
      </c>
      <c r="AB25" s="2" t="s">
        <v>57</v>
      </c>
      <c r="AD25" s="6" t="s">
        <v>92</v>
      </c>
    </row>
    <row r="26" spans="1:30" ht="14.25" customHeight="1">
      <c r="A26" s="20" t="s">
        <v>10</v>
      </c>
      <c r="C26" s="126">
        <v>85</v>
      </c>
      <c r="D26" s="1">
        <v>28</v>
      </c>
      <c r="E26" s="1">
        <v>9</v>
      </c>
      <c r="F26" s="79">
        <v>25</v>
      </c>
      <c r="G26" s="1">
        <v>8</v>
      </c>
      <c r="H26" s="1">
        <v>43</v>
      </c>
      <c r="I26" s="79">
        <v>36</v>
      </c>
      <c r="J26" s="21">
        <v>0</v>
      </c>
      <c r="K26" s="73">
        <v>52</v>
      </c>
      <c r="L26" s="1">
        <v>21</v>
      </c>
      <c r="M26" s="1">
        <v>25</v>
      </c>
      <c r="N26" s="1">
        <v>20</v>
      </c>
      <c r="O26" s="79">
        <v>33</v>
      </c>
      <c r="P26" s="21">
        <v>23</v>
      </c>
      <c r="Q26" s="1">
        <v>43</v>
      </c>
      <c r="R26" s="1">
        <v>76</v>
      </c>
      <c r="S26" s="1">
        <v>30</v>
      </c>
      <c r="T26" s="1">
        <v>18</v>
      </c>
      <c r="U26" s="1">
        <v>18</v>
      </c>
      <c r="V26" s="1">
        <v>68</v>
      </c>
      <c r="W26" s="1">
        <v>50</v>
      </c>
      <c r="X26" s="126">
        <v>117</v>
      </c>
      <c r="Y26" s="1">
        <v>57</v>
      </c>
      <c r="Z26" s="1">
        <v>30</v>
      </c>
      <c r="AA26" s="1">
        <v>41</v>
      </c>
      <c r="AB26" s="2" t="s">
        <v>57</v>
      </c>
      <c r="AD26" s="6" t="s">
        <v>89</v>
      </c>
    </row>
    <row r="27" spans="1:30" ht="14.25" customHeight="1">
      <c r="A27" s="17" t="s">
        <v>36</v>
      </c>
      <c r="C27" s="126">
        <v>23</v>
      </c>
      <c r="D27" s="1">
        <v>60</v>
      </c>
      <c r="E27" s="1">
        <v>56</v>
      </c>
      <c r="F27" s="79">
        <v>83</v>
      </c>
      <c r="G27" s="1">
        <v>66</v>
      </c>
      <c r="H27" s="1">
        <v>45</v>
      </c>
      <c r="I27" s="79">
        <v>93</v>
      </c>
      <c r="J27" s="21">
        <v>62</v>
      </c>
      <c r="K27" s="73">
        <v>116</v>
      </c>
      <c r="L27" s="1">
        <v>78</v>
      </c>
      <c r="M27" s="1">
        <v>37</v>
      </c>
      <c r="N27" s="1">
        <v>77</v>
      </c>
      <c r="O27" s="79">
        <v>91</v>
      </c>
      <c r="P27" s="21">
        <v>69</v>
      </c>
      <c r="Q27" s="1">
        <v>19</v>
      </c>
      <c r="R27" s="1">
        <v>135</v>
      </c>
      <c r="S27" s="1">
        <v>86</v>
      </c>
      <c r="T27" s="1">
        <v>44</v>
      </c>
      <c r="U27" s="1">
        <v>64</v>
      </c>
      <c r="V27" s="10">
        <v>25</v>
      </c>
      <c r="W27" s="1">
        <v>107</v>
      </c>
      <c r="X27" s="126">
        <v>55</v>
      </c>
      <c r="Y27" s="1">
        <v>54</v>
      </c>
      <c r="Z27" s="1">
        <v>76</v>
      </c>
      <c r="AA27" s="1">
        <v>21</v>
      </c>
      <c r="AB27" s="2" t="s">
        <v>57</v>
      </c>
      <c r="AD27" s="6" t="s">
        <v>90</v>
      </c>
    </row>
    <row r="28" spans="1:30" ht="14.25" customHeight="1">
      <c r="A28" s="17" t="s">
        <v>11</v>
      </c>
      <c r="C28" s="126">
        <v>112</v>
      </c>
      <c r="D28" s="1">
        <v>38</v>
      </c>
      <c r="E28" s="1">
        <v>60</v>
      </c>
      <c r="F28" s="79">
        <v>47</v>
      </c>
      <c r="G28" s="1">
        <v>55</v>
      </c>
      <c r="H28" s="1">
        <v>54</v>
      </c>
      <c r="I28" s="79">
        <v>50</v>
      </c>
      <c r="J28" s="21">
        <v>52</v>
      </c>
      <c r="K28" s="73">
        <v>0</v>
      </c>
      <c r="L28" s="1">
        <v>69</v>
      </c>
      <c r="M28" s="1">
        <v>61</v>
      </c>
      <c r="N28" s="1">
        <v>47</v>
      </c>
      <c r="O28" s="79">
        <v>61</v>
      </c>
      <c r="P28" s="21">
        <v>72</v>
      </c>
      <c r="Q28" s="1">
        <v>78</v>
      </c>
      <c r="R28" s="1">
        <v>108</v>
      </c>
      <c r="S28" s="1">
        <v>38</v>
      </c>
      <c r="T28" s="1">
        <v>62</v>
      </c>
      <c r="U28" s="1">
        <v>67</v>
      </c>
      <c r="V28" s="1">
        <v>59</v>
      </c>
      <c r="W28" s="10">
        <v>57</v>
      </c>
      <c r="X28" s="126">
        <v>108</v>
      </c>
      <c r="Y28" s="10">
        <v>48</v>
      </c>
      <c r="Z28" s="1">
        <v>22</v>
      </c>
      <c r="AA28" s="1">
        <v>75</v>
      </c>
      <c r="AB28" s="2" t="s">
        <v>57</v>
      </c>
      <c r="AD28" s="6" t="s">
        <v>91</v>
      </c>
    </row>
    <row r="29" spans="1:30" ht="14.25" customHeight="1">
      <c r="A29" s="17" t="s">
        <v>12</v>
      </c>
      <c r="C29" s="126">
        <v>44</v>
      </c>
      <c r="D29" s="1">
        <v>71</v>
      </c>
      <c r="E29" s="1">
        <v>104</v>
      </c>
      <c r="F29" s="79">
        <v>91</v>
      </c>
      <c r="G29" s="1">
        <v>92</v>
      </c>
      <c r="H29" s="1">
        <v>48</v>
      </c>
      <c r="I29" s="79">
        <v>95</v>
      </c>
      <c r="J29" s="21">
        <v>97</v>
      </c>
      <c r="K29" s="73">
        <v>88</v>
      </c>
      <c r="L29" s="1">
        <v>114</v>
      </c>
      <c r="M29" s="1">
        <v>66</v>
      </c>
      <c r="N29" s="1">
        <v>92</v>
      </c>
      <c r="O29" s="79">
        <v>106</v>
      </c>
      <c r="P29" s="21">
        <v>117</v>
      </c>
      <c r="Q29" s="1">
        <v>53</v>
      </c>
      <c r="R29" s="1">
        <v>153</v>
      </c>
      <c r="S29" s="1">
        <v>83</v>
      </c>
      <c r="T29" s="1">
        <v>95</v>
      </c>
      <c r="U29" s="1">
        <v>112</v>
      </c>
      <c r="V29" s="1">
        <v>29</v>
      </c>
      <c r="W29" s="1">
        <v>113</v>
      </c>
      <c r="X29" s="126">
        <v>28</v>
      </c>
      <c r="Y29" s="1">
        <v>40</v>
      </c>
      <c r="Z29" s="1">
        <v>67</v>
      </c>
      <c r="AA29" s="1">
        <v>50</v>
      </c>
      <c r="AB29" s="2" t="s">
        <v>57</v>
      </c>
      <c r="AD29" s="6" t="s">
        <v>93</v>
      </c>
    </row>
    <row r="30" spans="1:30" ht="14.25" customHeight="1">
      <c r="A30" s="19" t="s">
        <v>111</v>
      </c>
      <c r="B30" s="11" t="s">
        <v>72</v>
      </c>
      <c r="C30" s="126">
        <v>102</v>
      </c>
      <c r="D30" s="1">
        <v>40</v>
      </c>
      <c r="E30" s="1">
        <v>26</v>
      </c>
      <c r="F30" s="79"/>
      <c r="G30" s="1">
        <v>14</v>
      </c>
      <c r="H30" s="1">
        <v>60</v>
      </c>
      <c r="I30" s="79">
        <v>41</v>
      </c>
      <c r="J30" s="1">
        <v>21</v>
      </c>
      <c r="K30" s="2">
        <v>60</v>
      </c>
      <c r="L30" s="1">
        <v>0</v>
      </c>
      <c r="M30" s="1">
        <v>41</v>
      </c>
      <c r="N30" s="1">
        <v>26</v>
      </c>
      <c r="O30" s="79">
        <v>39</v>
      </c>
      <c r="P30" s="21">
        <v>31</v>
      </c>
      <c r="Q30" s="1">
        <v>60</v>
      </c>
      <c r="R30" s="1">
        <v>55</v>
      </c>
      <c r="S30" s="1">
        <v>35</v>
      </c>
      <c r="T30" s="1">
        <v>36</v>
      </c>
      <c r="U30" s="1">
        <v>26</v>
      </c>
      <c r="V30" s="1">
        <v>85</v>
      </c>
      <c r="W30" s="1">
        <v>56</v>
      </c>
      <c r="X30" s="126">
        <v>132</v>
      </c>
      <c r="Y30" s="1">
        <v>75</v>
      </c>
      <c r="Z30" s="1">
        <v>47</v>
      </c>
      <c r="AA30" s="1">
        <v>58</v>
      </c>
      <c r="AB30" s="2" t="s">
        <v>57</v>
      </c>
      <c r="AD30" s="5" t="s">
        <v>116</v>
      </c>
    </row>
    <row r="31" spans="1:30" ht="14.25" customHeight="1">
      <c r="A31" s="20" t="s">
        <v>3</v>
      </c>
      <c r="C31" s="126">
        <v>58</v>
      </c>
      <c r="D31" s="1">
        <v>23</v>
      </c>
      <c r="E31" s="1">
        <v>24</v>
      </c>
      <c r="F31" s="79">
        <v>45</v>
      </c>
      <c r="G31" s="1">
        <v>28</v>
      </c>
      <c r="H31" s="1">
        <v>31</v>
      </c>
      <c r="I31" s="79">
        <v>55</v>
      </c>
      <c r="J31" s="1">
        <v>25</v>
      </c>
      <c r="K31" s="73">
        <v>61</v>
      </c>
      <c r="L31" s="1">
        <v>41</v>
      </c>
      <c r="M31" s="1">
        <v>0</v>
      </c>
      <c r="N31" s="1">
        <v>40</v>
      </c>
      <c r="O31" s="79">
        <v>54</v>
      </c>
      <c r="P31" s="21">
        <v>39</v>
      </c>
      <c r="Q31" s="1">
        <v>20</v>
      </c>
      <c r="R31" s="1">
        <v>97</v>
      </c>
      <c r="S31" s="1">
        <v>50</v>
      </c>
      <c r="T31" s="1">
        <v>15</v>
      </c>
      <c r="U31" s="1">
        <v>33</v>
      </c>
      <c r="V31" s="1">
        <v>50</v>
      </c>
      <c r="W31" s="1">
        <v>70</v>
      </c>
      <c r="X31" s="126">
        <v>88</v>
      </c>
      <c r="Y31" s="1">
        <v>40</v>
      </c>
      <c r="Z31" s="1">
        <v>40</v>
      </c>
      <c r="AA31" s="1">
        <v>16</v>
      </c>
      <c r="AB31" s="2" t="s">
        <v>57</v>
      </c>
      <c r="AD31" s="6" t="s">
        <v>79</v>
      </c>
    </row>
    <row r="32" spans="1:30" ht="14.25" customHeight="1">
      <c r="A32" s="20" t="s">
        <v>37</v>
      </c>
      <c r="C32" s="126">
        <v>101</v>
      </c>
      <c r="D32" s="1">
        <v>22</v>
      </c>
      <c r="E32" s="1">
        <v>25</v>
      </c>
      <c r="F32" s="79">
        <v>6</v>
      </c>
      <c r="G32" s="1">
        <v>12</v>
      </c>
      <c r="H32" s="1">
        <v>39</v>
      </c>
      <c r="I32" s="79">
        <v>25</v>
      </c>
      <c r="J32" s="1">
        <v>20</v>
      </c>
      <c r="K32" s="73">
        <v>47</v>
      </c>
      <c r="L32" s="1">
        <v>26</v>
      </c>
      <c r="M32" s="1">
        <v>40</v>
      </c>
      <c r="N32" s="1">
        <v>0</v>
      </c>
      <c r="O32" s="79">
        <v>25</v>
      </c>
      <c r="P32" s="21">
        <v>31</v>
      </c>
      <c r="Q32" s="1">
        <v>59</v>
      </c>
      <c r="R32" s="1">
        <v>82</v>
      </c>
      <c r="S32" s="1">
        <v>10</v>
      </c>
      <c r="T32" s="1">
        <v>34</v>
      </c>
      <c r="U32" s="1">
        <v>26</v>
      </c>
      <c r="V32" s="1">
        <v>63</v>
      </c>
      <c r="W32" s="1">
        <v>42</v>
      </c>
      <c r="X32" s="126">
        <v>112</v>
      </c>
      <c r="Y32" s="1">
        <v>53</v>
      </c>
      <c r="Z32" s="1">
        <v>26</v>
      </c>
      <c r="AA32" s="1">
        <v>56</v>
      </c>
      <c r="AB32" s="2" t="s">
        <v>57</v>
      </c>
      <c r="AD32" s="6" t="s">
        <v>94</v>
      </c>
    </row>
    <row r="33" spans="1:30" ht="14.25" customHeight="1">
      <c r="A33" s="17" t="s">
        <v>38</v>
      </c>
      <c r="B33" s="9">
        <v>8</v>
      </c>
      <c r="C33" s="126">
        <v>68</v>
      </c>
      <c r="D33" s="1">
        <v>28</v>
      </c>
      <c r="E33" s="1">
        <v>15</v>
      </c>
      <c r="F33" s="79">
        <v>43</v>
      </c>
      <c r="G33" s="1">
        <v>25</v>
      </c>
      <c r="H33" s="1">
        <v>48</v>
      </c>
      <c r="I33" s="79">
        <v>53</v>
      </c>
      <c r="J33" s="21">
        <v>22</v>
      </c>
      <c r="K33" s="73">
        <v>66</v>
      </c>
      <c r="L33" s="1">
        <v>38</v>
      </c>
      <c r="M33" s="1">
        <v>15</v>
      </c>
      <c r="N33" s="1">
        <v>37</v>
      </c>
      <c r="O33" s="79">
        <v>51</v>
      </c>
      <c r="P33" s="21">
        <v>29</v>
      </c>
      <c r="Q33" s="1">
        <v>26</v>
      </c>
      <c r="R33" s="1">
        <v>96</v>
      </c>
      <c r="S33" s="1">
        <v>47</v>
      </c>
      <c r="T33" s="8">
        <v>0</v>
      </c>
      <c r="U33" s="1">
        <v>24</v>
      </c>
      <c r="V33" s="1">
        <v>71</v>
      </c>
      <c r="W33" s="1">
        <v>67</v>
      </c>
      <c r="X33" s="126">
        <v>98</v>
      </c>
      <c r="Y33" s="1">
        <v>57</v>
      </c>
      <c r="Z33" s="79">
        <v>44</v>
      </c>
      <c r="AA33" s="1">
        <v>29</v>
      </c>
      <c r="AB33" s="2" t="s">
        <v>57</v>
      </c>
      <c r="AD33" s="6" t="s">
        <v>95</v>
      </c>
    </row>
    <row r="34" spans="1:30" ht="14.25" customHeight="1">
      <c r="A34" s="17" t="s">
        <v>13</v>
      </c>
      <c r="C34" s="126">
        <v>188</v>
      </c>
      <c r="D34" s="1">
        <v>126</v>
      </c>
      <c r="E34" s="1">
        <v>112</v>
      </c>
      <c r="F34" s="79">
        <v>117</v>
      </c>
      <c r="G34" s="1">
        <v>100</v>
      </c>
      <c r="H34" s="1">
        <v>146</v>
      </c>
      <c r="I34" s="79">
        <v>124</v>
      </c>
      <c r="J34" s="21">
        <v>107</v>
      </c>
      <c r="K34" s="73">
        <v>158</v>
      </c>
      <c r="L34" s="1">
        <v>86</v>
      </c>
      <c r="M34" s="1">
        <v>128</v>
      </c>
      <c r="N34" s="1">
        <v>112</v>
      </c>
      <c r="O34" s="79">
        <v>116</v>
      </c>
      <c r="P34" s="21">
        <v>117</v>
      </c>
      <c r="Q34" s="1">
        <v>146</v>
      </c>
      <c r="R34" s="1">
        <v>64</v>
      </c>
      <c r="S34" s="1">
        <v>121</v>
      </c>
      <c r="T34" s="1">
        <v>122</v>
      </c>
      <c r="U34" s="1">
        <v>112</v>
      </c>
      <c r="V34" s="1">
        <v>175</v>
      </c>
      <c r="W34" s="1">
        <v>107</v>
      </c>
      <c r="X34" s="126">
        <v>237</v>
      </c>
      <c r="Y34" s="1">
        <v>178</v>
      </c>
      <c r="Z34" s="1">
        <v>133</v>
      </c>
      <c r="AA34" s="1">
        <v>144</v>
      </c>
      <c r="AB34" s="2" t="s">
        <v>57</v>
      </c>
      <c r="AD34" s="6" t="s">
        <v>96</v>
      </c>
    </row>
    <row r="35" spans="1:30" ht="14.25" customHeight="1">
      <c r="A35" s="17" t="s">
        <v>14</v>
      </c>
      <c r="C35" s="126">
        <v>51</v>
      </c>
      <c r="D35" s="1">
        <v>30</v>
      </c>
      <c r="E35" s="1">
        <v>30</v>
      </c>
      <c r="F35" s="79">
        <v>52</v>
      </c>
      <c r="G35" s="1">
        <v>35</v>
      </c>
      <c r="H35" s="10">
        <v>32</v>
      </c>
      <c r="I35" s="79">
        <v>62</v>
      </c>
      <c r="J35" s="21">
        <v>31</v>
      </c>
      <c r="K35" s="72">
        <v>68</v>
      </c>
      <c r="L35" s="1">
        <v>48</v>
      </c>
      <c r="M35" s="1">
        <v>7</v>
      </c>
      <c r="N35" s="1">
        <v>47</v>
      </c>
      <c r="O35" s="79">
        <v>60</v>
      </c>
      <c r="P35" s="21">
        <v>45</v>
      </c>
      <c r="Q35" s="1">
        <v>13</v>
      </c>
      <c r="R35" s="1">
        <v>104</v>
      </c>
      <c r="S35" s="1">
        <v>56</v>
      </c>
      <c r="T35" s="1">
        <v>22</v>
      </c>
      <c r="U35" s="1">
        <v>40</v>
      </c>
      <c r="V35" s="1">
        <v>41</v>
      </c>
      <c r="W35" s="1">
        <v>77</v>
      </c>
      <c r="X35" s="126">
        <v>81</v>
      </c>
      <c r="Y35" s="1">
        <v>42</v>
      </c>
      <c r="Z35" s="1">
        <v>46</v>
      </c>
      <c r="AA35" s="1">
        <v>10</v>
      </c>
      <c r="AB35" s="2" t="s">
        <v>57</v>
      </c>
      <c r="AD35" s="6" t="s">
        <v>97</v>
      </c>
    </row>
    <row r="36" spans="1:30" ht="14.25" customHeight="1">
      <c r="A36" s="17" t="s">
        <v>15</v>
      </c>
      <c r="C36" s="126">
        <v>115</v>
      </c>
      <c r="D36" s="1">
        <v>47</v>
      </c>
      <c r="E36" s="1">
        <v>38</v>
      </c>
      <c r="F36" s="79">
        <v>25</v>
      </c>
      <c r="G36" s="1">
        <v>26</v>
      </c>
      <c r="H36" s="1">
        <v>73</v>
      </c>
      <c r="I36" s="79">
        <v>11</v>
      </c>
      <c r="J36" s="21">
        <v>34</v>
      </c>
      <c r="K36" s="73">
        <v>61</v>
      </c>
      <c r="L36" s="1">
        <v>39</v>
      </c>
      <c r="M36" s="1">
        <v>54</v>
      </c>
      <c r="N36" s="1">
        <v>25</v>
      </c>
      <c r="O36" s="79">
        <v>0</v>
      </c>
      <c r="P36" s="21">
        <v>45</v>
      </c>
      <c r="Q36" s="1">
        <v>73</v>
      </c>
      <c r="R36" s="1">
        <v>52</v>
      </c>
      <c r="S36" s="1">
        <v>25</v>
      </c>
      <c r="T36" s="1">
        <v>48</v>
      </c>
      <c r="U36" s="1">
        <v>40</v>
      </c>
      <c r="V36" s="1">
        <v>78</v>
      </c>
      <c r="W36" s="1">
        <v>17</v>
      </c>
      <c r="X36" s="126">
        <v>127</v>
      </c>
      <c r="Y36" s="1">
        <v>67</v>
      </c>
      <c r="Z36" s="1">
        <v>41</v>
      </c>
      <c r="AA36" s="1">
        <v>70</v>
      </c>
      <c r="AB36" s="2" t="s">
        <v>57</v>
      </c>
      <c r="AD36" s="6" t="s">
        <v>98</v>
      </c>
    </row>
    <row r="37" spans="1:30" ht="14.25" customHeight="1">
      <c r="A37" s="20" t="s">
        <v>210</v>
      </c>
      <c r="C37" s="126">
        <v>91</v>
      </c>
      <c r="D37" s="21">
        <v>48</v>
      </c>
      <c r="E37" s="21">
        <v>15</v>
      </c>
      <c r="F37" s="79"/>
      <c r="G37" s="21">
        <v>19</v>
      </c>
      <c r="H37" s="21">
        <v>68</v>
      </c>
      <c r="I37" s="79">
        <v>45</v>
      </c>
      <c r="J37" s="21">
        <v>23</v>
      </c>
      <c r="K37" s="22">
        <v>68</v>
      </c>
      <c r="L37" s="21">
        <v>31</v>
      </c>
      <c r="M37" s="21">
        <v>39</v>
      </c>
      <c r="N37" s="21">
        <v>31</v>
      </c>
      <c r="O37" s="79"/>
      <c r="P37" s="21">
        <v>0</v>
      </c>
      <c r="Q37" s="21">
        <v>50</v>
      </c>
      <c r="R37" s="21">
        <v>64</v>
      </c>
      <c r="S37" s="21">
        <v>41</v>
      </c>
      <c r="T37" s="21">
        <v>26</v>
      </c>
      <c r="U37" s="21">
        <v>6</v>
      </c>
      <c r="V37" s="21">
        <v>85</v>
      </c>
      <c r="W37" s="21">
        <v>61</v>
      </c>
      <c r="X37" s="126">
        <v>121</v>
      </c>
      <c r="Y37" s="21"/>
      <c r="Z37" s="21">
        <v>45</v>
      </c>
      <c r="AA37" s="21">
        <v>54</v>
      </c>
      <c r="AB37" s="2" t="s">
        <v>57</v>
      </c>
      <c r="AD37" s="6" t="s">
        <v>208</v>
      </c>
    </row>
    <row r="38" spans="1:30" ht="14.25" customHeight="1">
      <c r="A38" s="17" t="s">
        <v>16</v>
      </c>
      <c r="C38" s="126">
        <v>75</v>
      </c>
      <c r="D38" s="1">
        <v>23</v>
      </c>
      <c r="E38" s="1">
        <v>56</v>
      </c>
      <c r="F38" s="79">
        <v>44</v>
      </c>
      <c r="G38" s="1">
        <v>53</v>
      </c>
      <c r="H38" s="1">
        <v>15</v>
      </c>
      <c r="I38" s="79">
        <v>48</v>
      </c>
      <c r="J38" s="21">
        <v>50</v>
      </c>
      <c r="K38" s="73">
        <v>39</v>
      </c>
      <c r="L38" s="1">
        <v>66</v>
      </c>
      <c r="M38" s="1">
        <v>47</v>
      </c>
      <c r="N38" s="1">
        <v>44</v>
      </c>
      <c r="O38" s="79">
        <v>58</v>
      </c>
      <c r="P38" s="21">
        <v>71</v>
      </c>
      <c r="Q38" s="1">
        <v>40</v>
      </c>
      <c r="R38" s="1">
        <v>105</v>
      </c>
      <c r="S38" s="1">
        <v>35</v>
      </c>
      <c r="T38" s="1">
        <v>48</v>
      </c>
      <c r="U38" s="1">
        <v>66</v>
      </c>
      <c r="V38" s="1">
        <v>21</v>
      </c>
      <c r="W38" s="1">
        <v>66</v>
      </c>
      <c r="X38" s="126">
        <v>70</v>
      </c>
      <c r="Y38" s="1">
        <v>9</v>
      </c>
      <c r="Z38" s="1">
        <v>19</v>
      </c>
      <c r="AA38" s="1">
        <v>37</v>
      </c>
      <c r="AB38" s="2" t="s">
        <v>57</v>
      </c>
      <c r="AD38" s="6" t="s">
        <v>99</v>
      </c>
    </row>
    <row r="39" spans="1:30" ht="14.25" customHeight="1">
      <c r="A39" s="20" t="s">
        <v>69</v>
      </c>
      <c r="C39" s="126">
        <v>42</v>
      </c>
      <c r="D39" s="1">
        <v>43</v>
      </c>
      <c r="E39" s="1">
        <v>38</v>
      </c>
      <c r="F39" s="79">
        <v>64</v>
      </c>
      <c r="G39" s="1">
        <v>47</v>
      </c>
      <c r="H39" s="1">
        <v>27</v>
      </c>
      <c r="I39" s="79">
        <v>74</v>
      </c>
      <c r="J39" s="1">
        <v>43</v>
      </c>
      <c r="K39" s="73">
        <v>80</v>
      </c>
      <c r="L39" s="1">
        <v>60</v>
      </c>
      <c r="M39" s="1">
        <v>20</v>
      </c>
      <c r="N39" s="1">
        <v>60</v>
      </c>
      <c r="O39" s="79">
        <v>72</v>
      </c>
      <c r="P39" s="21">
        <v>50</v>
      </c>
      <c r="Q39" s="1">
        <v>0</v>
      </c>
      <c r="R39" s="1">
        <v>115</v>
      </c>
      <c r="S39" s="1">
        <v>69</v>
      </c>
      <c r="T39" s="1">
        <v>25</v>
      </c>
      <c r="U39" s="1">
        <v>45</v>
      </c>
      <c r="V39" s="1">
        <v>35</v>
      </c>
      <c r="W39" s="1">
        <v>88</v>
      </c>
      <c r="X39" s="126">
        <v>72</v>
      </c>
      <c r="Y39" s="1">
        <v>36</v>
      </c>
      <c r="Z39" s="1">
        <v>59</v>
      </c>
      <c r="AA39" s="1">
        <v>3</v>
      </c>
      <c r="AB39" s="2" t="s">
        <v>57</v>
      </c>
      <c r="AD39" s="6" t="s">
        <v>78</v>
      </c>
    </row>
    <row r="40" spans="1:30" ht="14.25" customHeight="1">
      <c r="A40" s="17" t="s">
        <v>39</v>
      </c>
      <c r="B40" s="9">
        <v>2</v>
      </c>
      <c r="C40" s="126">
        <v>136</v>
      </c>
      <c r="D40" s="1">
        <v>63</v>
      </c>
      <c r="E40" s="1">
        <v>54</v>
      </c>
      <c r="F40" s="79">
        <v>31</v>
      </c>
      <c r="G40" s="1">
        <v>41</v>
      </c>
      <c r="H40" s="1">
        <v>80</v>
      </c>
      <c r="I40" s="79">
        <v>19</v>
      </c>
      <c r="J40" s="21">
        <v>50</v>
      </c>
      <c r="K40" s="73">
        <v>70</v>
      </c>
      <c r="L40" s="1">
        <v>54</v>
      </c>
      <c r="M40" s="1">
        <v>70</v>
      </c>
      <c r="N40" s="1">
        <v>41</v>
      </c>
      <c r="O40" s="79">
        <v>16</v>
      </c>
      <c r="P40" s="21">
        <v>61</v>
      </c>
      <c r="Q40" s="1">
        <v>88</v>
      </c>
      <c r="R40" s="1">
        <v>42</v>
      </c>
      <c r="S40" s="1">
        <v>32</v>
      </c>
      <c r="T40" s="1">
        <v>63</v>
      </c>
      <c r="U40" s="1">
        <v>55</v>
      </c>
      <c r="V40" s="1">
        <v>84</v>
      </c>
      <c r="W40" s="8">
        <v>0</v>
      </c>
      <c r="X40" s="126">
        <v>132</v>
      </c>
      <c r="Y40" s="8">
        <v>72</v>
      </c>
      <c r="Z40" s="1">
        <v>47</v>
      </c>
      <c r="AA40" s="1">
        <v>86</v>
      </c>
      <c r="AB40" s="2" t="s">
        <v>57</v>
      </c>
      <c r="AD40" s="6" t="s">
        <v>100</v>
      </c>
    </row>
    <row r="41" spans="1:30" ht="14.25" customHeight="1">
      <c r="A41" s="20" t="s">
        <v>17</v>
      </c>
      <c r="C41" s="126">
        <v>108</v>
      </c>
      <c r="D41" s="1">
        <v>33</v>
      </c>
      <c r="E41" s="1">
        <v>34</v>
      </c>
      <c r="F41" s="79">
        <v>9</v>
      </c>
      <c r="G41" s="1">
        <v>22</v>
      </c>
      <c r="H41" s="1">
        <v>49</v>
      </c>
      <c r="I41" s="79">
        <v>15</v>
      </c>
      <c r="J41" s="1">
        <v>30</v>
      </c>
      <c r="K41" s="73">
        <v>38</v>
      </c>
      <c r="L41" s="1">
        <v>35</v>
      </c>
      <c r="M41" s="1">
        <v>50</v>
      </c>
      <c r="N41" s="1">
        <v>10</v>
      </c>
      <c r="O41" s="79">
        <v>25</v>
      </c>
      <c r="P41" s="21">
        <v>41</v>
      </c>
      <c r="Q41" s="1">
        <v>69</v>
      </c>
      <c r="R41" s="1">
        <v>72</v>
      </c>
      <c r="S41" s="1">
        <v>0</v>
      </c>
      <c r="T41" s="1">
        <v>43</v>
      </c>
      <c r="U41" s="1">
        <v>36</v>
      </c>
      <c r="V41" s="1">
        <v>55</v>
      </c>
      <c r="W41" s="1">
        <v>32</v>
      </c>
      <c r="X41" s="126">
        <v>103</v>
      </c>
      <c r="Y41" s="1">
        <v>44</v>
      </c>
      <c r="Z41" s="1">
        <v>18</v>
      </c>
      <c r="AA41" s="1">
        <v>66</v>
      </c>
      <c r="AB41" s="2" t="s">
        <v>57</v>
      </c>
      <c r="AD41" s="6" t="s">
        <v>127</v>
      </c>
    </row>
    <row r="42" spans="1:30" ht="14.25" customHeight="1">
      <c r="A42" s="20" t="s">
        <v>4</v>
      </c>
      <c r="B42" t="s">
        <v>72</v>
      </c>
      <c r="C42" s="126">
        <v>69</v>
      </c>
      <c r="D42" s="1">
        <v>25</v>
      </c>
      <c r="E42" s="1">
        <v>13</v>
      </c>
      <c r="F42" s="79">
        <v>39</v>
      </c>
      <c r="G42" s="1">
        <v>22</v>
      </c>
      <c r="H42" s="1">
        <v>45</v>
      </c>
      <c r="I42" s="79">
        <v>49</v>
      </c>
      <c r="J42" s="1">
        <v>18</v>
      </c>
      <c r="K42" s="73">
        <v>62</v>
      </c>
      <c r="L42" s="1">
        <v>36</v>
      </c>
      <c r="M42" s="1">
        <v>15</v>
      </c>
      <c r="N42" s="1">
        <v>34</v>
      </c>
      <c r="O42" s="79">
        <v>47</v>
      </c>
      <c r="P42" s="21">
        <v>26</v>
      </c>
      <c r="Q42" s="1">
        <v>25</v>
      </c>
      <c r="R42" s="1">
        <v>91</v>
      </c>
      <c r="S42" s="1">
        <v>43</v>
      </c>
      <c r="T42" s="1">
        <v>0</v>
      </c>
      <c r="U42" s="1">
        <v>21</v>
      </c>
      <c r="V42" s="1">
        <v>67</v>
      </c>
      <c r="W42" s="1">
        <v>62</v>
      </c>
      <c r="X42" s="126">
        <v>98</v>
      </c>
      <c r="Y42" s="1">
        <v>56</v>
      </c>
      <c r="Z42" s="1">
        <v>41</v>
      </c>
      <c r="AA42" s="1">
        <v>28</v>
      </c>
      <c r="AB42" s="2" t="s">
        <v>57</v>
      </c>
      <c r="AD42" s="6" t="s">
        <v>82</v>
      </c>
    </row>
    <row r="43" spans="1:30" ht="14.25" customHeight="1">
      <c r="A43" s="17" t="s">
        <v>68</v>
      </c>
      <c r="B43" s="9">
        <v>4</v>
      </c>
      <c r="C43" s="126">
        <v>69</v>
      </c>
      <c r="D43" s="1">
        <v>27</v>
      </c>
      <c r="E43" s="1">
        <v>12</v>
      </c>
      <c r="F43" s="79">
        <v>39</v>
      </c>
      <c r="G43" s="1">
        <v>22</v>
      </c>
      <c r="H43" s="1">
        <v>47</v>
      </c>
      <c r="I43" s="79">
        <v>49</v>
      </c>
      <c r="J43" s="21">
        <v>19</v>
      </c>
      <c r="K43" s="73">
        <v>62</v>
      </c>
      <c r="L43" s="1">
        <v>35</v>
      </c>
      <c r="M43" s="1">
        <v>17</v>
      </c>
      <c r="N43" s="1">
        <v>34</v>
      </c>
      <c r="O43" s="79">
        <v>47</v>
      </c>
      <c r="P43" s="21">
        <v>26</v>
      </c>
      <c r="Q43" s="1">
        <v>27</v>
      </c>
      <c r="R43" s="1">
        <v>91</v>
      </c>
      <c r="S43" s="1">
        <v>44</v>
      </c>
      <c r="T43" s="8">
        <v>0</v>
      </c>
      <c r="U43" s="1">
        <v>21</v>
      </c>
      <c r="V43" s="1">
        <v>69</v>
      </c>
      <c r="W43" s="1">
        <v>64</v>
      </c>
      <c r="X43" s="126">
        <v>99</v>
      </c>
      <c r="Y43" s="1">
        <v>56</v>
      </c>
      <c r="Z43" s="1">
        <v>43</v>
      </c>
      <c r="AA43" s="1">
        <v>30</v>
      </c>
      <c r="AB43" s="2" t="s">
        <v>57</v>
      </c>
      <c r="AD43" s="6" t="s">
        <v>101</v>
      </c>
    </row>
    <row r="44" spans="1:30" ht="14.25" customHeight="1">
      <c r="A44" s="20" t="s">
        <v>5</v>
      </c>
      <c r="C44" s="126">
        <v>87</v>
      </c>
      <c r="D44" s="1">
        <v>43</v>
      </c>
      <c r="E44" s="1">
        <v>10</v>
      </c>
      <c r="F44" s="79">
        <v>31</v>
      </c>
      <c r="G44" s="1">
        <v>14</v>
      </c>
      <c r="H44" s="1">
        <v>63</v>
      </c>
      <c r="I44" s="79">
        <v>41</v>
      </c>
      <c r="J44" s="21">
        <v>19</v>
      </c>
      <c r="K44" s="73">
        <v>67</v>
      </c>
      <c r="L44" s="1">
        <v>26</v>
      </c>
      <c r="M44" s="1">
        <v>33</v>
      </c>
      <c r="N44" s="1">
        <v>26</v>
      </c>
      <c r="O44" s="79">
        <v>39</v>
      </c>
      <c r="P44" s="21">
        <v>6</v>
      </c>
      <c r="Q44" s="1">
        <v>45</v>
      </c>
      <c r="R44" s="1">
        <v>81</v>
      </c>
      <c r="S44" s="1">
        <v>36</v>
      </c>
      <c r="T44" s="1">
        <v>21</v>
      </c>
      <c r="U44" s="1">
        <v>0</v>
      </c>
      <c r="V44" s="1">
        <v>85</v>
      </c>
      <c r="W44" s="1">
        <v>56</v>
      </c>
      <c r="X44" s="126">
        <v>117</v>
      </c>
      <c r="Y44" s="1">
        <v>72</v>
      </c>
      <c r="Z44" s="1">
        <v>46</v>
      </c>
      <c r="AA44" s="1">
        <v>49</v>
      </c>
      <c r="AB44" s="2" t="s">
        <v>57</v>
      </c>
      <c r="AD44" s="6" t="s">
        <v>216</v>
      </c>
    </row>
    <row r="45" spans="1:30" ht="14.25" customHeight="1">
      <c r="A45" s="17" t="s">
        <v>40</v>
      </c>
      <c r="B45" s="9">
        <v>2</v>
      </c>
      <c r="C45" s="126">
        <v>87</v>
      </c>
      <c r="D45" s="1">
        <v>42</v>
      </c>
      <c r="E45" s="1">
        <v>10</v>
      </c>
      <c r="F45" s="79">
        <v>31</v>
      </c>
      <c r="G45" s="1">
        <v>14</v>
      </c>
      <c r="H45" s="1">
        <v>62</v>
      </c>
      <c r="I45" s="79">
        <v>41</v>
      </c>
      <c r="J45" s="21">
        <v>18</v>
      </c>
      <c r="K45" s="73">
        <v>66</v>
      </c>
      <c r="L45" s="1">
        <v>25</v>
      </c>
      <c r="M45" s="1">
        <v>33</v>
      </c>
      <c r="N45" s="1">
        <v>26</v>
      </c>
      <c r="O45" s="79">
        <v>39</v>
      </c>
      <c r="P45" s="21">
        <v>6</v>
      </c>
      <c r="Q45" s="1">
        <v>45</v>
      </c>
      <c r="R45" s="1">
        <v>80</v>
      </c>
      <c r="S45" s="1">
        <v>35</v>
      </c>
      <c r="T45" s="1">
        <v>20</v>
      </c>
      <c r="U45" s="8">
        <v>0</v>
      </c>
      <c r="V45" s="1">
        <v>84</v>
      </c>
      <c r="W45" s="1">
        <v>56</v>
      </c>
      <c r="X45" s="126">
        <v>117</v>
      </c>
      <c r="Y45" s="1">
        <v>72</v>
      </c>
      <c r="Z45" s="1">
        <v>46</v>
      </c>
      <c r="AA45" s="1">
        <v>49</v>
      </c>
      <c r="AB45" s="2" t="s">
        <v>57</v>
      </c>
      <c r="AD45" s="6" t="s">
        <v>102</v>
      </c>
    </row>
    <row r="46" spans="1:30" ht="14.25" customHeight="1">
      <c r="A46" s="20" t="s">
        <v>18</v>
      </c>
      <c r="C46" s="126">
        <v>54</v>
      </c>
      <c r="D46" s="1">
        <v>42</v>
      </c>
      <c r="E46" s="1">
        <v>75</v>
      </c>
      <c r="F46" s="79">
        <v>63</v>
      </c>
      <c r="G46" s="1">
        <v>71</v>
      </c>
      <c r="H46" s="1">
        <v>20</v>
      </c>
      <c r="I46" s="79">
        <v>68</v>
      </c>
      <c r="J46" s="1">
        <v>68</v>
      </c>
      <c r="K46" s="73">
        <v>59</v>
      </c>
      <c r="L46" s="1">
        <v>85</v>
      </c>
      <c r="M46" s="1">
        <v>50</v>
      </c>
      <c r="N46" s="1">
        <v>59</v>
      </c>
      <c r="O46" s="79">
        <v>77</v>
      </c>
      <c r="P46" s="21">
        <v>85</v>
      </c>
      <c r="Q46" s="1">
        <v>35</v>
      </c>
      <c r="R46" s="1">
        <v>125</v>
      </c>
      <c r="S46" s="1">
        <v>55</v>
      </c>
      <c r="T46" s="1">
        <v>67</v>
      </c>
      <c r="U46" s="1">
        <v>85</v>
      </c>
      <c r="V46" s="1">
        <v>0</v>
      </c>
      <c r="W46" s="1">
        <v>85</v>
      </c>
      <c r="X46" s="126">
        <v>49</v>
      </c>
      <c r="Y46" s="1">
        <v>16</v>
      </c>
      <c r="Z46" s="1">
        <v>38</v>
      </c>
      <c r="AA46" s="1">
        <v>32</v>
      </c>
      <c r="AB46" s="2" t="s">
        <v>57</v>
      </c>
      <c r="AD46" s="5" t="s">
        <v>83</v>
      </c>
    </row>
    <row r="47" spans="1:30" ht="14.25" customHeight="1">
      <c r="A47" s="17" t="s">
        <v>41</v>
      </c>
      <c r="B47" s="9">
        <v>6</v>
      </c>
      <c r="C47" s="126">
        <v>91</v>
      </c>
      <c r="D47" s="1">
        <v>33</v>
      </c>
      <c r="E47" s="1">
        <v>15</v>
      </c>
      <c r="F47" s="79">
        <v>17</v>
      </c>
      <c r="G47" s="8">
        <v>0</v>
      </c>
      <c r="H47" s="1">
        <v>50</v>
      </c>
      <c r="I47" s="79">
        <v>27</v>
      </c>
      <c r="J47" s="21">
        <v>11</v>
      </c>
      <c r="K47" s="73">
        <v>59</v>
      </c>
      <c r="L47" s="1">
        <v>15</v>
      </c>
      <c r="M47" s="1">
        <v>31</v>
      </c>
      <c r="N47" s="1">
        <v>12</v>
      </c>
      <c r="O47" s="79">
        <v>25</v>
      </c>
      <c r="P47" s="21">
        <v>21</v>
      </c>
      <c r="Q47" s="1">
        <v>49</v>
      </c>
      <c r="R47" s="1">
        <v>70</v>
      </c>
      <c r="S47" s="1">
        <v>22</v>
      </c>
      <c r="T47" s="1">
        <v>24</v>
      </c>
      <c r="U47" s="1">
        <v>16</v>
      </c>
      <c r="V47" s="1">
        <v>75</v>
      </c>
      <c r="W47" s="1">
        <v>41</v>
      </c>
      <c r="X47" s="126">
        <v>121</v>
      </c>
      <c r="Y47" s="1">
        <v>64</v>
      </c>
      <c r="Z47" s="1">
        <v>37</v>
      </c>
      <c r="AA47" s="1">
        <v>47</v>
      </c>
      <c r="AB47" s="2" t="s">
        <v>57</v>
      </c>
      <c r="AD47" s="6" t="s">
        <v>103</v>
      </c>
    </row>
    <row r="48" spans="1:30" ht="14.25" customHeight="1">
      <c r="A48" s="17" t="s">
        <v>19</v>
      </c>
      <c r="C48" s="126">
        <v>79</v>
      </c>
      <c r="D48" s="1">
        <v>6</v>
      </c>
      <c r="E48" s="1">
        <v>39</v>
      </c>
      <c r="F48" s="79">
        <v>29</v>
      </c>
      <c r="G48" s="1">
        <v>32</v>
      </c>
      <c r="H48" s="1">
        <v>15</v>
      </c>
      <c r="I48" s="79">
        <v>49</v>
      </c>
      <c r="J48" s="21">
        <v>29</v>
      </c>
      <c r="K48" s="73">
        <v>40</v>
      </c>
      <c r="L48" s="1">
        <v>46</v>
      </c>
      <c r="M48" s="1">
        <v>29</v>
      </c>
      <c r="N48" s="1">
        <v>24</v>
      </c>
      <c r="O48" s="79">
        <v>49</v>
      </c>
      <c r="P48" s="21">
        <v>54</v>
      </c>
      <c r="Q48" s="1">
        <v>40</v>
      </c>
      <c r="R48" s="1">
        <v>100</v>
      </c>
      <c r="S48" s="1">
        <v>34</v>
      </c>
      <c r="T48" s="1">
        <v>30</v>
      </c>
      <c r="U48" s="1">
        <v>48</v>
      </c>
      <c r="V48" s="1">
        <v>37</v>
      </c>
      <c r="W48" s="1">
        <v>66</v>
      </c>
      <c r="X48" s="126">
        <v>80</v>
      </c>
      <c r="Y48" s="1">
        <v>23</v>
      </c>
      <c r="Z48" s="1">
        <v>19</v>
      </c>
      <c r="AA48" s="1">
        <v>37</v>
      </c>
      <c r="AB48" s="2" t="s">
        <v>57</v>
      </c>
      <c r="AD48" s="6" t="s">
        <v>104</v>
      </c>
    </row>
    <row r="49" spans="1:30" ht="14.25" customHeight="1">
      <c r="A49" s="17" t="s">
        <v>129</v>
      </c>
      <c r="B49" s="9">
        <v>4</v>
      </c>
      <c r="C49" s="126">
        <v>112</v>
      </c>
      <c r="D49" s="70">
        <v>34</v>
      </c>
      <c r="E49" s="70">
        <v>37</v>
      </c>
      <c r="F49" s="79">
        <v>11</v>
      </c>
      <c r="G49" s="70">
        <v>25</v>
      </c>
      <c r="H49" s="70">
        <v>52</v>
      </c>
      <c r="I49" s="79">
        <v>15</v>
      </c>
      <c r="J49" s="70">
        <v>33</v>
      </c>
      <c r="K49" s="80">
        <v>38</v>
      </c>
      <c r="L49" s="70">
        <v>39</v>
      </c>
      <c r="M49" s="70">
        <v>59</v>
      </c>
      <c r="N49" s="70">
        <v>13</v>
      </c>
      <c r="O49" s="79">
        <v>25</v>
      </c>
      <c r="P49" s="70">
        <v>44</v>
      </c>
      <c r="Q49" s="70">
        <v>76</v>
      </c>
      <c r="R49" s="70">
        <v>82</v>
      </c>
      <c r="S49" s="8">
        <v>0</v>
      </c>
      <c r="T49" s="70">
        <v>47</v>
      </c>
      <c r="U49" s="70">
        <v>39</v>
      </c>
      <c r="V49" s="70">
        <v>56</v>
      </c>
      <c r="W49" s="70">
        <v>34</v>
      </c>
      <c r="X49" s="126">
        <v>103</v>
      </c>
      <c r="Y49" s="70">
        <v>44</v>
      </c>
      <c r="Z49" s="79">
        <v>18</v>
      </c>
      <c r="AA49" s="70">
        <v>73</v>
      </c>
      <c r="AB49" s="2" t="s">
        <v>57</v>
      </c>
      <c r="AD49" s="6" t="s">
        <v>215</v>
      </c>
    </row>
    <row r="50" spans="1:30" ht="14.25" customHeight="1">
      <c r="A50" s="20" t="s">
        <v>42</v>
      </c>
      <c r="C50" s="126">
        <v>139</v>
      </c>
      <c r="D50" s="1">
        <v>63</v>
      </c>
      <c r="E50" s="1">
        <v>54</v>
      </c>
      <c r="F50" s="79">
        <v>32</v>
      </c>
      <c r="G50" s="1">
        <v>42</v>
      </c>
      <c r="H50" s="1">
        <v>80</v>
      </c>
      <c r="I50" s="79">
        <v>20</v>
      </c>
      <c r="J50" s="1">
        <v>50</v>
      </c>
      <c r="K50" s="73">
        <v>70</v>
      </c>
      <c r="L50" s="1">
        <v>56</v>
      </c>
      <c r="M50" s="1">
        <v>70</v>
      </c>
      <c r="N50" s="1">
        <v>42</v>
      </c>
      <c r="O50" s="79">
        <v>16</v>
      </c>
      <c r="P50" s="21">
        <v>61</v>
      </c>
      <c r="Q50" s="1">
        <v>88</v>
      </c>
      <c r="R50" s="1">
        <v>43</v>
      </c>
      <c r="S50" s="1">
        <v>32</v>
      </c>
      <c r="T50" s="1">
        <v>62</v>
      </c>
      <c r="U50" s="1">
        <v>56</v>
      </c>
      <c r="V50" s="1">
        <v>85</v>
      </c>
      <c r="W50" s="1">
        <v>0</v>
      </c>
      <c r="X50" s="126">
        <v>135</v>
      </c>
      <c r="Y50" s="1">
        <v>74</v>
      </c>
      <c r="Z50" s="1">
        <v>48</v>
      </c>
      <c r="AA50" s="1">
        <v>86</v>
      </c>
      <c r="AB50" s="2" t="s">
        <v>57</v>
      </c>
      <c r="AD50" s="6" t="s">
        <v>105</v>
      </c>
    </row>
    <row r="51" spans="1:30" ht="14.25" customHeight="1">
      <c r="A51" s="17" t="s">
        <v>20</v>
      </c>
      <c r="C51" s="126">
        <v>60</v>
      </c>
      <c r="D51" s="1">
        <v>116</v>
      </c>
      <c r="E51" s="1">
        <v>129</v>
      </c>
      <c r="F51" s="79">
        <v>136</v>
      </c>
      <c r="G51" s="1">
        <v>137</v>
      </c>
      <c r="H51" s="10">
        <v>92</v>
      </c>
      <c r="I51" s="79">
        <v>140</v>
      </c>
      <c r="J51" s="21">
        <v>133</v>
      </c>
      <c r="K51" s="72">
        <v>133</v>
      </c>
      <c r="L51" s="1">
        <v>150</v>
      </c>
      <c r="M51" s="1">
        <v>109</v>
      </c>
      <c r="N51" s="10">
        <v>137</v>
      </c>
      <c r="O51" s="79">
        <v>150</v>
      </c>
      <c r="P51" s="21">
        <v>142</v>
      </c>
      <c r="Q51" s="1">
        <v>92</v>
      </c>
      <c r="R51" s="1">
        <v>198</v>
      </c>
      <c r="S51" s="10">
        <v>128</v>
      </c>
      <c r="T51" s="1">
        <v>117</v>
      </c>
      <c r="U51" s="1">
        <v>137</v>
      </c>
      <c r="V51" s="10">
        <v>74</v>
      </c>
      <c r="W51" s="1">
        <v>154</v>
      </c>
      <c r="X51" s="126">
        <v>29</v>
      </c>
      <c r="Y51" s="1">
        <v>85</v>
      </c>
      <c r="Z51" s="10">
        <v>112</v>
      </c>
      <c r="AA51" s="1">
        <v>93</v>
      </c>
      <c r="AB51" s="2" t="s">
        <v>57</v>
      </c>
      <c r="AD51" s="6" t="s">
        <v>106</v>
      </c>
    </row>
    <row r="52" spans="1:30" ht="14.25" customHeight="1">
      <c r="A52" s="17" t="s">
        <v>21</v>
      </c>
      <c r="C52" s="126">
        <v>50</v>
      </c>
      <c r="D52" s="1">
        <v>38</v>
      </c>
      <c r="E52" s="1">
        <v>48</v>
      </c>
      <c r="F52" s="79">
        <v>62</v>
      </c>
      <c r="G52" s="1">
        <v>52</v>
      </c>
      <c r="H52" s="1">
        <v>19</v>
      </c>
      <c r="I52" s="79">
        <v>82</v>
      </c>
      <c r="J52" s="21">
        <v>49</v>
      </c>
      <c r="K52" s="73">
        <v>73</v>
      </c>
      <c r="L52" s="1">
        <v>65</v>
      </c>
      <c r="M52" s="1">
        <v>24</v>
      </c>
      <c r="N52" s="1">
        <v>57</v>
      </c>
      <c r="O52" s="79">
        <v>77</v>
      </c>
      <c r="P52" s="21">
        <v>62</v>
      </c>
      <c r="Q52" s="1">
        <v>11</v>
      </c>
      <c r="R52" s="1">
        <v>115</v>
      </c>
      <c r="S52" s="1">
        <v>66</v>
      </c>
      <c r="T52" s="1">
        <v>36</v>
      </c>
      <c r="U52" s="1">
        <v>57</v>
      </c>
      <c r="V52" s="1">
        <v>27</v>
      </c>
      <c r="W52" s="1">
        <v>97</v>
      </c>
      <c r="X52" s="126">
        <v>69</v>
      </c>
      <c r="Y52" s="1">
        <v>28</v>
      </c>
      <c r="Z52" s="1">
        <v>51</v>
      </c>
      <c r="AA52" s="1">
        <v>8</v>
      </c>
      <c r="AB52" s="2" t="s">
        <v>57</v>
      </c>
      <c r="AD52" s="6" t="s">
        <v>107</v>
      </c>
    </row>
    <row r="53" spans="1:30" ht="14.25" customHeight="1">
      <c r="A53" s="17" t="s">
        <v>22</v>
      </c>
      <c r="C53" s="126">
        <v>24</v>
      </c>
      <c r="D53" s="1">
        <v>55</v>
      </c>
      <c r="E53" s="1">
        <v>51</v>
      </c>
      <c r="F53" s="79">
        <v>78</v>
      </c>
      <c r="G53" s="1">
        <v>60</v>
      </c>
      <c r="H53" s="1">
        <v>40</v>
      </c>
      <c r="I53" s="79">
        <v>88</v>
      </c>
      <c r="J53" s="21">
        <v>57</v>
      </c>
      <c r="K53" s="73">
        <v>93</v>
      </c>
      <c r="L53" s="1">
        <v>73</v>
      </c>
      <c r="M53" s="1">
        <v>32</v>
      </c>
      <c r="N53" s="1">
        <v>72</v>
      </c>
      <c r="O53" s="79">
        <v>86</v>
      </c>
      <c r="P53" s="21">
        <v>64</v>
      </c>
      <c r="Q53" s="1">
        <v>14</v>
      </c>
      <c r="R53" s="1">
        <v>130</v>
      </c>
      <c r="S53" s="1">
        <v>82</v>
      </c>
      <c r="T53" s="1">
        <v>39</v>
      </c>
      <c r="U53" s="1">
        <v>59</v>
      </c>
      <c r="V53" s="1">
        <v>48</v>
      </c>
      <c r="W53" s="1">
        <v>102</v>
      </c>
      <c r="X53" s="126">
        <v>66</v>
      </c>
      <c r="Y53" s="1">
        <v>48</v>
      </c>
      <c r="Z53" s="1">
        <v>71</v>
      </c>
      <c r="AA53" s="1">
        <v>16</v>
      </c>
      <c r="AB53" s="2" t="s">
        <v>57</v>
      </c>
      <c r="AD53" s="6" t="s">
        <v>108</v>
      </c>
    </row>
    <row r="54" spans="1:30" ht="14.25" customHeight="1">
      <c r="A54" s="17" t="s">
        <v>24</v>
      </c>
      <c r="C54" s="126">
        <v>70</v>
      </c>
      <c r="D54" s="1">
        <v>32</v>
      </c>
      <c r="E54" s="1">
        <v>65</v>
      </c>
      <c r="F54" s="79">
        <v>52</v>
      </c>
      <c r="G54" s="1">
        <v>61</v>
      </c>
      <c r="H54" s="1">
        <v>10</v>
      </c>
      <c r="I54" s="79">
        <v>57</v>
      </c>
      <c r="J54" s="21">
        <v>58</v>
      </c>
      <c r="K54" s="73">
        <v>48</v>
      </c>
      <c r="L54" s="1">
        <v>75</v>
      </c>
      <c r="M54" s="1">
        <v>40</v>
      </c>
      <c r="N54" s="1">
        <v>53</v>
      </c>
      <c r="O54" s="79">
        <v>67</v>
      </c>
      <c r="P54" s="21">
        <v>78</v>
      </c>
      <c r="Q54" s="1">
        <v>33</v>
      </c>
      <c r="R54" s="1">
        <v>114</v>
      </c>
      <c r="S54" s="1">
        <v>44</v>
      </c>
      <c r="T54" s="1">
        <v>57</v>
      </c>
      <c r="U54" s="1">
        <v>73</v>
      </c>
      <c r="V54" s="1">
        <v>13</v>
      </c>
      <c r="W54" s="1">
        <v>75</v>
      </c>
      <c r="X54" s="126">
        <v>61</v>
      </c>
      <c r="Y54" s="1">
        <v>0</v>
      </c>
      <c r="Z54" s="1">
        <v>28</v>
      </c>
      <c r="AA54" s="1">
        <v>30</v>
      </c>
      <c r="AB54" s="2" t="s">
        <v>57</v>
      </c>
      <c r="AD54" s="6" t="s">
        <v>109</v>
      </c>
    </row>
    <row r="55" spans="1:30" ht="14.25" customHeight="1">
      <c r="A55" s="20" t="s">
        <v>23</v>
      </c>
      <c r="C55" s="126">
        <v>92</v>
      </c>
      <c r="D55" s="1">
        <v>16</v>
      </c>
      <c r="E55" s="1">
        <v>39</v>
      </c>
      <c r="F55" s="79">
        <v>26</v>
      </c>
      <c r="G55" s="1">
        <v>34</v>
      </c>
      <c r="H55" s="1">
        <v>34</v>
      </c>
      <c r="I55" s="79">
        <v>32</v>
      </c>
      <c r="J55" s="1">
        <v>30</v>
      </c>
      <c r="K55" s="73">
        <v>22</v>
      </c>
      <c r="L55" s="1">
        <v>47</v>
      </c>
      <c r="M55" s="1">
        <v>40</v>
      </c>
      <c r="N55" s="1">
        <v>26</v>
      </c>
      <c r="O55" s="79">
        <v>41</v>
      </c>
      <c r="P55" s="21">
        <v>50</v>
      </c>
      <c r="Q55" s="1">
        <v>59</v>
      </c>
      <c r="R55" s="1">
        <v>88</v>
      </c>
      <c r="S55" s="1">
        <v>18</v>
      </c>
      <c r="T55" s="1">
        <v>41</v>
      </c>
      <c r="U55" s="1">
        <v>45</v>
      </c>
      <c r="V55" s="1">
        <v>38</v>
      </c>
      <c r="W55" s="1">
        <v>48</v>
      </c>
      <c r="X55" s="126">
        <v>87</v>
      </c>
      <c r="Y55" s="1">
        <v>28</v>
      </c>
      <c r="Z55" s="1">
        <v>0</v>
      </c>
      <c r="AA55" s="1">
        <v>54</v>
      </c>
      <c r="AB55" s="2" t="s">
        <v>57</v>
      </c>
      <c r="AD55" s="6" t="s">
        <v>110</v>
      </c>
    </row>
    <row r="56" spans="1:30" ht="14.25" customHeight="1">
      <c r="A56" s="17" t="s">
        <v>25</v>
      </c>
      <c r="C56" s="126">
        <v>45</v>
      </c>
      <c r="D56" s="1">
        <v>78</v>
      </c>
      <c r="E56" s="1">
        <v>112</v>
      </c>
      <c r="F56" s="79">
        <v>99</v>
      </c>
      <c r="G56" s="1">
        <v>108</v>
      </c>
      <c r="H56" s="1">
        <v>56</v>
      </c>
      <c r="I56" s="79">
        <v>104</v>
      </c>
      <c r="J56" s="21">
        <v>105</v>
      </c>
      <c r="K56" s="73">
        <v>95</v>
      </c>
      <c r="L56" s="1">
        <v>122</v>
      </c>
      <c r="M56" s="1">
        <v>73</v>
      </c>
      <c r="N56" s="1">
        <v>99</v>
      </c>
      <c r="O56" s="79">
        <v>114</v>
      </c>
      <c r="P56" s="21">
        <v>124</v>
      </c>
      <c r="Q56" s="1">
        <v>60</v>
      </c>
      <c r="R56" s="1">
        <v>161</v>
      </c>
      <c r="S56" s="1">
        <v>91</v>
      </c>
      <c r="T56" s="1">
        <v>85</v>
      </c>
      <c r="U56" s="1">
        <v>119</v>
      </c>
      <c r="V56" s="1">
        <v>37</v>
      </c>
      <c r="W56" s="1">
        <v>121</v>
      </c>
      <c r="X56" s="126">
        <v>15</v>
      </c>
      <c r="Y56" s="1">
        <v>49</v>
      </c>
      <c r="Z56" s="1">
        <v>75</v>
      </c>
      <c r="AA56" s="1">
        <v>57</v>
      </c>
      <c r="AB56" s="2" t="s">
        <v>57</v>
      </c>
      <c r="AD56" s="6" t="s">
        <v>128</v>
      </c>
    </row>
    <row r="57" spans="1:30" ht="14.25" customHeight="1">
      <c r="A57" s="20" t="s">
        <v>70</v>
      </c>
      <c r="C57" s="126">
        <v>41</v>
      </c>
      <c r="D57" s="1">
        <v>39</v>
      </c>
      <c r="E57" s="1">
        <v>39</v>
      </c>
      <c r="F57" s="79">
        <v>67</v>
      </c>
      <c r="G57" s="1">
        <v>44</v>
      </c>
      <c r="H57" s="1">
        <v>24</v>
      </c>
      <c r="I57" s="79">
        <v>77</v>
      </c>
      <c r="J57" s="1">
        <v>41</v>
      </c>
      <c r="K57" s="73">
        <v>77</v>
      </c>
      <c r="L57" s="1">
        <v>58</v>
      </c>
      <c r="M57" s="1">
        <v>16</v>
      </c>
      <c r="N57" s="1">
        <v>56</v>
      </c>
      <c r="O57" s="79">
        <v>75</v>
      </c>
      <c r="P57" s="21">
        <v>54</v>
      </c>
      <c r="Q57" s="1">
        <v>3</v>
      </c>
      <c r="R57" s="1">
        <v>114</v>
      </c>
      <c r="S57" s="1">
        <v>66</v>
      </c>
      <c r="T57" s="1">
        <v>28</v>
      </c>
      <c r="U57" s="1">
        <v>49</v>
      </c>
      <c r="V57" s="1">
        <v>32</v>
      </c>
      <c r="W57" s="1">
        <v>86</v>
      </c>
      <c r="X57" s="126">
        <v>71</v>
      </c>
      <c r="Y57" s="1">
        <v>30</v>
      </c>
      <c r="Z57" s="1">
        <v>56</v>
      </c>
      <c r="AA57" s="1">
        <v>0</v>
      </c>
      <c r="AB57" s="2" t="s">
        <v>57</v>
      </c>
      <c r="AD57" s="5" t="s">
        <v>84</v>
      </c>
    </row>
    <row r="58" spans="1:30" ht="14.25" customHeight="1">
      <c r="A58" s="17" t="s">
        <v>58</v>
      </c>
      <c r="C58" s="126" t="s">
        <v>57</v>
      </c>
      <c r="D58" s="2" t="s">
        <v>57</v>
      </c>
      <c r="E58" s="87" t="s">
        <v>57</v>
      </c>
      <c r="F58" s="87" t="s">
        <v>57</v>
      </c>
      <c r="G58" s="87" t="s">
        <v>57</v>
      </c>
      <c r="H58" s="87" t="s">
        <v>57</v>
      </c>
      <c r="I58" s="87" t="s">
        <v>57</v>
      </c>
      <c r="J58" s="87" t="s">
        <v>57</v>
      </c>
      <c r="K58" s="87" t="s">
        <v>57</v>
      </c>
      <c r="L58" s="87" t="s">
        <v>57</v>
      </c>
      <c r="M58" s="87" t="s">
        <v>57</v>
      </c>
      <c r="N58" s="87" t="s">
        <v>57</v>
      </c>
      <c r="O58" s="87" t="s">
        <v>57</v>
      </c>
      <c r="P58" s="87" t="s">
        <v>57</v>
      </c>
      <c r="Q58" s="87" t="s">
        <v>57</v>
      </c>
      <c r="R58" s="105" t="s">
        <v>57</v>
      </c>
      <c r="S58" s="87" t="s">
        <v>57</v>
      </c>
      <c r="T58" s="87" t="s">
        <v>57</v>
      </c>
      <c r="U58" s="87" t="s">
        <v>57</v>
      </c>
      <c r="V58" s="2" t="s">
        <v>57</v>
      </c>
      <c r="W58" s="2" t="s">
        <v>57</v>
      </c>
      <c r="X58" s="126" t="s">
        <v>57</v>
      </c>
      <c r="Y58" s="1" t="s">
        <v>57</v>
      </c>
      <c r="Z58" s="2" t="s">
        <v>57</v>
      </c>
      <c r="AA58" s="2" t="s">
        <v>57</v>
      </c>
      <c r="AB58" s="2" t="s">
        <v>57</v>
      </c>
    </row>
  </sheetData>
  <sheetProtection password="C67E" sheet="1" objects="1" scenarios="1" selectLockedCells="1"/>
  <protectedRanges>
    <protectedRange sqref="C4" name="Mileage Rate"/>
  </protectedRanges>
  <customSheetViews>
    <customSheetView guid="{68CA99EB-C196-46E7-AC9D-43F9554C0015}" scale="75">
      <pane xSplit="2" ySplit="14" topLeftCell="C47" activePane="bottomRight" state="frozen"/>
      <selection pane="bottomRight" activeCell="Z19" sqref="Z19"/>
      <pageMargins left="0.75" right="0.75" top="1" bottom="1" header="0.5" footer="0.5"/>
      <pageSetup orientation="portrait" horizontalDpi="4294967293" r:id="rId1"/>
      <headerFooter alignWithMargins="0"/>
    </customSheetView>
  </customSheetViews>
  <mergeCells count="2">
    <mergeCell ref="D1:S1"/>
    <mergeCell ref="A5:A6"/>
  </mergeCells>
  <phoneticPr fontId="0" type="noConversion"/>
  <pageMargins left="0.75" right="0.75" top="1" bottom="1" header="0.5" footer="0.5"/>
  <pageSetup orientation="portrait" horizontalDpi="4294967293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V88"/>
  <sheetViews>
    <sheetView showGridLines="0" topLeftCell="XFD1" zoomScaleNormal="100" workbookViewId="0">
      <pane ySplit="1845" topLeftCell="A59"/>
      <selection sqref="A1:XFD1048576"/>
      <selection pane="bottomLeft" activeCell="B29" sqref="B29"/>
    </sheetView>
  </sheetViews>
  <sheetFormatPr defaultColWidth="0" defaultRowHeight="12.75"/>
  <cols>
    <col min="1" max="1" width="27.7109375" style="24" hidden="1" customWidth="1"/>
    <col min="2" max="2" width="69.28515625" style="24" hidden="1" customWidth="1"/>
    <col min="3" max="3" width="72.7109375" style="24" hidden="1" customWidth="1"/>
    <col min="4" max="4" width="33.85546875" style="24" hidden="1" customWidth="1"/>
    <col min="5" max="5" width="48.28515625" style="24" hidden="1" customWidth="1"/>
    <col min="6" max="6" width="9.140625" style="24" hidden="1" customWidth="1"/>
    <col min="7" max="256" width="0" style="24" hidden="1" customWidth="1"/>
    <col min="257" max="16384" width="9.140625" style="24" hidden="1"/>
  </cols>
  <sheetData>
    <row r="2" spans="1:8">
      <c r="H2" s="64"/>
    </row>
    <row r="3" spans="1:8">
      <c r="B3" s="24">
        <f>'DATA ENTRY'!C5</f>
        <v>0</v>
      </c>
    </row>
    <row r="6" spans="1:8">
      <c r="A6" s="64" t="str">
        <f>IF(B3&lt;&gt;"gus","","''Printout'' worksheet")</f>
        <v/>
      </c>
      <c r="B6" s="64"/>
      <c r="C6" s="64"/>
      <c r="D6" s="64"/>
      <c r="E6" s="64"/>
    </row>
    <row r="7" spans="1:8">
      <c r="A7" s="64" t="str">
        <f>IF(B3&lt;&gt;"gus","","cell")</f>
        <v/>
      </c>
      <c r="B7" s="64" t="str">
        <f>IF(B3&lt;&gt;"gus","","row name")</f>
        <v/>
      </c>
      <c r="C7" s="64" t="str">
        <f>IF(B3&lt;&gt;"gus","","information")</f>
        <v/>
      </c>
      <c r="D7" s="64"/>
      <c r="E7" s="64"/>
    </row>
    <row r="8" spans="1:8">
      <c r="A8" s="67" t="str">
        <f>IF(B3&lt;&gt;"gus","",REPLACE(REPLACE(ADDRESS(ROW(Printout!C5),COLUMN(Printout!C5)),1,1,""),IF(COLUMN(Printout!C5)&gt;26,3,2),1,""))</f>
        <v/>
      </c>
      <c r="B8" s="68" t="str">
        <f>IF(B3&lt;&gt;"gus","",Printout!A5)</f>
        <v/>
      </c>
      <c r="C8" s="64" t="str">
        <f>IF(B3&lt;&gt;"gus","","copied from ''data entry'' sheet")</f>
        <v/>
      </c>
      <c r="D8" s="64"/>
      <c r="E8" s="64"/>
    </row>
    <row r="9" spans="1:8">
      <c r="A9" s="67" t="str">
        <f>IF(B3&lt;&gt;"gus","",REPLACE(REPLACE(ADDRESS(ROW(Printout!C7),COLUMN(Printout!C7)),1,1,""),IF(COLUMN(Printout!C7)&gt;26,3,2),1,""))</f>
        <v/>
      </c>
      <c r="B9" s="68" t="str">
        <f>IF(B3&lt;&gt;"gus","",Printout!A7)</f>
        <v/>
      </c>
      <c r="C9" s="64" t="str">
        <f>IF(B3&lt;&gt;"gus","","copied from ''data entry'' sheet")</f>
        <v/>
      </c>
      <c r="D9" s="64"/>
      <c r="E9" s="64"/>
    </row>
    <row r="10" spans="1:8">
      <c r="A10" s="67" t="str">
        <f>IF(B3&lt;&gt;"gus","",REPLACE(REPLACE(ADDRESS(ROW(Printout!C9),COLUMN(Printout!C9)),1,1,""),IF(COLUMN(Printout!C9)&gt;26,3,2),1,""))</f>
        <v/>
      </c>
      <c r="B10" s="68" t="str">
        <f>IF(B3&lt;&gt;"gus","",Printout!A9)</f>
        <v/>
      </c>
      <c r="C10" s="64" t="str">
        <f>IF(B3&lt;&gt;"gus","","copied CITY from 'mileage city' then 'home city' on ''data entry'' sheet, STATE and ZIP from ''data entry'' sheet")</f>
        <v/>
      </c>
      <c r="D10" s="64"/>
      <c r="E10" s="64"/>
    </row>
    <row r="11" spans="1:8">
      <c r="A11" s="67"/>
      <c r="B11" s="68"/>
      <c r="C11" s="64"/>
      <c r="D11" s="64"/>
      <c r="E11" s="64"/>
    </row>
    <row r="12" spans="1:8">
      <c r="A12" s="64" t="s">
        <v>59</v>
      </c>
      <c r="B12" s="68"/>
      <c r="C12" s="64"/>
      <c r="D12" s="64"/>
      <c r="E12" s="64"/>
    </row>
    <row r="13" spans="1:8">
      <c r="A13" s="64" t="s">
        <v>158</v>
      </c>
      <c r="B13" s="64" t="s">
        <v>160</v>
      </c>
      <c r="C13" s="64" t="s">
        <v>159</v>
      </c>
      <c r="D13" s="64" t="s">
        <v>164</v>
      </c>
      <c r="E13" s="64"/>
    </row>
    <row r="14" spans="1:8">
      <c r="A14" s="67" t="str">
        <f>RIGHT(LEFT(ADDRESS(ROW(Printout!A14),COLUMN(Printout!A14)),IF(COLUMN(Printout!A14)&lt;=26,2,3)),IF(COLUMN(Printout!A14)&lt;=26,1,2))</f>
        <v>A</v>
      </c>
      <c r="B14" s="68" t="str">
        <f>Printout!A14</f>
        <v>ROW #</v>
      </c>
      <c r="C14" s="64" t="s">
        <v>161</v>
      </c>
      <c r="D14" s="64"/>
      <c r="E14" s="64" t="s">
        <v>163</v>
      </c>
    </row>
    <row r="15" spans="1:8">
      <c r="A15" s="67" t="str">
        <f>RIGHT(LEFT(ADDRESS(ROW(Printout!B14),COLUMN(Printout!B14)),IF(COLUMN(Printout!B14)&lt;=26,2,3)),IF(COLUMN(Printout!B14)&lt;=26,1,2))</f>
        <v>B</v>
      </c>
      <c r="B15" s="68" t="str">
        <f>Printout!B14</f>
        <v>DATE</v>
      </c>
      <c r="C15" s="64" t="s">
        <v>171</v>
      </c>
      <c r="D15" s="64"/>
      <c r="E15" s="64" t="s">
        <v>163</v>
      </c>
    </row>
    <row r="16" spans="1:8">
      <c r="A16" s="67" t="str">
        <f>RIGHT(LEFT(ADDRESS(ROW(Printout!C14),COLUMN(Printout!C14)),IF(COLUMN(Printout!C14)&lt;=26,2,3)),IF(COLUMN(Printout!C14)&lt;=26,1,2))</f>
        <v>C</v>
      </c>
      <c r="B16" s="68" t="str">
        <f>Printout!C14</f>
        <v>LEFT FROM</v>
      </c>
      <c r="C16" s="64" t="s">
        <v>162</v>
      </c>
      <c r="D16" s="64"/>
      <c r="E16" s="64" t="s">
        <v>163</v>
      </c>
    </row>
    <row r="17" spans="1:11">
      <c r="A17" s="67" t="str">
        <f>RIGHT(LEFT(ADDRESS(ROW(Printout!D14),COLUMN(Printout!D14)),IF(COLUMN(Printout!D14)&lt;=26,2,3)),IF(COLUMN(Printout!D14)&lt;=26,1,2))</f>
        <v>D</v>
      </c>
      <c r="B17" s="68" t="str">
        <f>Printout!D14</f>
        <v>MEETING LOCATION</v>
      </c>
      <c r="C17" s="64" t="s">
        <v>162</v>
      </c>
      <c r="D17" s="64"/>
      <c r="E17" s="64" t="s">
        <v>163</v>
      </c>
    </row>
    <row r="18" spans="1:11">
      <c r="A18" s="67" t="str">
        <f>RIGHT(LEFT(ADDRESS(ROW(Printout!E14),COLUMN(Printout!E14)),IF(COLUMN(Printout!E14)&lt;=26,2,3)),IF(COLUMN(Printout!E14)&lt;=26,1,2))</f>
        <v>E</v>
      </c>
      <c r="B18" s="68" t="str">
        <f>Printout!E14</f>
        <v>MATCH SITE</v>
      </c>
      <c r="C18" s="64" t="s">
        <v>162</v>
      </c>
      <c r="D18" s="64"/>
      <c r="E18" s="64" t="s">
        <v>163</v>
      </c>
    </row>
    <row r="19" spans="1:11">
      <c r="A19" s="67" t="str">
        <f>RIGHT(LEFT(ADDRESS(ROW(Printout!F14),COLUMN(Printout!F14)),IF(COLUMN(Printout!F14)&lt;=26,2,3)),IF(COLUMN(Printout!F14)&lt;=26,1,2))</f>
        <v>F</v>
      </c>
      <c r="B19" s="68" t="str">
        <f>Printout!F14</f>
        <v>PARTNER</v>
      </c>
      <c r="C19" s="64" t="s">
        <v>162</v>
      </c>
      <c r="D19" s="64"/>
      <c r="E19" s="64" t="s">
        <v>163</v>
      </c>
    </row>
    <row r="20" spans="1:11">
      <c r="A20" s="67" t="str">
        <f>RIGHT(LEFT(ADDRESS(ROW(Printout!G14),COLUMN(Printout!G14)),IF(COLUMN(Printout!G14)&lt;=26,2,3)),IF(COLUMN(Printout!G14)&lt;=26,1,2))</f>
        <v>G</v>
      </c>
      <c r="B20" s="68" t="str">
        <f>Printout!G14</f>
        <v>DROVE / RODE</v>
      </c>
      <c r="C20" s="64" t="s">
        <v>162</v>
      </c>
      <c r="D20" s="64"/>
      <c r="E20" s="64" t="s">
        <v>163</v>
      </c>
    </row>
    <row r="21" spans="1:11">
      <c r="A21" s="67" t="str">
        <f>RIGHT(LEFT(ADDRESS(ROW(Printout!H14),COLUMN(Printout!H14)),IF(COLUMN(Printout!H14)&lt;=26,2,3)),IF(COLUMN(Printout!H14)&lt;=26,1,2))</f>
        <v>H</v>
      </c>
      <c r="B21" s="68" t="str">
        <f>Printout!H14</f>
        <v>'left from' place reference</v>
      </c>
      <c r="C21" s="64" t="str">
        <f>"check ''database'' sheet for city in column "&amp;A16&amp;" AND use corresponding column number"</f>
        <v>check ''database'' sheet for city in column C AND use corresponding column number</v>
      </c>
      <c r="D21" s="64" t="str">
        <f>"use '"&amp;database!$AB$13&amp;"' for errors"</f>
        <v>use '28' for errors</v>
      </c>
      <c r="E21" s="64" t="str">
        <f>"use '0' if column "&amp;A16&amp;" equals column "&amp;A17</f>
        <v>use '0' if column C equals column D</v>
      </c>
    </row>
    <row r="22" spans="1:11">
      <c r="A22" s="67" t="str">
        <f>RIGHT(LEFT(ADDRESS(ROW(Printout!I14),COLUMN(Printout!I14)),IF(COLUMN(Printout!I14)&lt;=26,2,3)),IF(COLUMN(Printout!I14)&lt;=26,1,2))</f>
        <v>I</v>
      </c>
      <c r="B22" s="68" t="str">
        <f>Printout!I14</f>
        <v>'meeting location' place reference</v>
      </c>
      <c r="C22" s="64" t="str">
        <f>"check ''database'' sheet for city in column "&amp;A17&amp;" AND use corresponding column number"</f>
        <v>check ''database'' sheet for city in column D AND use corresponding column number</v>
      </c>
      <c r="D22" s="64" t="str">
        <f>"use '"&amp;database!$AB$13&amp;"' for errors"</f>
        <v>use '28' for errors</v>
      </c>
      <c r="E22" s="64" t="str">
        <f>"use '0' if column "&amp;A17&amp;" equals column "&amp;A18</f>
        <v>use '0' if column D equals column E</v>
      </c>
    </row>
    <row r="23" spans="1:11">
      <c r="A23" s="67" t="str">
        <f>RIGHT(LEFT(ADDRESS(ROW(Printout!J14),COLUMN(Printout!J14)),IF(COLUMN(Printout!J14)&lt;=26,2,3)),IF(COLUMN(Printout!J14)&lt;=26,1,2))</f>
        <v>J</v>
      </c>
      <c r="B23" s="68" t="str">
        <f>Printout!J14</f>
        <v>'home city:' name</v>
      </c>
      <c r="C23" s="64" t="s">
        <v>162</v>
      </c>
      <c r="D23" s="64"/>
      <c r="E23" s="64"/>
    </row>
    <row r="24" spans="1:11">
      <c r="A24" s="67" t="str">
        <f>RIGHT(LEFT(ADDRESS(ROW(Printout!K14),COLUMN(Printout!K14)),IF(COLUMN(Printout!K14)&lt;=26,2,3)),IF(COLUMN(Printout!K14)&lt;=26,1,2))</f>
        <v>K</v>
      </c>
      <c r="B24" s="68" t="str">
        <f>Printout!K14</f>
        <v>'home city:' place reference</v>
      </c>
      <c r="C24" s="64" t="str">
        <f>"check ''database'' sheet for city in column "&amp;A23&amp;" AND use corresponding column number"</f>
        <v>check ''database'' sheet for city in column J AND use corresponding column number</v>
      </c>
      <c r="D24" s="64" t="str">
        <f>"use '"&amp;database!$AB$13&amp;"' for errors"</f>
        <v>use '28' for errors</v>
      </c>
      <c r="E24" s="64" t="str">
        <f>"use '0' if column "&amp;A17&amp;" equals column "&amp;A23</f>
        <v>use '0' if column D equals column J</v>
      </c>
    </row>
    <row r="25" spans="1:11">
      <c r="A25" s="67" t="str">
        <f>RIGHT(LEFT(ADDRESS(ROW(Printout!L14),COLUMN(Printout!L14)),IF(COLUMN(Printout!L14)&lt;=26,2,3)),IF(COLUMN(Printout!L14)&lt;=26,1,2))</f>
        <v>L</v>
      </c>
      <c r="B25" s="68" t="str">
        <f>Printout!L14</f>
        <v>'left from' to 'meeting location' mileage</v>
      </c>
      <c r="C25" s="64" t="str">
        <f>"check columns "&amp;A20&amp;" and "&amp;A21&amp;" equals 'drove' or 'rode' AND lookup the ''database'' sheet using column "&amp;A21&amp;" and row "&amp;A17</f>
        <v>check columns G and H equals 'drove' or 'rode' AND lookup the ''database'' sheet using column H and row D</v>
      </c>
      <c r="D25" s="64" t="str">
        <f>"use '(blank)' for errors"</f>
        <v>use '(blank)' for errors</v>
      </c>
      <c r="E25" s="64" t="str">
        <f>"use '0' if column "&amp;A21&amp;" equals '0'"</f>
        <v>use '0' if column H equals '0'</v>
      </c>
    </row>
    <row r="26" spans="1:11">
      <c r="A26" s="67" t="str">
        <f>RIGHT(LEFT(ADDRESS(ROW(Printout!M14),COLUMN(Printout!M14)),IF(COLUMN(Printout!M14)&lt;=26,2,3)),IF(COLUMN(Printout!M14)&lt;=26,1,2))</f>
        <v>M</v>
      </c>
      <c r="B26" s="68" t="str">
        <f>Printout!M14</f>
        <v>'meeting location' to 'match site' mileage</v>
      </c>
      <c r="C26" s="64" t="str">
        <f>"check column "&amp;A20&amp;" and "&amp;A22&amp;" equals 'drove' or 'rode' AND lookup the ''database'' sheet using column "&amp;A22&amp;" and row "&amp;A18</f>
        <v>check column G and I equals 'drove' or 'rode' AND lookup the ''database'' sheet using column I and row E</v>
      </c>
      <c r="D26" s="64" t="str">
        <f>"use '(blank)' for errors"</f>
        <v>use '(blank)' for errors</v>
      </c>
      <c r="E26" s="64" t="str">
        <f>"use '0' if column "&amp;A22&amp;" equals '0'"</f>
        <v>use '0' if column I equals '0'</v>
      </c>
    </row>
    <row r="27" spans="1:11">
      <c r="A27" s="67" t="str">
        <f>RIGHT(LEFT(ADDRESS(ROW(Printout!N14),COLUMN(Printout!N14)),IF(COLUMN(Printout!N14)&lt;=26,2,3)),IF(COLUMN(Printout!N14)&lt;=26,1,2))</f>
        <v>N</v>
      </c>
      <c r="B27" s="68" t="str">
        <f>Printout!N14</f>
        <v>'match site' to 'meeting location' mileage</v>
      </c>
      <c r="C27" s="64" t="str">
        <f>"check column "&amp;A20&amp;" and "&amp;A22&amp;" equals 'drove' or 'rode' AND lookup the ''database'' sheet using column "&amp;A22&amp;" and row "&amp;A18</f>
        <v>check column G and I equals 'drove' or 'rode' AND lookup the ''database'' sheet using column I and row E</v>
      </c>
      <c r="D27" s="64" t="str">
        <f>"use '(blank)' for errors"</f>
        <v>use '(blank)' for errors</v>
      </c>
      <c r="E27" s="64" t="str">
        <f>"use '0' if column "&amp;A22&amp;" equals '0'"</f>
        <v>use '0' if column I equals '0'</v>
      </c>
    </row>
    <row r="28" spans="1:11">
      <c r="A28" s="67" t="str">
        <f>RIGHT(LEFT(ADDRESS(ROW(Printout!O14),COLUMN(Printout!O14)),IF(COLUMN(Printout!O14)&lt;=26,2,3)),IF(COLUMN(Printout!O14)&lt;=26,1,2))</f>
        <v>O</v>
      </c>
      <c r="B28" s="68" t="str">
        <f>Printout!O14</f>
        <v>'meeting location' to 'home city:' mileage</v>
      </c>
      <c r="C28" s="64" t="str">
        <f>"check column "&amp;A20&amp;" and "&amp;A24&amp;" equals 'drove' or 'rode' AND lookup the ''database'' sheet using column "&amp;A24&amp;" and row "&amp;A17</f>
        <v>check column G and K equals 'drove' or 'rode' AND lookup the ''database'' sheet using column K and row D</v>
      </c>
      <c r="D28" s="64" t="str">
        <f>"use '(blank)' for errors"</f>
        <v>use '(blank)' for errors</v>
      </c>
      <c r="E28" s="64" t="str">
        <f>"use '0' if column "&amp;A23&amp;" equals '0'"</f>
        <v>use '0' if column J equals '0'</v>
      </c>
    </row>
    <row r="29" spans="1:11">
      <c r="A29" s="67" t="str">
        <f>RIGHT(LEFT(ADDRESS(ROW(Printout!P14),COLUMN(Printout!P14)),IF(COLUMN(Printout!P14)&lt;=26,2,3)),IF(COLUMN(Printout!P14)&lt;=26,1,2))</f>
        <v>P</v>
      </c>
      <c r="B29" s="68" t="str">
        <f>Printout!P14</f>
        <v>'mileage drove' equation</v>
      </c>
      <c r="C29" s="64" t="str">
        <f>"check column "&amp;A20&amp;" AND add columns "&amp;A25&amp;", "&amp;A26&amp;", "&amp;A27&amp;", and "&amp;A28&amp;" (if 'drove'), OR add columns "&amp;A25&amp;" and "&amp;A28&amp;" (if 'rode')"</f>
        <v>check column G AND add columns L, M, N, and O (if 'drove'), OR add columns L and O (if 'rode')</v>
      </c>
      <c r="D29" s="64" t="str">
        <f>"use '(blank)' for errors and no entrys in columns "&amp;A16&amp;", "&amp;A17&amp;", "&amp;A18&amp;", and "&amp;A23</f>
        <v>use '(blank)' for errors and no entrys in columns C, D, E, and J</v>
      </c>
      <c r="E29" s="64"/>
    </row>
    <row r="30" spans="1:11">
      <c r="A30" s="67" t="str">
        <f>RIGHT(LEFT(ADDRESS(ROW(Printout!Q14),COLUMN(Printout!Q14)),IF(COLUMN(Printout!Q14)&lt;=26,2,3)),IF(COLUMN(Printout!Q14)&lt;=26,1,2))</f>
        <v>Q</v>
      </c>
      <c r="B30" s="68" t="str">
        <f>Printout!Q14</f>
        <v>'mileage rode' equation</v>
      </c>
      <c r="C30" s="64" t="str">
        <f>"check column "&amp;A20&amp;" AND add columns "&amp;A26&amp;" and "&amp;A27&amp;" (if 'rode')"</f>
        <v>check column G AND add columns M and N (if 'rode')</v>
      </c>
      <c r="D30" s="64" t="str">
        <f>"use '(blank)' for errors and no entrys in columns "&amp;A16&amp;", "&amp;A17&amp;", and "&amp;A18</f>
        <v>use '(blank)' for errors and no entrys in columns C, D, and E</v>
      </c>
      <c r="E30" s="64"/>
      <c r="J30" s="60"/>
      <c r="K30" s="60"/>
    </row>
    <row r="31" spans="1:11">
      <c r="A31" s="67" t="str">
        <f>RIGHT(LEFT(ADDRESS(ROW(Printout!R14),COLUMN(Printout!R14)),IF(COLUMN(Printout!R14)&lt;=26,2,3)),IF(COLUMN(Printout!R14)&lt;=26,1,2))</f>
        <v>R</v>
      </c>
      <c r="B31" s="68" t="str">
        <f>UPPER(Printout!R14)</f>
        <v>MILEAGE DROVE</v>
      </c>
      <c r="C31" s="64" t="str">
        <f>"check column "&amp;A29&amp;" AND enter column if no errors and is a number"</f>
        <v>check column P AND enter column if no errors and is a number</v>
      </c>
      <c r="D31" s="64" t="s">
        <v>165</v>
      </c>
      <c r="E31" s="64" t="s">
        <v>163</v>
      </c>
    </row>
    <row r="32" spans="1:11">
      <c r="A32" s="67" t="str">
        <f>RIGHT(LEFT(ADDRESS(ROW(Printout!S14),COLUMN(Printout!S14)),IF(COLUMN(Printout!S14)&lt;=26,2,3)),IF(COLUMN(Printout!S14)&lt;=26,1,2))</f>
        <v>S</v>
      </c>
      <c r="B32" s="68" t="str">
        <f>UPPER(Printout!S14)</f>
        <v>MILEAGE RODE</v>
      </c>
      <c r="C32" s="64" t="str">
        <f>"check column "&amp;A30&amp;" AND enter column if no errors and is a number"</f>
        <v>check column Q AND enter column if no errors and is a number</v>
      </c>
      <c r="D32" s="64" t="s">
        <v>165</v>
      </c>
      <c r="E32" s="64" t="s">
        <v>163</v>
      </c>
    </row>
    <row r="33" spans="1:5">
      <c r="A33" s="67" t="str">
        <f>RIGHT(LEFT(ADDRESS(ROW(Printout!T14),COLUMN(Printout!T14)),IF(COLUMN(Printout!T14)&lt;=26,2,3)),IF(COLUMN(Printout!T14)&lt;=26,1,2))</f>
        <v>T</v>
      </c>
      <c r="B33" s="68" t="str">
        <f>Printout!T14</f>
        <v>drive payment</v>
      </c>
      <c r="C33" s="64" t="str">
        <f>"multiply column "&amp;A31&amp;" by mileage rate from ''database'' sheet"</f>
        <v>multiply column R by mileage rate from ''database'' sheet</v>
      </c>
      <c r="D33" s="64" t="s">
        <v>166</v>
      </c>
      <c r="E33" s="64" t="s">
        <v>167</v>
      </c>
    </row>
    <row r="34" spans="1:5">
      <c r="A34" s="67" t="str">
        <f>RIGHT(LEFT(ADDRESS(ROW(Printout!U14),COLUMN(Printout!U14)),IF(COLUMN(Printout!U14)&lt;=26,2,3)),IF(COLUMN(Printout!U14)&lt;=26,1,2))</f>
        <v>U</v>
      </c>
      <c r="B34" s="68" t="str">
        <f>Printout!U14</f>
        <v>ride payment</v>
      </c>
      <c r="C34" s="64" t="str">
        <f>"enter 'Rider Rate' from ''database'' sheet if column "&amp;A32&amp;" meets the condition"</f>
        <v>enter 'Rider Rate' from ''database'' sheet if column S meets the condition</v>
      </c>
      <c r="D34" s="64" t="s">
        <v>166</v>
      </c>
      <c r="E34" s="64" t="s">
        <v>167</v>
      </c>
    </row>
    <row r="35" spans="1:5">
      <c r="A35" s="67" t="str">
        <f>RIGHT(LEFT(ADDRESS(ROW(Printout!V14),COLUMN(Printout!V14)),IF(COLUMN(Printout!V14)&lt;=26,2,3)),IF(COLUMN(Printout!V14)&lt;=26,1,2))</f>
        <v>V</v>
      </c>
      <c r="B35" s="68" t="str">
        <f>Printout!V14</f>
        <v>mileage drove errors</v>
      </c>
      <c r="C35" s="64" t="str">
        <f>"check column "&amp;A29&amp;" AND enter column "&amp;A14</f>
        <v>check column P AND enter column A</v>
      </c>
      <c r="D35" s="64" t="str">
        <f>"use '(blank)' for errors"</f>
        <v>use '(blank)' for errors</v>
      </c>
      <c r="E35" s="64" t="s">
        <v>168</v>
      </c>
    </row>
    <row r="36" spans="1:5">
      <c r="A36" s="67" t="str">
        <f>RIGHT(LEFT(ADDRESS(ROW(Printout!W14),COLUMN(Printout!W14)),IF(COLUMN(Printout!W14)&lt;=26,2,3)),IF(COLUMN(Printout!W14)&lt;=26,1,2))</f>
        <v>W</v>
      </c>
      <c r="B36" s="68" t="str">
        <f>Printout!W14</f>
        <v>mileage rode errors</v>
      </c>
      <c r="C36" s="64" t="str">
        <f>"check column "&amp;A30&amp;" AND enter column "&amp;A14</f>
        <v>check column Q AND enter column A</v>
      </c>
      <c r="D36" s="64" t="str">
        <f>"use '(blank)' for errors"</f>
        <v>use '(blank)' for errors</v>
      </c>
      <c r="E36" s="64" t="s">
        <v>168</v>
      </c>
    </row>
    <row r="37" spans="1:5">
      <c r="A37" s="67" t="str">
        <f>RIGHT(LEFT(ADDRESS(ROW(Printout!X14),COLUMN(Printout!X14)),IF(COLUMN(Printout!X14)&lt;=26,2,3)),IF(COLUMN(Printout!X14)&lt;=26,1,2))</f>
        <v>X</v>
      </c>
      <c r="B37" s="68" t="str">
        <f>Printout!X14</f>
        <v>differences</v>
      </c>
      <c r="C37" s="64" t="str">
        <f>"check columns "&amp;A35&amp;" and "&amp;A36&amp;" AND enter '(blank)' (if both are blank) otherwise enter column "&amp;A14</f>
        <v>check columns V and W AND enter '(blank)' (if both are blank) otherwise enter column A</v>
      </c>
      <c r="D37" s="64"/>
      <c r="E37" s="64" t="s">
        <v>168</v>
      </c>
    </row>
    <row r="38" spans="1:5">
      <c r="A38" s="64"/>
      <c r="B38" s="64"/>
      <c r="C38" s="64"/>
      <c r="D38" s="64"/>
      <c r="E38" s="64"/>
    </row>
    <row r="39" spans="1:5">
      <c r="A39" s="64" t="s">
        <v>169</v>
      </c>
      <c r="B39" s="64" t="s">
        <v>170</v>
      </c>
      <c r="C39" s="64" t="s">
        <v>159</v>
      </c>
      <c r="D39" s="64"/>
      <c r="E39" s="64"/>
    </row>
    <row r="40" spans="1:5">
      <c r="A40" s="67" t="str">
        <f>REPLACE(REPLACE(ADDRESS(ROW(Printout!C45),COLUMN(Printout!C45)),1,1,""),IF(COLUMN(Printout!C45)&gt;26,3,2),1,"")</f>
        <v>C45</v>
      </c>
      <c r="B40" s="68" t="str">
        <f>Printout!B45</f>
        <v>DRIVING</v>
      </c>
      <c r="C40" s="64" t="str">
        <f>"sum of column "&amp;A33&amp;", rows 2 thru 29"</f>
        <v>sum of column T, rows 2 thru 29</v>
      </c>
      <c r="D40" s="64"/>
      <c r="E40" s="64"/>
    </row>
    <row r="41" spans="1:5">
      <c r="A41" s="67" t="str">
        <f>REPLACE(REPLACE(ADDRESS(ROW(Printout!C46),COLUMN(Printout!C46)),1,1,""),IF(COLUMN(Printout!C46)&gt;26,3,2),1,"")</f>
        <v>C46</v>
      </c>
      <c r="B41" s="68" t="str">
        <f>Printout!B46</f>
        <v>RIDING</v>
      </c>
      <c r="C41" s="64" t="str">
        <f>"sum of column "&amp;A34&amp;", rows 2 thru 29"</f>
        <v>sum of column U, rows 2 thru 29</v>
      </c>
      <c r="D41" s="64"/>
      <c r="E41" s="64"/>
    </row>
    <row r="42" spans="1:5">
      <c r="A42" s="67" t="str">
        <f>REPLACE(REPLACE(ADDRESS(ROW(Printout!C47),COLUMN(Printout!C47)),1,1,""),IF(COLUMN(Printout!C47)&gt;26,3,2),1,"")</f>
        <v>C47</v>
      </c>
      <c r="B42" s="68" t="str">
        <f>Printout!B47</f>
        <v>TOTALS</v>
      </c>
      <c r="C42" s="64" t="str">
        <f>"sum of cells "&amp;A40&amp;" and "&amp;A41</f>
        <v>sum of cells C45 and C46</v>
      </c>
      <c r="D42" s="64"/>
      <c r="E42" s="64"/>
    </row>
    <row r="43" spans="1:5">
      <c r="A43" s="67" t="str">
        <f>REPLACE(REPLACE(ADDRESS(ROW(Printout!D45),COLUMN(Printout!D45)),1,1,""),IF(COLUMN(Printout!D45)&gt;26,3,2),1,"")</f>
        <v>D45</v>
      </c>
      <c r="B43" s="64"/>
      <c r="C43" s="64" t="s">
        <v>172</v>
      </c>
      <c r="D43" s="64"/>
      <c r="E43" s="64"/>
    </row>
    <row r="44" spans="1:5">
      <c r="A44" s="67" t="str">
        <f>REPLACE(REPLACE(ADDRESS(ROW(Printout!D46),COLUMN(Printout!D46)),1,1,""),IF(COLUMN(Printout!D46)&gt;26,3,2),1,"")</f>
        <v>D46</v>
      </c>
      <c r="B44" s="64"/>
      <c r="C44" s="64" t="s">
        <v>173</v>
      </c>
      <c r="D44" s="64"/>
      <c r="E44" s="64"/>
    </row>
    <row r="45" spans="1:5">
      <c r="A45" s="67" t="str">
        <f>REPLACE(REPLACE(ADDRESS(ROW(Printout!F45),COLUMN(Printout!F45)),1,1,""),IF(COLUMN(Printout!F45)&gt;26,3,2),1,"")</f>
        <v>F45</v>
      </c>
      <c r="B45" s="64"/>
      <c r="C45" s="64" t="s">
        <v>174</v>
      </c>
      <c r="D45" s="64"/>
      <c r="E45" s="64"/>
    </row>
    <row r="46" spans="1:5">
      <c r="A46" s="67"/>
      <c r="B46" s="64"/>
      <c r="C46" s="64"/>
      <c r="D46" s="64"/>
      <c r="E46" s="64"/>
    </row>
    <row r="47" spans="1:5">
      <c r="A47" s="67"/>
      <c r="B47" s="64"/>
      <c r="C47" s="64"/>
      <c r="D47" s="64"/>
      <c r="E47" s="64"/>
    </row>
    <row r="48" spans="1:5">
      <c r="A48" s="67"/>
      <c r="B48" s="64"/>
      <c r="C48" s="64"/>
      <c r="D48" s="64"/>
      <c r="E48" s="64"/>
    </row>
    <row r="49" spans="1:256">
      <c r="A49" s="67"/>
      <c r="B49" s="64"/>
      <c r="C49" s="64"/>
      <c r="D49" s="64"/>
      <c r="E49" s="64"/>
    </row>
    <row r="50" spans="1:256">
      <c r="A50" s="64"/>
      <c r="B50" s="64"/>
      <c r="C50" s="64"/>
      <c r="D50" s="64"/>
      <c r="E50" s="64"/>
    </row>
    <row r="51" spans="1:256">
      <c r="A51" s="64" t="s">
        <v>62</v>
      </c>
      <c r="B51" s="64"/>
      <c r="C51" s="64"/>
      <c r="D51" s="64"/>
      <c r="E51" s="64"/>
    </row>
    <row r="52" spans="1:256">
      <c r="A52" s="64" t="s">
        <v>169</v>
      </c>
      <c r="B52" s="64"/>
      <c r="C52" s="64"/>
      <c r="D52" s="64"/>
      <c r="E52" s="64"/>
    </row>
    <row r="53" spans="1:256">
      <c r="A53" s="67" t="str">
        <f>REPLACE(REPLACE(ADDRESS(ROW(database!C4),COLUMN(database!C4)),1,1,""),IF(COLUMN(database!C4)&gt;26,3,2),1,"")</f>
        <v>C4</v>
      </c>
      <c r="B53" s="67" t="str">
        <f>REPLACE(REPLACE(ADDRESS(ROW(database!D4),COLUMN(database!D4)),1,1,""),IF(COLUMN(database!D4)&gt;26,3,2),1,"")</f>
        <v>D4</v>
      </c>
      <c r="C53" s="69" t="s">
        <v>175</v>
      </c>
      <c r="D53" s="67"/>
      <c r="E53" s="6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</row>
    <row r="54" spans="1:256">
      <c r="A54" s="67" t="str">
        <f>REPLACE(REPLACE(ADDRESS(ROW(database!C5),COLUMN(database!C5)),1,1,""),IF(COLUMN(database!C5)&gt;26,3,2),1,"")</f>
        <v>C5</v>
      </c>
      <c r="B54" s="67" t="str">
        <f>REPLACE(REPLACE(ADDRESS(ROW(database!D5),COLUMN(database!D5)),1,1,""),IF(COLUMN(database!D5)&gt;26,3,2),1,"")</f>
        <v>D5</v>
      </c>
      <c r="C54" s="69" t="s">
        <v>176</v>
      </c>
      <c r="D54" s="67"/>
      <c r="E54" s="6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</row>
    <row r="55" spans="1:256">
      <c r="A55" s="67" t="str">
        <f>REPLACE(REPLACE(ADDRESS(ROW(database!C6),COLUMN(database!C6)),1,1,""),IF(COLUMN(database!C6)&gt;26,3,2),1,"")</f>
        <v>C6</v>
      </c>
      <c r="B55" s="67" t="str">
        <f>REPLACE(REPLACE(ADDRESS(ROW(database!D6),COLUMN(database!D6)),1,1,""),IF(COLUMN(database!D6)&gt;26,3,2),1,"")</f>
        <v>D6</v>
      </c>
      <c r="C55" s="69" t="s">
        <v>177</v>
      </c>
      <c r="D55" s="67"/>
      <c r="E55" s="6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</row>
    <row r="56" spans="1:256">
      <c r="A56" s="67"/>
      <c r="B56" s="67"/>
      <c r="C56" s="67"/>
      <c r="D56" s="67"/>
      <c r="E56" s="6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</row>
    <row r="57" spans="1:256">
      <c r="A57" s="69" t="s">
        <v>178</v>
      </c>
      <c r="B57" s="67"/>
      <c r="C57" s="67"/>
      <c r="D57" s="67"/>
      <c r="E57" s="6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</row>
    <row r="58" spans="1:256">
      <c r="A58" s="64"/>
      <c r="B58" s="69" t="s">
        <v>179</v>
      </c>
      <c r="C58" s="67"/>
      <c r="D58" s="67"/>
      <c r="E58" s="6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</row>
    <row r="59" spans="1:256">
      <c r="A59" s="64"/>
      <c r="B59" s="67" t="str">
        <f>REPLACE(ADDRESS(ROW(database!A9),COLUMN(database!A9)),1,IF(COLUMN(database!A9)&gt;26,4,3),"")</f>
        <v>9</v>
      </c>
      <c r="C59" s="69" t="s">
        <v>180</v>
      </c>
      <c r="D59" s="67"/>
      <c r="E59" s="6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</row>
    <row r="60" spans="1:256">
      <c r="A60" s="64"/>
      <c r="B60" s="67" t="str">
        <f>REPLACE(ADDRESS(ROW(database!A10),COLUMN(database!A10)),1,IF(COLUMN(database!A10)&gt;26,4,3),"")</f>
        <v>10</v>
      </c>
      <c r="C60" s="69" t="s">
        <v>181</v>
      </c>
      <c r="D60" s="67"/>
      <c r="E60" s="6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</row>
    <row r="61" spans="1:256">
      <c r="A61" s="64"/>
      <c r="B61" s="67" t="str">
        <f>REPLACE(ADDRESS(ROW(database!A11),COLUMN(database!A11)),1,IF(COLUMN(database!A11)&gt;26,4,3),"")</f>
        <v>11</v>
      </c>
      <c r="C61" s="69" t="s">
        <v>182</v>
      </c>
      <c r="D61" s="67"/>
      <c r="E61" s="6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</row>
    <row r="62" spans="1:256">
      <c r="A62" s="64"/>
      <c r="B62" s="67" t="str">
        <f>REPLACE(ADDRESS(ROW(database!A12),COLUMN(database!A12)),1,IF(COLUMN(database!A12)&gt;26,4,3),"")</f>
        <v>12</v>
      </c>
      <c r="C62" s="69" t="s">
        <v>183</v>
      </c>
      <c r="D62" s="67"/>
      <c r="E62" s="6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</row>
    <row r="63" spans="1:256">
      <c r="A63" s="64"/>
      <c r="B63" s="67" t="str">
        <f>REPLACE(ADDRESS(ROW(database!A13),COLUMN(database!A13)),1,IF(COLUMN(database!A13)&gt;26,4,3),"")</f>
        <v>13</v>
      </c>
      <c r="C63" s="69" t="s">
        <v>184</v>
      </c>
      <c r="D63" s="67"/>
      <c r="E63" s="6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</row>
    <row r="64" spans="1:256">
      <c r="A64" s="64"/>
      <c r="B64" s="67" t="str">
        <f>REPLACE(ADDRESS(ROW(database!A15),COLUMN(database!A15)),1,IF(COLUMN(database!A15)&gt;26,4,3),"")&amp;" - "&amp;REPLACE(ADDRESS(ROW(database!A58),COLUMN(database!A58)),1,IF(COLUMN(database!A58)&gt;26,4,3),"")</f>
        <v>15 - 58</v>
      </c>
      <c r="C64" s="67" t="s">
        <v>185</v>
      </c>
      <c r="D64" s="67"/>
      <c r="E64" s="6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</row>
    <row r="65" spans="1:256">
      <c r="A65" s="69" t="s">
        <v>189</v>
      </c>
      <c r="B65" s="64"/>
      <c r="C65" s="67"/>
      <c r="D65" s="67"/>
      <c r="E65" s="67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</row>
    <row r="66" spans="1:256">
      <c r="A66" s="64"/>
      <c r="B66" s="69" t="s">
        <v>192</v>
      </c>
      <c r="C66" s="67"/>
      <c r="D66" s="67"/>
      <c r="E66" s="67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</row>
    <row r="67" spans="1:256">
      <c r="A67" s="64"/>
      <c r="B67" s="69" t="str">
        <f>"2). Label the city (row "&amp;B59&amp;")"</f>
        <v>2). Label the city (row 9)</v>
      </c>
      <c r="C67" s="67"/>
      <c r="D67" s="67"/>
      <c r="E67" s="6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</row>
    <row r="68" spans="1:256">
      <c r="A68" s="64"/>
      <c r="B68" s="69" t="str">
        <f>"3). Insert ''town of'' if this city will be confused with other entries (row "&amp;B60&amp;")"</f>
        <v>3). Insert ''town of'' if this city will be confused with other entries (row 10)</v>
      </c>
      <c r="C68" s="67"/>
      <c r="D68" s="67"/>
      <c r="E68" s="6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</row>
    <row r="69" spans="1:256">
      <c r="A69" s="64"/>
      <c r="B69" s="69" t="str">
        <f>"4). Insert the location within the city (row "&amp;B61&amp;")"</f>
        <v>4). Insert the location within the city (row 11)</v>
      </c>
      <c r="C69" s="67"/>
      <c r="D69" s="67"/>
      <c r="E69" s="67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</row>
    <row r="70" spans="1:256">
      <c r="A70" s="64"/>
      <c r="B70" s="69" t="str">
        <f>"5). Insert the information needed to use google maps (row "&amp;B62&amp;")"</f>
        <v>5). Insert the information needed to use google maps (row 12)</v>
      </c>
      <c r="C70" s="67"/>
      <c r="D70" s="67"/>
      <c r="E70" s="6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</row>
    <row r="71" spans="1:256">
      <c r="A71" s="64"/>
      <c r="B71" s="69" t="str">
        <f>"6). Copy one of the column numbers in this same row AND paste into the new cell (row "&amp;B63&amp;")"</f>
        <v>6). Copy one of the column numbers in this same row AND paste into the new cell (row 13)</v>
      </c>
      <c r="C71" s="67"/>
      <c r="D71" s="67"/>
      <c r="E71" s="6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</row>
    <row r="72" spans="1:256">
      <c r="A72" s="64"/>
      <c r="B72" s="69" t="str">
        <f>"7). Insert the values from google maps (one way) (rows "&amp;B64&amp;")"</f>
        <v>7). Insert the values from google maps (one way) (rows 15 - 58)</v>
      </c>
      <c r="C72" s="67"/>
      <c r="D72" s="67"/>
      <c r="E72" s="6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</row>
    <row r="73" spans="1:256">
      <c r="A73" s="64"/>
      <c r="B73" s="69" t="str">
        <f>"8). Use ''?'' for the last row (row "&amp;RIGHT(B64,2)&amp;")"</f>
        <v>8). Use ''?'' for the last row (row 58)</v>
      </c>
      <c r="C73" s="67"/>
      <c r="D73" s="67"/>
      <c r="E73" s="6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</row>
    <row r="74" spans="1:256">
      <c r="A74" s="64"/>
      <c r="B74" s="69"/>
      <c r="C74" s="67"/>
      <c r="D74" s="67"/>
      <c r="E74" s="6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</row>
    <row r="75" spans="1:256">
      <c r="A75" s="64"/>
      <c r="B75" s="69" t="s">
        <v>186</v>
      </c>
      <c r="C75" s="67"/>
      <c r="D75" s="67"/>
      <c r="E75" s="67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</row>
    <row r="76" spans="1:256">
      <c r="A76" s="64"/>
      <c r="B76" s="67" t="str">
        <f>REPLACE(REPLACE(ADDRESS(ROW(database!A9),COLUMN(database!A9)),1,1,""),IF(COLUMN(database!A9)&gt;26,3,2),LEN(database!A9),"")</f>
        <v>A</v>
      </c>
      <c r="C76" s="69" t="s">
        <v>187</v>
      </c>
      <c r="D76" s="64"/>
      <c r="E76" s="6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</row>
    <row r="77" spans="1:256">
      <c r="A77" s="64"/>
      <c r="B77" s="67" t="str">
        <f>REPLACE(REPLACE(ADDRESS(ROW(database!B9),COLUMN(database!B9)),1,1,""),IF(COLUMN(database!B9)&gt;26,3,2),LEN(database!B9),"")</f>
        <v>B</v>
      </c>
      <c r="C77" s="69" t="s">
        <v>188</v>
      </c>
      <c r="D77" s="67"/>
      <c r="E77" s="67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</row>
    <row r="78" spans="1:256">
      <c r="A78" s="64"/>
      <c r="B78" s="67" t="str">
        <f>REPLACE(REPLACE(ADDRESS(ROW(database!D9),COLUMN(database!D9)),1,1,""),IF(COLUMN(database!D9)&gt;26,3,2),LEN(database!D9),"")&amp;" - "&amp;REPLACE(REPLACE(ADDRESS(ROW(database!AB9),COLUMN(database!AB9)),1,1,""),IF(COLUMN(database!AB9)&gt;26,3,2),LEN(database!AB9),"")</f>
        <v>D - AB</v>
      </c>
      <c r="C78" s="67" t="s">
        <v>185</v>
      </c>
      <c r="D78" s="67"/>
      <c r="E78" s="67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</row>
    <row r="79" spans="1:256">
      <c r="A79" s="64"/>
      <c r="B79" s="67" t="str">
        <f>REPLACE(REPLACE(ADDRESS(ROW(database!AD9),COLUMN(database!AD9)),1,1,""),IF(COLUMN(database!AD9)&gt;26,3,2),LEN(database!AD9),"")</f>
        <v>AD</v>
      </c>
      <c r="C79" s="69" t="s">
        <v>183</v>
      </c>
      <c r="D79" s="67"/>
      <c r="E79" s="67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>
      <c r="A80" s="69" t="s">
        <v>190</v>
      </c>
      <c r="B80" s="64"/>
      <c r="C80" s="64"/>
      <c r="D80" s="64"/>
      <c r="E80" s="64"/>
    </row>
    <row r="81" spans="1:5">
      <c r="A81" s="64"/>
      <c r="B81" s="69" t="s">
        <v>191</v>
      </c>
      <c r="C81" s="64"/>
      <c r="D81" s="64"/>
      <c r="E81" s="64"/>
    </row>
    <row r="82" spans="1:5">
      <c r="A82" s="64"/>
      <c r="B82" s="69" t="str">
        <f>"2). Label the city (column "&amp;B76&amp;")"</f>
        <v>2). Label the city (column A)</v>
      </c>
      <c r="C82" s="64"/>
      <c r="D82" s="64"/>
      <c r="E82" s="64"/>
    </row>
    <row r="83" spans="1:5">
      <c r="A83" s="64"/>
      <c r="B83" s="69" t="str">
        <f>"3). Insert ''town of'' if this city will be confused with other entries OR mileage within city and paint red (column "&amp;B77&amp;")"</f>
        <v>3). Insert ''town of'' if this city will be confused with other entries OR mileage within city and paint red (column B)</v>
      </c>
      <c r="C83" s="64"/>
      <c r="D83" s="64"/>
      <c r="E83" s="64"/>
    </row>
    <row r="84" spans="1:5">
      <c r="A84" s="64"/>
      <c r="B84" s="69" t="str">
        <f>"4). Insert the values from google maps (one way) (columns "&amp;B78&amp;")"</f>
        <v>4). Insert the values from google maps (one way) (columns D - AB)</v>
      </c>
      <c r="C84" s="64"/>
      <c r="D84" s="64"/>
      <c r="E84" s="64"/>
    </row>
    <row r="85" spans="1:5">
      <c r="A85" s="64"/>
      <c r="B85" s="69" t="str">
        <f>"5). Use ''?'' for the last column (column "&amp;RIGHT(B78,2)&amp;")"</f>
        <v>5). Use ''?'' for the last column (column AB)</v>
      </c>
      <c r="C85" s="64"/>
      <c r="D85" s="64"/>
      <c r="E85" s="64"/>
    </row>
    <row r="86" spans="1:5">
      <c r="A86" s="64"/>
      <c r="B86" s="69" t="str">
        <f>"6). Insert the information needed to use google maps (column "&amp;B79&amp;")"</f>
        <v>6). Insert the information needed to use google maps (column AD)</v>
      </c>
      <c r="C86" s="64"/>
      <c r="D86" s="64"/>
      <c r="E86" s="64"/>
    </row>
    <row r="87" spans="1:5">
      <c r="A87" s="64"/>
      <c r="B87" s="64"/>
      <c r="C87" s="64"/>
      <c r="D87" s="64"/>
      <c r="E87" s="64"/>
    </row>
    <row r="88" spans="1:5">
      <c r="A88" s="64"/>
      <c r="B88" s="64"/>
      <c r="C88" s="64"/>
      <c r="D88" s="64"/>
      <c r="E88" s="64"/>
    </row>
  </sheetData>
  <sheetProtection password="C67E" sheet="1" objects="1" scenarios="1"/>
  <customSheetViews>
    <customSheetView guid="{68CA99EB-C196-46E7-AC9D-43F9554C0015}" showPageBreaks="1" showGridLines="0" hiddenColumns="1" topLeftCell="F1">
      <selection activeCell="F1" sqref="A1:IV65536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Printout</vt:lpstr>
      <vt:lpstr>database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Terese</cp:lastModifiedBy>
  <cp:lastPrinted>2014-11-06T03:02:47Z</cp:lastPrinted>
  <dcterms:created xsi:type="dcterms:W3CDTF">2006-11-11T20:45:37Z</dcterms:created>
  <dcterms:modified xsi:type="dcterms:W3CDTF">2016-03-21T01:08:19Z</dcterms:modified>
</cp:coreProperties>
</file>