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993" activeTab="1"/>
  </bookViews>
  <sheets>
    <sheet name="Bill of materials" sheetId="4" r:id="rId1"/>
    <sheet name="Power draw" sheetId="2" r:id="rId2"/>
    <sheet name="Transmission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" i="2" l="1"/>
  <c r="J10" i="2"/>
  <c r="J9" i="2"/>
  <c r="D44" i="4" l="1"/>
  <c r="D19" i="4"/>
  <c r="D18" i="4"/>
  <c r="D17" i="4"/>
  <c r="D16" i="4"/>
  <c r="D12" i="4"/>
  <c r="D11" i="4"/>
  <c r="D14" i="4" s="1"/>
  <c r="D7" i="4"/>
  <c r="D9" i="4" s="1"/>
  <c r="D6" i="4"/>
  <c r="D5" i="4"/>
  <c r="D4" i="4"/>
  <c r="D3" i="4"/>
  <c r="D40" i="4" l="1"/>
  <c r="D46" i="4"/>
  <c r="H12" i="2" l="1"/>
  <c r="G12" i="2"/>
  <c r="F12" i="2"/>
  <c r="E12" i="2"/>
  <c r="D12" i="2"/>
  <c r="C12" i="2"/>
  <c r="D9" i="2"/>
  <c r="E9" i="2" s="1"/>
  <c r="B22" i="2"/>
  <c r="G22" i="2" s="1"/>
  <c r="H22" i="2" s="1"/>
  <c r="G19" i="2" l="1"/>
  <c r="H19" i="2" s="1"/>
  <c r="G18" i="2"/>
  <c r="H18" i="2" s="1"/>
  <c r="G21" i="2"/>
  <c r="H21" i="2" s="1"/>
  <c r="G16" i="2"/>
  <c r="H16" i="2" s="1"/>
  <c r="G14" i="2"/>
  <c r="H14" i="2" s="1"/>
  <c r="G15" i="2"/>
  <c r="H15" i="2" s="1"/>
  <c r="K10" i="2"/>
  <c r="D10" i="2"/>
  <c r="E10" i="2"/>
  <c r="H10" i="2"/>
  <c r="I10" i="2"/>
  <c r="I9" i="2"/>
  <c r="H9" i="2"/>
  <c r="B20" i="2"/>
  <c r="G20" i="2" s="1"/>
  <c r="H20" i="2" s="1"/>
  <c r="B17" i="2"/>
  <c r="G17" i="2" s="1"/>
  <c r="H17" i="2" s="1"/>
  <c r="C18" i="2" l="1"/>
  <c r="D18" i="2" s="1"/>
  <c r="C19" i="2"/>
  <c r="D19" i="2" s="1"/>
  <c r="C20" i="2"/>
  <c r="D20" i="2" s="1"/>
  <c r="C21" i="2"/>
  <c r="D21" i="2" s="1"/>
  <c r="C17" i="2"/>
  <c r="D17" i="2" s="1"/>
  <c r="C16" i="2"/>
  <c r="D16" i="2" s="1"/>
  <c r="C22" i="2"/>
  <c r="D22" i="2" s="1"/>
  <c r="C15" i="2"/>
  <c r="D15" i="2" s="1"/>
  <c r="C14" i="2"/>
  <c r="D14" i="2" s="1"/>
  <c r="C6" i="3"/>
  <c r="C7" i="3" s="1"/>
  <c r="E17" i="2" l="1"/>
  <c r="F17" i="2" s="1"/>
  <c r="E18" i="2"/>
  <c r="F18" i="2" s="1"/>
  <c r="E20" i="2"/>
  <c r="F20" i="2" s="1"/>
  <c r="E21" i="2"/>
  <c r="F21" i="2" s="1"/>
  <c r="E19" i="2"/>
  <c r="F19" i="2" s="1"/>
  <c r="E22" i="2"/>
  <c r="F22" i="2" s="1"/>
  <c r="E15" i="2"/>
  <c r="F15" i="2" s="1"/>
  <c r="E14" i="2"/>
  <c r="F14" i="2" s="1"/>
  <c r="E16" i="2"/>
  <c r="F16" i="2" s="1"/>
</calcChain>
</file>

<file path=xl/sharedStrings.xml><?xml version="1.0" encoding="utf-8"?>
<sst xmlns="http://schemas.openxmlformats.org/spreadsheetml/2006/main" count="119" uniqueCount="111">
  <si>
    <t>Quantity</t>
  </si>
  <si>
    <t>Mass (g)</t>
  </si>
  <si>
    <t>Power (W)</t>
  </si>
  <si>
    <t>Capacity (Wh)</t>
  </si>
  <si>
    <t>Motherboard (mini-ITX)</t>
  </si>
  <si>
    <t>CPU (Core i7)</t>
  </si>
  <si>
    <t>RAM (2x16GB)</t>
  </si>
  <si>
    <t>Mushkin 60GB SSD</t>
  </si>
  <si>
    <t>GPS</t>
  </si>
  <si>
    <t>Rear shock springs</t>
  </si>
  <si>
    <t>Front shock springs</t>
  </si>
  <si>
    <t>GPS antenna</t>
  </si>
  <si>
    <t>IMU</t>
  </si>
  <si>
    <t>Arduino</t>
  </si>
  <si>
    <t>Hall effect sensors</t>
  </si>
  <si>
    <t>Motor</t>
  </si>
  <si>
    <t>ESC</t>
  </si>
  <si>
    <t>Radio receiver</t>
  </si>
  <si>
    <t>Power supply</t>
  </si>
  <si>
    <t>Tail lights</t>
  </si>
  <si>
    <t>Rocker switch</t>
  </si>
  <si>
    <t>Car</t>
  </si>
  <si>
    <t>Transmission</t>
  </si>
  <si>
    <t>Gear ratio</t>
  </si>
  <si>
    <t>Discharge time (min)</t>
  </si>
  <si>
    <t>11.1V 13000mAh Lipo</t>
  </si>
  <si>
    <t>Pinion</t>
  </si>
  <si>
    <t>FDR</t>
  </si>
  <si>
    <t>75 Spur</t>
  </si>
  <si>
    <t>24 Pinion</t>
  </si>
  <si>
    <t>Capacity (mAh)</t>
  </si>
  <si>
    <t>Batteries</t>
  </si>
  <si>
    <t>Voltage (V)</t>
  </si>
  <si>
    <t>Cells</t>
  </si>
  <si>
    <t>Battery chemistry</t>
  </si>
  <si>
    <t>LiPo</t>
  </si>
  <si>
    <t>Min voltage (V)</t>
  </si>
  <si>
    <t>Max voltage (V)</t>
  </si>
  <si>
    <t>13000mAh LiPo</t>
  </si>
  <si>
    <t>Drain</t>
  </si>
  <si>
    <t>CPU off</t>
  </si>
  <si>
    <t>SSD</t>
  </si>
  <si>
    <t>Discharge time (h)</t>
  </si>
  <si>
    <t>Idle CPU</t>
  </si>
  <si>
    <t>Max CPU</t>
  </si>
  <si>
    <t>Idle CPU + GPU</t>
  </si>
  <si>
    <t>Max GPU</t>
  </si>
  <si>
    <t>Idle GPU (derived)</t>
  </si>
  <si>
    <t>Max CPU + GPU (derived)</t>
  </si>
  <si>
    <t>Idle computer (derived)</t>
  </si>
  <si>
    <t>8000mAh LiPo</t>
  </si>
  <si>
    <t>Nominal voltage (V)</t>
  </si>
  <si>
    <t>Max discharge (C)</t>
  </si>
  <si>
    <t>Max charge (C)</t>
  </si>
  <si>
    <t>Max charge (A)</t>
  </si>
  <si>
    <t>Min charge (mAh)</t>
  </si>
  <si>
    <t>References</t>
  </si>
  <si>
    <t>URL</t>
  </si>
  <si>
    <t>http://www.rchelicopterfun.com/rc-lipo-batteries.html</t>
  </si>
  <si>
    <t>LiPo breakin: 5 cycles to 50% charge</t>
  </si>
  <si>
    <t>Notes</t>
  </si>
  <si>
    <t>Store LiPos at 50% charge, about 3.85V per cell</t>
  </si>
  <si>
    <t>http://rogershobbycenter.com/lipoguide/</t>
  </si>
  <si>
    <t>Min voltage [2] (V)</t>
  </si>
  <si>
    <t>Discharge to minimum charge, not minimum voltage</t>
  </si>
  <si>
    <t>Voltage vs Capacity</t>
  </si>
  <si>
    <t>http://www.rcgroups.com/forums/showthread.php?t=2015863</t>
  </si>
  <si>
    <t>Capacity (%)</t>
  </si>
  <si>
    <t>Current (A)</t>
  </si>
  <si>
    <t>http://www.rcgroups.com/forums/showthread.php?t=2490759</t>
  </si>
  <si>
    <t>LiHV [4]</t>
  </si>
  <si>
    <t>Max safe voltage (V)</t>
  </si>
  <si>
    <t>Internal resistance (mΩ)</t>
  </si>
  <si>
    <t>Description</t>
  </si>
  <si>
    <t>Unit Price</t>
  </si>
  <si>
    <t>Price</t>
  </si>
  <si>
    <t>Brain</t>
  </si>
  <si>
    <t>http://www.newegg.com/Product/Product.aspx?Item=N82E16813130901</t>
  </si>
  <si>
    <t>http://www.newegg.com/Product/Product.aspx?Item=N82E16819117560</t>
  </si>
  <si>
    <t>http://www.newegg.com/Product/Product.aspx?Item=N82E16820233924</t>
  </si>
  <si>
    <t>GPU (GTX 750 Ti)</t>
  </si>
  <si>
    <t>http://www.newegg.com/Product/Product.aspx?Item=N82E16814500349</t>
  </si>
  <si>
    <t>http://www.newegg.com/Product/Product.aspx?Item=N82E16820226677</t>
  </si>
  <si>
    <t>Total</t>
  </si>
  <si>
    <t>Hardware</t>
  </si>
  <si>
    <t>https://www.teamassociated.com/parts/details/91637-ASC91637-12mm_shock_springs_54mm_gray_4_45_lb_in/</t>
  </si>
  <si>
    <t>https://www.teamassociated.com/parts/details/91641-ASC91641-12mm_shock_springs_72mm_gray_2_60_lb_in/</t>
  </si>
  <si>
    <t>Subtotal</t>
  </si>
  <si>
    <t>Electronics</t>
  </si>
  <si>
    <t>https://www.adafruit.com/products/746</t>
  </si>
  <si>
    <t>https://www.adafruit.com/products/2461</t>
  </si>
  <si>
    <t>https://www.adafruit.com/products/1714</t>
  </si>
  <si>
    <t>https://www.amazon.com/dp/B01E6KRVZQ</t>
  </si>
  <si>
    <t>Overhead</t>
  </si>
  <si>
    <t>Amazon (Pinion and spur gears): S&amp;H</t>
  </si>
  <si>
    <t>Progress</t>
  </si>
  <si>
    <t>Total expenditures</t>
  </si>
  <si>
    <t>RaspberryPi Zero</t>
  </si>
  <si>
    <t>Voltage regulator</t>
  </si>
  <si>
    <t>Charging circuitry</t>
  </si>
  <si>
    <t>Wifi</t>
  </si>
  <si>
    <t>Logic level converters</t>
  </si>
  <si>
    <t>Headlights</t>
  </si>
  <si>
    <t>LED circuitry</t>
  </si>
  <si>
    <t>Max current (A)</t>
  </si>
  <si>
    <t>Constants</t>
  </si>
  <si>
    <t>Safe minimum capacity</t>
  </si>
  <si>
    <t>Value</t>
  </si>
  <si>
    <t>Units</t>
  </si>
  <si>
    <t>%</t>
  </si>
  <si>
    <t>Resting open circuit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</si>
</sst>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0.000"/>
    <numFmt numFmtId="165" formatCode="0.0"/>
    <numFmt numFmtId="166" formatCode="[$$-409]#,##0.00;[Red]\-[$$-409]#,##0.00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3" fontId="0" fillId="0" borderId="0" xfId="0" applyNumberFormat="1"/>
    <xf numFmtId="0" fontId="2" fillId="0" borderId="1" xfId="0" applyFont="1" applyBorder="1"/>
    <xf numFmtId="1" fontId="0" fillId="0" borderId="0" xfId="0" applyNumberFormat="1"/>
    <xf numFmtId="1" fontId="0" fillId="0" borderId="1" xfId="0" applyNumberFormat="1" applyBorder="1"/>
    <xf numFmtId="164" fontId="0" fillId="0" borderId="0" xfId="0" applyNumberFormat="1"/>
    <xf numFmtId="0" fontId="3" fillId="0" borderId="1" xfId="0" applyFont="1" applyBorder="1"/>
    <xf numFmtId="0" fontId="3" fillId="0" borderId="3" xfId="0" applyFont="1" applyBorder="1"/>
    <xf numFmtId="0" fontId="0" fillId="0" borderId="2" xfId="0" applyBorder="1"/>
    <xf numFmtId="0" fontId="4" fillId="0" borderId="0" xfId="0" applyFont="1" applyBorder="1"/>
    <xf numFmtId="0" fontId="4" fillId="0" borderId="2" xfId="0" applyFont="1" applyBorder="1"/>
    <xf numFmtId="1" fontId="3" fillId="0" borderId="1" xfId="0" applyNumberFormat="1" applyFont="1" applyBorder="1"/>
    <xf numFmtId="1" fontId="4" fillId="0" borderId="0" xfId="0" applyNumberFormat="1" applyFont="1" applyBorder="1"/>
    <xf numFmtId="0" fontId="0" fillId="0" borderId="0" xfId="0" applyBorder="1"/>
    <xf numFmtId="165" fontId="3" fillId="0" borderId="1" xfId="0" applyNumberFormat="1" applyFont="1" applyBorder="1"/>
    <xf numFmtId="165" fontId="0" fillId="0" borderId="0" xfId="0" applyNumberFormat="1"/>
    <xf numFmtId="165" fontId="4" fillId="0" borderId="0" xfId="0" applyNumberFormat="1" applyFont="1" applyBorder="1"/>
    <xf numFmtId="1" fontId="0" fillId="0" borderId="0" xfId="0" applyNumberFormat="1" applyBorder="1"/>
    <xf numFmtId="0" fontId="4" fillId="0" borderId="0" xfId="0" applyFont="1" applyFill="1" applyBorder="1"/>
    <xf numFmtId="2" fontId="4" fillId="0" borderId="0" xfId="0" applyNumberFormat="1" applyFont="1" applyBorder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0" fillId="2" borderId="2" xfId="0" applyFill="1" applyBorder="1"/>
    <xf numFmtId="0" fontId="0" fillId="2" borderId="0" xfId="0" applyFill="1" applyBorder="1"/>
    <xf numFmtId="0" fontId="0" fillId="2" borderId="0" xfId="0" applyFill="1"/>
    <xf numFmtId="1" fontId="0" fillId="2" borderId="0" xfId="0" applyNumberFormat="1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1" fontId="0" fillId="4" borderId="0" xfId="0" applyNumberFormat="1" applyFill="1"/>
    <xf numFmtId="2" fontId="4" fillId="4" borderId="0" xfId="0" applyNumberFormat="1" applyFont="1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0" xfId="0" applyFill="1"/>
    <xf numFmtId="1" fontId="0" fillId="5" borderId="0" xfId="0" applyNumberFormat="1" applyFill="1"/>
    <xf numFmtId="0" fontId="3" fillId="0" borderId="0" xfId="0" applyFont="1" applyFill="1"/>
    <xf numFmtId="1" fontId="3" fillId="0" borderId="1" xfId="0" applyNumberFormat="1" applyFont="1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0" xfId="0" applyFill="1"/>
    <xf numFmtId="1" fontId="0" fillId="6" borderId="0" xfId="0" applyNumberFormat="1" applyFill="1"/>
    <xf numFmtId="0" fontId="5" fillId="0" borderId="0" xfId="1" applyFont="1" applyAlignment="1">
      <alignment wrapText="1"/>
    </xf>
    <xf numFmtId="0" fontId="5" fillId="0" borderId="0" xfId="1" applyFont="1"/>
    <xf numFmtId="0" fontId="5" fillId="3" borderId="4" xfId="1" applyFont="1" applyFill="1" applyBorder="1"/>
    <xf numFmtId="0" fontId="1" fillId="0" borderId="0" xfId="1"/>
    <xf numFmtId="166" fontId="1" fillId="0" borderId="0" xfId="1" applyNumberFormat="1"/>
    <xf numFmtId="8" fontId="1" fillId="0" borderId="0" xfId="1" applyNumberFormat="1"/>
    <xf numFmtId="0" fontId="6" fillId="0" borderId="0" xfId="2"/>
    <xf numFmtId="0" fontId="1" fillId="0" borderId="0" xfId="1" applyFont="1" applyFill="1" applyBorder="1"/>
    <xf numFmtId="0" fontId="1" fillId="0" borderId="0" xfId="1" applyAlignment="1">
      <alignment wrapText="1"/>
    </xf>
    <xf numFmtId="8" fontId="5" fillId="0" borderId="0" xfId="1" applyNumberFormat="1" applyFont="1"/>
    <xf numFmtId="0" fontId="1" fillId="0" borderId="0" xfId="1" applyFont="1" applyFill="1" applyBorder="1" applyAlignment="1">
      <alignment wrapText="1"/>
    </xf>
    <xf numFmtId="8" fontId="1" fillId="0" borderId="0" xfId="1" applyNumberFormat="1" applyFont="1" applyFill="1" applyBorder="1"/>
    <xf numFmtId="0" fontId="1" fillId="0" borderId="0" xfId="1" applyFont="1"/>
    <xf numFmtId="8" fontId="5" fillId="3" borderId="4" xfId="1" applyNumberFormat="1" applyFont="1" applyFill="1" applyBorder="1"/>
    <xf numFmtId="0" fontId="7" fillId="0" borderId="0" xfId="1" applyFont="1"/>
    <xf numFmtId="8" fontId="7" fillId="0" borderId="0" xfId="1" applyNumberFormat="1" applyFo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'Power draw'!$A$25</c:f>
              <c:strCache>
                <c:ptCount val="1"/>
                <c:pt idx="0">
                  <c:v>Voltage vs Capacity</c:v>
                </c:pt>
              </c:strCache>
            </c:strRef>
          </c:tx>
          <c:marker>
            <c:symbol val="none"/>
          </c:marker>
          <c:xVal>
            <c:numRef>
              <c:f>'Power draw'!$B$26:$B$36</c:f>
              <c:numCache>
                <c:formatCode>General</c:formatCode>
                <c:ptCount val="11"/>
                <c:pt idx="0">
                  <c:v>84</c:v>
                </c:pt>
                <c:pt idx="1">
                  <c:v>77</c:v>
                </c:pt>
                <c:pt idx="2">
                  <c:v>70</c:v>
                </c:pt>
                <c:pt idx="3">
                  <c:v>63</c:v>
                </c:pt>
                <c:pt idx="4">
                  <c:v>56</c:v>
                </c:pt>
                <c:pt idx="5">
                  <c:v>48</c:v>
                </c:pt>
                <c:pt idx="6">
                  <c:v>43</c:v>
                </c:pt>
                <c:pt idx="7">
                  <c:v>35</c:v>
                </c:pt>
                <c:pt idx="8">
                  <c:v>27</c:v>
                </c:pt>
                <c:pt idx="9">
                  <c:v>21</c:v>
                </c:pt>
                <c:pt idx="10">
                  <c:v>14</c:v>
                </c:pt>
              </c:numCache>
            </c:numRef>
          </c:xVal>
          <c:yVal>
            <c:numRef>
              <c:f>'Power draw'!$C$26:$C$36</c:f>
              <c:numCache>
                <c:formatCode>General</c:formatCode>
                <c:ptCount val="11"/>
                <c:pt idx="0">
                  <c:v>4</c:v>
                </c:pt>
                <c:pt idx="1">
                  <c:v>3.96</c:v>
                </c:pt>
                <c:pt idx="2">
                  <c:v>3.93</c:v>
                </c:pt>
                <c:pt idx="3">
                  <c:v>3.9</c:v>
                </c:pt>
                <c:pt idx="4">
                  <c:v>3.86</c:v>
                </c:pt>
                <c:pt idx="5">
                  <c:v>3.83</c:v>
                </c:pt>
                <c:pt idx="6">
                  <c:v>3.8</c:v>
                </c:pt>
                <c:pt idx="7">
                  <c:v>3.76</c:v>
                </c:pt>
                <c:pt idx="8">
                  <c:v>3.73</c:v>
                </c:pt>
                <c:pt idx="9">
                  <c:v>3.7</c:v>
                </c:pt>
                <c:pt idx="10">
                  <c:v>3.67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23264"/>
        <c:axId val="100323840"/>
      </c:scatterChart>
      <c:valAx>
        <c:axId val="10032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323840"/>
        <c:crosses val="autoZero"/>
        <c:crossBetween val="midCat"/>
      </c:valAx>
      <c:valAx>
        <c:axId val="10032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323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26</xdr:row>
      <xdr:rowOff>19050</xdr:rowOff>
    </xdr:from>
    <xdr:to>
      <xdr:col>5</xdr:col>
      <xdr:colOff>504825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ewegg.com/Product/Product.aspx?Item=N82E1681911756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44.5703125" style="46" customWidth="1"/>
    <col min="2" max="2" width="8.7109375" style="46" bestFit="1" customWidth="1"/>
    <col min="3" max="3" width="10.140625" style="46" customWidth="1"/>
    <col min="4" max="4" width="10.28515625" style="46" customWidth="1"/>
    <col min="5" max="5" width="40.140625" style="46" customWidth="1"/>
    <col min="6" max="16384" width="9.140625" style="46"/>
  </cols>
  <sheetData>
    <row r="1" spans="1:5" s="44" customFormat="1" x14ac:dyDescent="0.25">
      <c r="A1" s="43" t="s">
        <v>73</v>
      </c>
      <c r="B1" s="44" t="s">
        <v>0</v>
      </c>
      <c r="C1" s="44" t="s">
        <v>74</v>
      </c>
      <c r="D1" s="44" t="s">
        <v>75</v>
      </c>
      <c r="E1" s="44" t="s">
        <v>57</v>
      </c>
    </row>
    <row r="2" spans="1:5" s="45" customFormat="1" x14ac:dyDescent="0.25">
      <c r="A2" s="45" t="s">
        <v>76</v>
      </c>
    </row>
    <row r="3" spans="1:5" x14ac:dyDescent="0.25">
      <c r="A3" s="46" t="s">
        <v>4</v>
      </c>
      <c r="B3" s="46">
        <v>1</v>
      </c>
      <c r="C3" s="47">
        <v>72.989999999999995</v>
      </c>
      <c r="D3" s="48">
        <f t="shared" ref="D3:D6" si="0">B3*C3</f>
        <v>72.989999999999995</v>
      </c>
      <c r="E3" s="49" t="s">
        <v>77</v>
      </c>
    </row>
    <row r="4" spans="1:5" x14ac:dyDescent="0.25">
      <c r="A4" s="46" t="s">
        <v>5</v>
      </c>
      <c r="B4" s="46">
        <v>1</v>
      </c>
      <c r="C4" s="47">
        <v>314.99</v>
      </c>
      <c r="D4" s="48">
        <f t="shared" si="0"/>
        <v>314.99</v>
      </c>
      <c r="E4" s="49" t="s">
        <v>78</v>
      </c>
    </row>
    <row r="5" spans="1:5" x14ac:dyDescent="0.25">
      <c r="A5" s="46" t="s">
        <v>6</v>
      </c>
      <c r="B5" s="46">
        <v>2</v>
      </c>
      <c r="C5" s="47">
        <v>114.99</v>
      </c>
      <c r="D5" s="48">
        <f t="shared" si="0"/>
        <v>229.98</v>
      </c>
      <c r="E5" s="49" t="s">
        <v>79</v>
      </c>
    </row>
    <row r="6" spans="1:5" x14ac:dyDescent="0.25">
      <c r="A6" s="46" t="s">
        <v>80</v>
      </c>
      <c r="B6" s="46">
        <v>1</v>
      </c>
      <c r="C6" s="47">
        <v>104.99</v>
      </c>
      <c r="D6" s="48">
        <f t="shared" si="0"/>
        <v>104.99</v>
      </c>
      <c r="E6" s="49" t="s">
        <v>81</v>
      </c>
    </row>
    <row r="7" spans="1:5" s="50" customFormat="1" x14ac:dyDescent="0.25">
      <c r="A7" s="46" t="s">
        <v>7</v>
      </c>
      <c r="B7" s="50">
        <v>1</v>
      </c>
      <c r="C7" s="47">
        <v>37.99</v>
      </c>
      <c r="D7" s="48">
        <f>B7*C7</f>
        <v>37.99</v>
      </c>
      <c r="E7" s="49" t="s">
        <v>82</v>
      </c>
    </row>
    <row r="8" spans="1:5" s="50" customFormat="1" x14ac:dyDescent="0.25">
      <c r="A8" s="46"/>
      <c r="C8" s="47"/>
      <c r="D8" s="48"/>
      <c r="E8" s="49"/>
    </row>
    <row r="9" spans="1:5" x14ac:dyDescent="0.25">
      <c r="A9" s="51"/>
      <c r="C9" s="52" t="s">
        <v>83</v>
      </c>
      <c r="D9" s="52">
        <f>SUM(D3:D7)</f>
        <v>760.94</v>
      </c>
    </row>
    <row r="10" spans="1:5" s="45" customFormat="1" x14ac:dyDescent="0.25">
      <c r="A10" s="45" t="s">
        <v>84</v>
      </c>
    </row>
    <row r="11" spans="1:5" s="50" customFormat="1" x14ac:dyDescent="0.25">
      <c r="A11" s="53" t="s">
        <v>10</v>
      </c>
      <c r="B11" s="50">
        <v>1</v>
      </c>
      <c r="C11" s="54">
        <v>4.99</v>
      </c>
      <c r="D11" s="48">
        <f>B11*C11</f>
        <v>4.99</v>
      </c>
      <c r="E11" s="49" t="s">
        <v>85</v>
      </c>
    </row>
    <row r="12" spans="1:5" s="50" customFormat="1" x14ac:dyDescent="0.25">
      <c r="A12" s="53" t="s">
        <v>9</v>
      </c>
      <c r="B12" s="50">
        <v>1</v>
      </c>
      <c r="C12" s="54">
        <v>4.99</v>
      </c>
      <c r="D12" s="48">
        <f t="shared" ref="D12" si="1">B12*C12</f>
        <v>4.99</v>
      </c>
      <c r="E12" s="49" t="s">
        <v>86</v>
      </c>
    </row>
    <row r="13" spans="1:5" s="50" customFormat="1" x14ac:dyDescent="0.25">
      <c r="A13" s="53"/>
      <c r="C13" s="54"/>
      <c r="D13" s="48"/>
      <c r="E13" s="49"/>
    </row>
    <row r="14" spans="1:5" s="55" customFormat="1" x14ac:dyDescent="0.25">
      <c r="C14" s="44" t="s">
        <v>87</v>
      </c>
      <c r="D14" s="52">
        <f>SUM(D11:D12)</f>
        <v>9.98</v>
      </c>
    </row>
    <row r="15" spans="1:5" s="45" customFormat="1" x14ac:dyDescent="0.25">
      <c r="A15" s="45" t="s">
        <v>88</v>
      </c>
      <c r="C15" s="56"/>
      <c r="D15" s="56"/>
    </row>
    <row r="16" spans="1:5" x14ac:dyDescent="0.25">
      <c r="A16" s="46" t="s">
        <v>8</v>
      </c>
      <c r="B16" s="46">
        <v>0</v>
      </c>
      <c r="C16" s="48">
        <v>39.950000000000003</v>
      </c>
      <c r="D16" s="48">
        <f>B16*C16</f>
        <v>0</v>
      </c>
      <c r="E16" s="46" t="s">
        <v>89</v>
      </c>
    </row>
    <row r="17" spans="1:5" x14ac:dyDescent="0.25">
      <c r="A17" s="46" t="s">
        <v>11</v>
      </c>
      <c r="B17" s="46">
        <v>0</v>
      </c>
      <c r="C17" s="48">
        <v>3.95</v>
      </c>
      <c r="D17" s="48">
        <f t="shared" ref="D17:D19" si="2">B17*C17</f>
        <v>0</v>
      </c>
      <c r="E17" s="46" t="s">
        <v>90</v>
      </c>
    </row>
    <row r="18" spans="1:5" x14ac:dyDescent="0.25">
      <c r="A18" s="46" t="s">
        <v>12</v>
      </c>
      <c r="B18" s="46">
        <v>0</v>
      </c>
      <c r="C18" s="48">
        <v>19.95</v>
      </c>
      <c r="D18" s="48">
        <f t="shared" si="2"/>
        <v>0</v>
      </c>
      <c r="E18" s="46" t="s">
        <v>91</v>
      </c>
    </row>
    <row r="19" spans="1:5" x14ac:dyDescent="0.25">
      <c r="A19" s="46" t="s">
        <v>25</v>
      </c>
      <c r="B19" s="46">
        <v>0</v>
      </c>
      <c r="C19" s="47">
        <v>121.99</v>
      </c>
      <c r="D19" s="48">
        <f t="shared" si="2"/>
        <v>0</v>
      </c>
      <c r="E19" s="46" t="s">
        <v>92</v>
      </c>
    </row>
    <row r="20" spans="1:5" x14ac:dyDescent="0.25">
      <c r="A20" s="46" t="s">
        <v>13</v>
      </c>
      <c r="C20" s="47"/>
      <c r="D20" s="48"/>
    </row>
    <row r="21" spans="1:5" x14ac:dyDescent="0.25">
      <c r="A21" s="46" t="s">
        <v>97</v>
      </c>
      <c r="C21" s="47"/>
      <c r="D21" s="48"/>
    </row>
    <row r="22" spans="1:5" customFormat="1" x14ac:dyDescent="0.25">
      <c r="A22" t="s">
        <v>14</v>
      </c>
      <c r="C22" s="2"/>
      <c r="D22" s="6"/>
    </row>
    <row r="23" spans="1:5" customFormat="1" x14ac:dyDescent="0.25">
      <c r="A23" t="s">
        <v>15</v>
      </c>
      <c r="C23" s="2"/>
      <c r="D23" s="6"/>
    </row>
    <row r="24" spans="1:5" customFormat="1" x14ac:dyDescent="0.25">
      <c r="A24" t="s">
        <v>16</v>
      </c>
      <c r="C24" s="2"/>
      <c r="D24" s="6"/>
    </row>
    <row r="25" spans="1:5" customFormat="1" x14ac:dyDescent="0.25">
      <c r="A25" t="s">
        <v>17</v>
      </c>
      <c r="C25" s="2"/>
      <c r="D25" s="6"/>
    </row>
    <row r="26" spans="1:5" customFormat="1" x14ac:dyDescent="0.25">
      <c r="A26" t="s">
        <v>18</v>
      </c>
      <c r="C26" s="2"/>
      <c r="D26" s="6"/>
    </row>
    <row r="27" spans="1:5" customFormat="1" x14ac:dyDescent="0.25">
      <c r="A27" t="s">
        <v>98</v>
      </c>
      <c r="C27" s="2"/>
      <c r="D27" s="6"/>
    </row>
    <row r="28" spans="1:5" customFormat="1" x14ac:dyDescent="0.25">
      <c r="A28" t="s">
        <v>99</v>
      </c>
      <c r="C28" s="2"/>
      <c r="D28" s="6"/>
    </row>
    <row r="29" spans="1:5" customFormat="1" x14ac:dyDescent="0.25">
      <c r="A29" t="s">
        <v>100</v>
      </c>
      <c r="C29" s="2"/>
      <c r="D29" s="6"/>
    </row>
    <row r="30" spans="1:5" customFormat="1" x14ac:dyDescent="0.25">
      <c r="A30" t="s">
        <v>101</v>
      </c>
      <c r="C30" s="2"/>
      <c r="D30" s="6"/>
    </row>
    <row r="31" spans="1:5" customFormat="1" x14ac:dyDescent="0.25">
      <c r="A31" t="s">
        <v>102</v>
      </c>
      <c r="C31" s="2"/>
      <c r="D31" s="6"/>
    </row>
    <row r="32" spans="1:5" customFormat="1" x14ac:dyDescent="0.25">
      <c r="A32" t="s">
        <v>103</v>
      </c>
      <c r="C32" s="2"/>
      <c r="D32" s="6"/>
    </row>
    <row r="33" spans="1:5" customFormat="1" x14ac:dyDescent="0.25">
      <c r="A33" t="s">
        <v>19</v>
      </c>
      <c r="C33" s="2"/>
      <c r="D33" s="6"/>
    </row>
    <row r="34" spans="1:5" customFormat="1" x14ac:dyDescent="0.25">
      <c r="A34" t="s">
        <v>20</v>
      </c>
      <c r="C34" s="2"/>
      <c r="D34" s="6"/>
    </row>
    <row r="35" spans="1:5" x14ac:dyDescent="0.25">
      <c r="C35" s="47"/>
      <c r="D35" s="48"/>
    </row>
    <row r="36" spans="1:5" x14ac:dyDescent="0.25">
      <c r="C36" s="47"/>
      <c r="D36" s="48"/>
    </row>
    <row r="37" spans="1:5" x14ac:dyDescent="0.25">
      <c r="C37" s="47"/>
      <c r="D37" s="48"/>
    </row>
    <row r="38" spans="1:5" x14ac:dyDescent="0.25">
      <c r="C38" s="47"/>
      <c r="D38" s="48"/>
    </row>
    <row r="39" spans="1:5" x14ac:dyDescent="0.25">
      <c r="C39" s="47"/>
      <c r="D39" s="48"/>
    </row>
    <row r="40" spans="1:5" x14ac:dyDescent="0.25">
      <c r="C40" s="52" t="s">
        <v>83</v>
      </c>
      <c r="D40" s="52">
        <f>SUM(D16:D19)</f>
        <v>0</v>
      </c>
    </row>
    <row r="41" spans="1:5" s="45" customFormat="1" x14ac:dyDescent="0.25">
      <c r="A41" s="45" t="s">
        <v>93</v>
      </c>
      <c r="C41" s="56"/>
      <c r="D41" s="56"/>
    </row>
    <row r="42" spans="1:5" x14ac:dyDescent="0.25">
      <c r="A42" s="57" t="s">
        <v>94</v>
      </c>
      <c r="D42" s="58">
        <v>16.399999999999999</v>
      </c>
      <c r="E42" s="49"/>
    </row>
    <row r="43" spans="1:5" x14ac:dyDescent="0.25">
      <c r="D43" s="48"/>
      <c r="E43" s="49"/>
    </row>
    <row r="44" spans="1:5" x14ac:dyDescent="0.25">
      <c r="C44" s="52" t="s">
        <v>83</v>
      </c>
      <c r="D44" s="52">
        <f>SUM(D42:D42)</f>
        <v>16.399999999999999</v>
      </c>
    </row>
    <row r="45" spans="1:5" s="45" customFormat="1" x14ac:dyDescent="0.25">
      <c r="A45" s="45" t="s">
        <v>95</v>
      </c>
      <c r="C45" s="56"/>
      <c r="D45" s="56"/>
    </row>
    <row r="46" spans="1:5" x14ac:dyDescent="0.25">
      <c r="A46" s="46" t="s">
        <v>96</v>
      </c>
      <c r="D46" s="48">
        <f>D9+D14+D40+D44</f>
        <v>787.32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Normal="100" workbookViewId="0"/>
  </sheetViews>
  <sheetFormatPr defaultRowHeight="15" x14ac:dyDescent="0.25"/>
  <cols>
    <col min="1" max="1" width="23.42578125" style="9" bestFit="1" customWidth="1"/>
    <col min="2" max="2" width="20.140625" style="14" customWidth="1"/>
    <col min="3" max="3" width="17.42578125" bestFit="1" customWidth="1"/>
    <col min="4" max="4" width="19.7109375" bestFit="1" customWidth="1"/>
    <col min="5" max="5" width="29.140625" bestFit="1" customWidth="1"/>
    <col min="6" max="6" width="19.7109375" customWidth="1"/>
    <col min="7" max="7" width="19.42578125" style="4" bestFit="1" customWidth="1"/>
    <col min="8" max="8" width="22.85546875" bestFit="1" customWidth="1"/>
    <col min="9" max="9" width="14.85546875" customWidth="1"/>
    <col min="10" max="10" width="17" bestFit="1" customWidth="1"/>
    <col min="11" max="11" width="14.85546875" bestFit="1" customWidth="1"/>
    <col min="12" max="12" width="17.85546875" bestFit="1" customWidth="1"/>
    <col min="13" max="13" width="14.85546875" bestFit="1" customWidth="1"/>
    <col min="14" max="14" width="22" bestFit="1" customWidth="1"/>
    <col min="15" max="1028" width="8.5703125"/>
  </cols>
  <sheetData>
    <row r="1" spans="1:11" s="7" customFormat="1" x14ac:dyDescent="0.25">
      <c r="A1" s="8" t="s">
        <v>105</v>
      </c>
      <c r="B1" s="7" t="s">
        <v>107</v>
      </c>
      <c r="C1" s="7" t="s">
        <v>108</v>
      </c>
    </row>
    <row r="2" spans="1:11" x14ac:dyDescent="0.25">
      <c r="A2" s="9" t="s">
        <v>106</v>
      </c>
      <c r="B2" s="25">
        <v>20</v>
      </c>
      <c r="C2" s="26" t="s">
        <v>109</v>
      </c>
    </row>
    <row r="4" spans="1:11" s="7" customFormat="1" x14ac:dyDescent="0.25">
      <c r="A4" s="8" t="s">
        <v>34</v>
      </c>
      <c r="B4" s="7" t="s">
        <v>51</v>
      </c>
      <c r="C4" s="7" t="s">
        <v>36</v>
      </c>
      <c r="D4" s="7" t="s">
        <v>63</v>
      </c>
      <c r="E4" s="7" t="s">
        <v>110</v>
      </c>
      <c r="F4" s="7" t="s">
        <v>37</v>
      </c>
      <c r="G4" s="7" t="s">
        <v>71</v>
      </c>
      <c r="H4" s="7" t="s">
        <v>72</v>
      </c>
    </row>
    <row r="5" spans="1:11" x14ac:dyDescent="0.25">
      <c r="A5" s="9" t="s">
        <v>35</v>
      </c>
      <c r="B5" s="14">
        <v>3.7</v>
      </c>
      <c r="C5" s="26">
        <f>$K$9/B9</f>
        <v>3.74</v>
      </c>
      <c r="D5">
        <v>3.2</v>
      </c>
      <c r="E5" s="26">
        <v>3.8</v>
      </c>
      <c r="F5">
        <v>4.2</v>
      </c>
      <c r="G5" s="26">
        <v>4.1500000000000004</v>
      </c>
      <c r="H5" s="30">
        <v>4</v>
      </c>
    </row>
    <row r="6" spans="1:11" x14ac:dyDescent="0.25">
      <c r="A6" s="9" t="s">
        <v>70</v>
      </c>
      <c r="B6" s="40">
        <v>3.8</v>
      </c>
      <c r="F6" s="41">
        <v>4.3499999999999996</v>
      </c>
      <c r="G6" s="41">
        <v>4.3</v>
      </c>
    </row>
    <row r="7" spans="1:11" x14ac:dyDescent="0.25">
      <c r="G7"/>
    </row>
    <row r="8" spans="1:11" s="7" customFormat="1" x14ac:dyDescent="0.25">
      <c r="A8" s="8" t="s">
        <v>31</v>
      </c>
      <c r="B8" s="7" t="s">
        <v>33</v>
      </c>
      <c r="C8" s="7" t="s">
        <v>30</v>
      </c>
      <c r="D8" s="7" t="s">
        <v>51</v>
      </c>
      <c r="E8" s="15" t="s">
        <v>3</v>
      </c>
      <c r="F8" s="7" t="s">
        <v>52</v>
      </c>
      <c r="G8" s="7" t="s">
        <v>53</v>
      </c>
      <c r="H8" s="7" t="s">
        <v>104</v>
      </c>
      <c r="I8" s="7" t="s">
        <v>54</v>
      </c>
      <c r="J8" s="7" t="s">
        <v>55</v>
      </c>
      <c r="K8" s="7" t="s">
        <v>36</v>
      </c>
    </row>
    <row r="9" spans="1:11" x14ac:dyDescent="0.25">
      <c r="A9" s="9" t="s">
        <v>38</v>
      </c>
      <c r="B9" s="14">
        <v>3</v>
      </c>
      <c r="C9">
        <v>13000</v>
      </c>
      <c r="D9">
        <f>B9*$B$5</f>
        <v>11.100000000000001</v>
      </c>
      <c r="E9" s="16">
        <f>C9/1000*D9</f>
        <v>144.30000000000001</v>
      </c>
      <c r="F9">
        <v>35</v>
      </c>
      <c r="G9">
        <v>5</v>
      </c>
      <c r="H9">
        <f>F9*$C9/1000</f>
        <v>455</v>
      </c>
      <c r="I9">
        <f>G9*$C9/1000</f>
        <v>65</v>
      </c>
      <c r="J9">
        <f>C9*$B$2/100</f>
        <v>2600</v>
      </c>
      <c r="K9" s="26">
        <v>11.22</v>
      </c>
    </row>
    <row r="10" spans="1:11" x14ac:dyDescent="0.25">
      <c r="A10" s="9" t="s">
        <v>50</v>
      </c>
      <c r="B10" s="14">
        <v>2</v>
      </c>
      <c r="C10">
        <v>8000</v>
      </c>
      <c r="D10">
        <f>B10*$B$5</f>
        <v>7.4</v>
      </c>
      <c r="E10" s="16">
        <f>C10/1000*D10</f>
        <v>59.2</v>
      </c>
      <c r="F10">
        <v>25</v>
      </c>
      <c r="G10">
        <v>1</v>
      </c>
      <c r="H10">
        <f>F10*$C10/1000</f>
        <v>200</v>
      </c>
      <c r="I10">
        <f>G10*$C10/1000</f>
        <v>8</v>
      </c>
      <c r="J10">
        <f>C10*$B$2/100</f>
        <v>1600</v>
      </c>
      <c r="K10">
        <f>$C$5*$B10</f>
        <v>7.48</v>
      </c>
    </row>
    <row r="11" spans="1:11" x14ac:dyDescent="0.25">
      <c r="G11" s="16"/>
    </row>
    <row r="12" spans="1:11" s="21" customFormat="1" x14ac:dyDescent="0.25">
      <c r="A12" s="22"/>
      <c r="B12" s="23"/>
      <c r="C12" s="21" t="str">
        <f>"@ 8000mAh"</f>
        <v>@ 8000mAh</v>
      </c>
      <c r="D12" s="21" t="str">
        <f>"@ 8000mAh"</f>
        <v>@ 8000mAh</v>
      </c>
      <c r="E12" s="21" t="str">
        <f>"@ 13000mAh"</f>
        <v>@ 13000mAh</v>
      </c>
      <c r="F12" s="21" t="str">
        <f>"@ 13000mAh"</f>
        <v>@ 13000mAh</v>
      </c>
      <c r="G12" s="21" t="str">
        <f>"@ 11.1V"</f>
        <v>@ 11.1V</v>
      </c>
      <c r="H12" s="37" t="str">
        <f>"@ 11.1V"</f>
        <v>@ 11.1V</v>
      </c>
    </row>
    <row r="13" spans="1:11" s="1" customFormat="1" x14ac:dyDescent="0.25">
      <c r="A13" s="8" t="s">
        <v>39</v>
      </c>
      <c r="B13" s="7" t="s">
        <v>2</v>
      </c>
      <c r="C13" s="12" t="s">
        <v>42</v>
      </c>
      <c r="D13" s="12" t="s">
        <v>24</v>
      </c>
      <c r="E13" s="12" t="s">
        <v>42</v>
      </c>
      <c r="F13" s="12" t="s">
        <v>24</v>
      </c>
      <c r="G13" s="7" t="s">
        <v>68</v>
      </c>
      <c r="H13" s="38" t="s">
        <v>32</v>
      </c>
    </row>
    <row r="14" spans="1:11" s="10" customFormat="1" x14ac:dyDescent="0.25">
      <c r="A14" s="11" t="s">
        <v>40</v>
      </c>
      <c r="B14" s="10">
        <v>1.8</v>
      </c>
      <c r="C14" s="17">
        <f t="shared" ref="C14:C22" si="0">$E$10/$B14</f>
        <v>32.888888888888893</v>
      </c>
      <c r="D14" s="13">
        <f t="shared" ref="D14:D22" si="1">C14*60</f>
        <v>1973.3333333333335</v>
      </c>
      <c r="E14" s="17">
        <f t="shared" ref="E14:E22" si="2">$E$9/$B14</f>
        <v>80.166666666666671</v>
      </c>
      <c r="F14" s="13">
        <f>E14*60</f>
        <v>4810</v>
      </c>
      <c r="G14" s="20">
        <f>B14/$D$9</f>
        <v>0.16216216216216214</v>
      </c>
      <c r="H14" s="32">
        <f>$B$9*($B$5-G14*$H$5/1000)</f>
        <v>11.098054054054055</v>
      </c>
    </row>
    <row r="15" spans="1:11" s="10" customFormat="1" x14ac:dyDescent="0.25">
      <c r="A15" s="11" t="s">
        <v>43</v>
      </c>
      <c r="B15" s="10">
        <v>30</v>
      </c>
      <c r="C15" s="17">
        <f t="shared" si="0"/>
        <v>1.9733333333333334</v>
      </c>
      <c r="D15" s="13">
        <f t="shared" si="1"/>
        <v>118.4</v>
      </c>
      <c r="E15" s="17">
        <f t="shared" si="2"/>
        <v>4.8100000000000005</v>
      </c>
      <c r="F15" s="13">
        <f t="shared" ref="F15:F16" si="3">E15*60</f>
        <v>288.60000000000002</v>
      </c>
      <c r="G15" s="20">
        <f t="shared" ref="G15:G22" si="4">B15/$D$9</f>
        <v>2.7027027027027022</v>
      </c>
      <c r="H15" s="20">
        <f>$B$9*($B$5-G15*$H$5/1000)</f>
        <v>11.067567567567568</v>
      </c>
    </row>
    <row r="16" spans="1:11" x14ac:dyDescent="0.25">
      <c r="A16" s="9" t="s">
        <v>44</v>
      </c>
      <c r="B16" s="4">
        <v>65</v>
      </c>
      <c r="C16" s="17">
        <f t="shared" si="0"/>
        <v>0.91076923076923078</v>
      </c>
      <c r="D16" s="13">
        <f t="shared" si="1"/>
        <v>54.646153846153844</v>
      </c>
      <c r="E16" s="17">
        <f t="shared" si="2"/>
        <v>2.2200000000000002</v>
      </c>
      <c r="F16" s="13">
        <f t="shared" si="3"/>
        <v>133.20000000000002</v>
      </c>
      <c r="G16" s="20">
        <f t="shared" si="4"/>
        <v>5.8558558558558547</v>
      </c>
      <c r="H16" s="20">
        <f>$B$9*($B$5-G16*$H$5/1000)</f>
        <v>11.029729729729731</v>
      </c>
    </row>
    <row r="17" spans="1:8" x14ac:dyDescent="0.25">
      <c r="A17" s="9" t="s">
        <v>47</v>
      </c>
      <c r="B17" s="4">
        <f>B19-B15</f>
        <v>20</v>
      </c>
      <c r="C17" s="17">
        <f t="shared" si="0"/>
        <v>2.96</v>
      </c>
      <c r="D17" s="13">
        <f t="shared" si="1"/>
        <v>177.6</v>
      </c>
      <c r="E17" s="17">
        <f t="shared" si="2"/>
        <v>7.2150000000000007</v>
      </c>
      <c r="F17" s="13">
        <f>E17*60</f>
        <v>432.90000000000003</v>
      </c>
      <c r="G17" s="20">
        <f t="shared" si="4"/>
        <v>1.8018018018018016</v>
      </c>
      <c r="H17" s="20">
        <f>$B$9*($B$5-G17*$H$5/1000)</f>
        <v>11.078378378378378</v>
      </c>
    </row>
    <row r="18" spans="1:8" x14ac:dyDescent="0.25">
      <c r="A18" s="9" t="s">
        <v>46</v>
      </c>
      <c r="B18" s="19">
        <v>65</v>
      </c>
      <c r="C18" s="17">
        <f t="shared" si="0"/>
        <v>0.91076923076923078</v>
      </c>
      <c r="D18" s="13">
        <f t="shared" si="1"/>
        <v>54.646153846153844</v>
      </c>
      <c r="E18" s="17">
        <f t="shared" si="2"/>
        <v>2.2200000000000002</v>
      </c>
      <c r="F18" s="13">
        <f t="shared" ref="F18:F21" si="5">E18*60</f>
        <v>133.20000000000002</v>
      </c>
      <c r="G18" s="20">
        <f t="shared" si="4"/>
        <v>5.8558558558558547</v>
      </c>
      <c r="H18" s="20">
        <f>$B$9*($B$5-G18*$H$5/1000)</f>
        <v>11.029729729729731</v>
      </c>
    </row>
    <row r="19" spans="1:8" s="10" customFormat="1" x14ac:dyDescent="0.25">
      <c r="A19" s="11" t="s">
        <v>45</v>
      </c>
      <c r="B19" s="10">
        <v>50</v>
      </c>
      <c r="C19" s="17">
        <f t="shared" si="0"/>
        <v>1.1840000000000002</v>
      </c>
      <c r="D19" s="13">
        <f t="shared" si="1"/>
        <v>71.040000000000006</v>
      </c>
      <c r="E19" s="17">
        <f t="shared" si="2"/>
        <v>2.8860000000000001</v>
      </c>
      <c r="F19" s="13">
        <f t="shared" si="5"/>
        <v>173.16</v>
      </c>
      <c r="G19" s="20">
        <f t="shared" si="4"/>
        <v>4.5045045045045038</v>
      </c>
      <c r="H19" s="20">
        <f>$B$9*($B$5-G19*$H$5/1000)</f>
        <v>11.045945945945947</v>
      </c>
    </row>
    <row r="20" spans="1:8" x14ac:dyDescent="0.25">
      <c r="A20" s="9" t="s">
        <v>48</v>
      </c>
      <c r="B20" s="18">
        <f>B16+B18</f>
        <v>130</v>
      </c>
      <c r="C20" s="17">
        <f t="shared" si="0"/>
        <v>0.45538461538461539</v>
      </c>
      <c r="D20" s="13">
        <f t="shared" si="1"/>
        <v>27.323076923076922</v>
      </c>
      <c r="E20" s="17">
        <f t="shared" si="2"/>
        <v>1.1100000000000001</v>
      </c>
      <c r="F20" s="13">
        <f t="shared" si="5"/>
        <v>66.600000000000009</v>
      </c>
      <c r="G20" s="20">
        <f t="shared" si="4"/>
        <v>11.711711711711709</v>
      </c>
      <c r="H20" s="20">
        <f>$B$9*($B$5-G20*$H$5/1000)</f>
        <v>10.95945945945946</v>
      </c>
    </row>
    <row r="21" spans="1:8" x14ac:dyDescent="0.25">
      <c r="A21" s="9" t="s">
        <v>41</v>
      </c>
      <c r="B21">
        <v>2.5</v>
      </c>
      <c r="C21" s="17">
        <f t="shared" si="0"/>
        <v>23.68</v>
      </c>
      <c r="D21" s="13">
        <f t="shared" si="1"/>
        <v>1420.8</v>
      </c>
      <c r="E21" s="17">
        <f t="shared" si="2"/>
        <v>57.720000000000006</v>
      </c>
      <c r="F21" s="13">
        <f t="shared" si="5"/>
        <v>3463.2000000000003</v>
      </c>
      <c r="G21" s="20">
        <f t="shared" si="4"/>
        <v>0.2252252252252252</v>
      </c>
      <c r="H21" s="20">
        <f>$B$9*($B$5-G21*$H$5/1000)</f>
        <v>11.097297297297297</v>
      </c>
    </row>
    <row r="22" spans="1:8" x14ac:dyDescent="0.25">
      <c r="A22" s="9" t="s">
        <v>49</v>
      </c>
      <c r="B22" s="18">
        <f>B19+B21</f>
        <v>52.5</v>
      </c>
      <c r="C22" s="17">
        <f t="shared" si="0"/>
        <v>1.1276190476190477</v>
      </c>
      <c r="D22" s="13">
        <f t="shared" si="1"/>
        <v>67.657142857142858</v>
      </c>
      <c r="E22" s="17">
        <f t="shared" si="2"/>
        <v>2.7485714285714287</v>
      </c>
      <c r="F22" s="13">
        <f>E22*60</f>
        <v>164.91428571428571</v>
      </c>
      <c r="G22" s="20">
        <f t="shared" si="4"/>
        <v>4.7297297297297289</v>
      </c>
      <c r="H22" s="20">
        <f>$B$9*($B$5-G22*$H$5/1000)</f>
        <v>11.043243243243243</v>
      </c>
    </row>
    <row r="25" spans="1:8" s="1" customFormat="1" x14ac:dyDescent="0.25">
      <c r="A25" s="8" t="s">
        <v>65</v>
      </c>
      <c r="B25" s="12" t="s">
        <v>67</v>
      </c>
      <c r="C25" s="7" t="s">
        <v>32</v>
      </c>
      <c r="E25" s="12"/>
      <c r="F25" s="12"/>
      <c r="G25" s="12"/>
    </row>
    <row r="26" spans="1:8" x14ac:dyDescent="0.25">
      <c r="B26" s="35">
        <v>84</v>
      </c>
      <c r="C26" s="34">
        <v>4</v>
      </c>
    </row>
    <row r="27" spans="1:8" x14ac:dyDescent="0.25">
      <c r="B27" s="35">
        <v>77</v>
      </c>
      <c r="C27" s="34">
        <v>3.96</v>
      </c>
    </row>
    <row r="28" spans="1:8" x14ac:dyDescent="0.25">
      <c r="B28" s="35">
        <v>70</v>
      </c>
      <c r="C28" s="34">
        <v>3.93</v>
      </c>
    </row>
    <row r="29" spans="1:8" x14ac:dyDescent="0.25">
      <c r="B29" s="35">
        <v>63</v>
      </c>
      <c r="C29" s="34">
        <v>3.9</v>
      </c>
    </row>
    <row r="30" spans="1:8" x14ac:dyDescent="0.25">
      <c r="B30" s="35">
        <v>56</v>
      </c>
      <c r="C30" s="34">
        <v>3.86</v>
      </c>
    </row>
    <row r="31" spans="1:8" x14ac:dyDescent="0.25">
      <c r="B31" s="35">
        <v>48</v>
      </c>
      <c r="C31" s="34">
        <v>3.83</v>
      </c>
    </row>
    <row r="32" spans="1:8" x14ac:dyDescent="0.25">
      <c r="B32" s="35">
        <v>43</v>
      </c>
      <c r="C32" s="34">
        <v>3.8</v>
      </c>
    </row>
    <row r="33" spans="1:9" x14ac:dyDescent="0.25">
      <c r="B33" s="35">
        <v>35</v>
      </c>
      <c r="C33" s="34">
        <v>3.76</v>
      </c>
    </row>
    <row r="34" spans="1:9" x14ac:dyDescent="0.25">
      <c r="B34" s="35">
        <v>27</v>
      </c>
      <c r="C34" s="34">
        <v>3.73</v>
      </c>
    </row>
    <row r="35" spans="1:9" x14ac:dyDescent="0.25">
      <c r="B35" s="35">
        <v>21</v>
      </c>
      <c r="C35" s="34">
        <v>3.7</v>
      </c>
    </row>
    <row r="36" spans="1:9" x14ac:dyDescent="0.25">
      <c r="B36" s="35">
        <v>14</v>
      </c>
      <c r="C36" s="34">
        <v>3.67</v>
      </c>
    </row>
    <row r="38" spans="1:9" s="7" customFormat="1" x14ac:dyDescent="0.25">
      <c r="A38" s="8" t="s">
        <v>56</v>
      </c>
      <c r="B38" s="7" t="s">
        <v>57</v>
      </c>
      <c r="G38" s="12"/>
      <c r="I38" s="7" t="s">
        <v>60</v>
      </c>
    </row>
    <row r="39" spans="1:9" s="26" customFormat="1" x14ac:dyDescent="0.25">
      <c r="A39" s="24">
        <v>1</v>
      </c>
      <c r="B39" s="25" t="s">
        <v>58</v>
      </c>
      <c r="G39" s="27"/>
      <c r="I39" s="27" t="s">
        <v>59</v>
      </c>
    </row>
    <row r="40" spans="1:9" s="26" customFormat="1" x14ac:dyDescent="0.25">
      <c r="A40" s="24"/>
      <c r="B40" s="25"/>
      <c r="G40" s="27"/>
      <c r="I40" s="26" t="s">
        <v>61</v>
      </c>
    </row>
    <row r="41" spans="1:9" s="26" customFormat="1" x14ac:dyDescent="0.25">
      <c r="A41" s="24"/>
      <c r="B41" s="25"/>
      <c r="G41" s="27"/>
      <c r="I41" s="26" t="s">
        <v>64</v>
      </c>
    </row>
    <row r="42" spans="1:9" s="30" customFormat="1" x14ac:dyDescent="0.25">
      <c r="A42" s="28">
        <v>2</v>
      </c>
      <c r="B42" s="29" t="s">
        <v>62</v>
      </c>
      <c r="G42" s="31"/>
    </row>
    <row r="43" spans="1:9" s="35" customFormat="1" x14ac:dyDescent="0.25">
      <c r="A43" s="33">
        <v>3</v>
      </c>
      <c r="B43" s="34" t="s">
        <v>66</v>
      </c>
      <c r="G43" s="36"/>
    </row>
    <row r="44" spans="1:9" s="41" customFormat="1" x14ac:dyDescent="0.25">
      <c r="A44" s="39">
        <v>4</v>
      </c>
      <c r="B44" s="40" t="s">
        <v>69</v>
      </c>
      <c r="G44" s="42"/>
    </row>
  </sheetData>
  <pageMargins left="0.7" right="0.7" top="0.75" bottom="0.75" header="0.51180555555555496" footer="0.51180555555555496"/>
  <pageSetup firstPageNumber="0" orientation="portrait" r:id="rId1"/>
  <ignoredErrors>
    <ignoredError sqref="D14:E14 E15:E2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zoomScaleNormal="100" workbookViewId="0"/>
  </sheetViews>
  <sheetFormatPr defaultRowHeight="15" x14ac:dyDescent="0.25"/>
  <cols>
    <col min="1" max="1" width="12.5703125" bestFit="1" customWidth="1"/>
    <col min="2" max="2" width="8.42578125" bestFit="1" customWidth="1"/>
    <col min="3" max="3" width="9.85546875" bestFit="1" customWidth="1"/>
    <col min="4" max="1025" width="8.5703125"/>
  </cols>
  <sheetData>
    <row r="2" spans="1:6" s="1" customFormat="1" x14ac:dyDescent="0.25">
      <c r="A2" s="7" t="s">
        <v>21</v>
      </c>
      <c r="B2" s="3" t="s">
        <v>1</v>
      </c>
      <c r="C2" s="7" t="s">
        <v>23</v>
      </c>
      <c r="F2" s="5"/>
    </row>
    <row r="3" spans="1:6" x14ac:dyDescent="0.25">
      <c r="A3" t="s">
        <v>22</v>
      </c>
      <c r="B3" s="2">
        <v>69.599999999999994</v>
      </c>
      <c r="C3">
        <v>2.6</v>
      </c>
      <c r="F3" s="4"/>
    </row>
    <row r="4" spans="1:6" x14ac:dyDescent="0.25">
      <c r="A4" t="s">
        <v>26</v>
      </c>
      <c r="B4" s="2"/>
      <c r="C4">
        <v>1</v>
      </c>
      <c r="F4" s="4"/>
    </row>
    <row r="5" spans="1:6" x14ac:dyDescent="0.25">
      <c r="A5" t="s">
        <v>28</v>
      </c>
      <c r="B5" s="2"/>
      <c r="C5">
        <v>75</v>
      </c>
      <c r="F5" s="4"/>
    </row>
    <row r="6" spans="1:6" x14ac:dyDescent="0.25">
      <c r="A6" t="s">
        <v>29</v>
      </c>
      <c r="C6" s="6">
        <f>1/24</f>
        <v>4.1666666666666664E-2</v>
      </c>
    </row>
    <row r="7" spans="1:6" x14ac:dyDescent="0.25">
      <c r="A7" t="s">
        <v>27</v>
      </c>
      <c r="C7">
        <f>C3*C4*C5*C6</f>
        <v>8.125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of materials</vt:lpstr>
      <vt:lpstr>Power draw</vt:lpstr>
      <vt:lpstr>Transmission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cp:revision>1</cp:revision>
  <dcterms:created xsi:type="dcterms:W3CDTF">2006-09-16T00:00:00Z</dcterms:created>
  <dcterms:modified xsi:type="dcterms:W3CDTF">2016-07-16T21:04:59Z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