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25" windowHeight="81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5" i="2" l="1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P27" i="2"/>
  <c r="P26" i="2"/>
  <c r="P25" i="2"/>
  <c r="P24" i="2"/>
  <c r="P23" i="2"/>
  <c r="P22" i="2"/>
  <c r="P21" i="2"/>
  <c r="P20" i="2"/>
  <c r="P19" i="2"/>
  <c r="P18" i="2"/>
  <c r="P17" i="2"/>
  <c r="P16" i="2"/>
  <c r="P3" i="2" s="1"/>
  <c r="P14" i="2" s="1"/>
  <c r="V30" i="2"/>
  <c r="V29" i="2"/>
  <c r="U29" i="2"/>
  <c r="U28" i="2"/>
  <c r="V28" i="2" s="1"/>
  <c r="V27" i="2"/>
  <c r="U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V26" i="2"/>
  <c r="U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V25" i="2"/>
  <c r="U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V24" i="2"/>
  <c r="U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V23" i="2"/>
  <c r="U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V22" i="2"/>
  <c r="U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V21" i="2"/>
  <c r="U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V20" i="2"/>
  <c r="U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V19" i="2"/>
  <c r="U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V18" i="2"/>
  <c r="U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V17" i="2"/>
  <c r="U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V16" i="2"/>
  <c r="U16" i="2"/>
  <c r="O16" i="2"/>
  <c r="O3" i="2" s="1"/>
  <c r="N16" i="2"/>
  <c r="N3" i="2" s="1"/>
  <c r="M16" i="2"/>
  <c r="M3" i="2" s="1"/>
  <c r="M14" i="2" s="1"/>
  <c r="L16" i="2"/>
  <c r="L3" i="2" s="1"/>
  <c r="L14" i="2" s="1"/>
  <c r="K16" i="2"/>
  <c r="K3" i="2" s="1"/>
  <c r="J16" i="2"/>
  <c r="J3" i="2" s="1"/>
  <c r="I16" i="2"/>
  <c r="I3" i="2" s="1"/>
  <c r="I11" i="2" s="1"/>
  <c r="H16" i="2"/>
  <c r="G16" i="2"/>
  <c r="G3" i="2" s="1"/>
  <c r="F16" i="2"/>
  <c r="F3" i="2" s="1"/>
  <c r="E16" i="2"/>
  <c r="E3" i="2" s="1"/>
  <c r="E11" i="2" s="1"/>
  <c r="D16" i="2"/>
  <c r="D3" i="2" s="1"/>
  <c r="D14" i="2" s="1"/>
  <c r="C16" i="2"/>
  <c r="C3" i="2" s="1"/>
  <c r="V15" i="2"/>
  <c r="U15" i="2"/>
  <c r="U14" i="2"/>
  <c r="V14" i="2" s="1"/>
  <c r="U13" i="2"/>
  <c r="V13" i="2" s="1"/>
  <c r="U12" i="2"/>
  <c r="V12" i="2" s="1"/>
  <c r="U8" i="2"/>
  <c r="T8" i="2"/>
  <c r="H3" i="2"/>
  <c r="H14" i="2" s="1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G6" i="2" l="1"/>
  <c r="G14" i="2"/>
  <c r="G13" i="2"/>
  <c r="G12" i="2"/>
  <c r="G10" i="2"/>
  <c r="G7" i="2"/>
  <c r="G5" i="2"/>
  <c r="G9" i="2"/>
  <c r="G4" i="2"/>
  <c r="G11" i="2"/>
  <c r="G8" i="2"/>
  <c r="O11" i="2"/>
  <c r="O4" i="2"/>
  <c r="O14" i="2"/>
  <c r="O13" i="2"/>
  <c r="O12" i="2"/>
  <c r="O10" i="2"/>
  <c r="O7" i="2"/>
  <c r="O5" i="2"/>
  <c r="O8" i="2"/>
  <c r="O9" i="2"/>
  <c r="O6" i="2"/>
  <c r="C14" i="2"/>
  <c r="C13" i="2"/>
  <c r="C12" i="2"/>
  <c r="C10" i="2"/>
  <c r="C7" i="2"/>
  <c r="C5" i="2"/>
  <c r="C11" i="2"/>
  <c r="C8" i="2"/>
  <c r="C9" i="2"/>
  <c r="C6" i="2"/>
  <c r="C4" i="2"/>
  <c r="K9" i="2"/>
  <c r="K8" i="2"/>
  <c r="K14" i="2"/>
  <c r="K13" i="2"/>
  <c r="K12" i="2"/>
  <c r="K10" i="2"/>
  <c r="K7" i="2"/>
  <c r="K5" i="2"/>
  <c r="K11" i="2"/>
  <c r="K6" i="2"/>
  <c r="K4" i="2"/>
  <c r="F11" i="2"/>
  <c r="F9" i="2"/>
  <c r="F8" i="2"/>
  <c r="F6" i="2"/>
  <c r="F4" i="2"/>
  <c r="F14" i="2"/>
  <c r="F13" i="2"/>
  <c r="F12" i="2"/>
  <c r="F10" i="2"/>
  <c r="F7" i="2"/>
  <c r="F5" i="2"/>
  <c r="J11" i="2"/>
  <c r="J9" i="2"/>
  <c r="J8" i="2"/>
  <c r="J6" i="2"/>
  <c r="J4" i="2"/>
  <c r="J14" i="2"/>
  <c r="J13" i="2"/>
  <c r="J12" i="2"/>
  <c r="J10" i="2"/>
  <c r="J7" i="2"/>
  <c r="J5" i="2"/>
  <c r="N11" i="2"/>
  <c r="N9" i="2"/>
  <c r="N8" i="2"/>
  <c r="N6" i="2"/>
  <c r="N4" i="2"/>
  <c r="N14" i="2"/>
  <c r="N13" i="2"/>
  <c r="N12" i="2"/>
  <c r="N10" i="2"/>
  <c r="N7" i="2"/>
  <c r="N5" i="2"/>
  <c r="I5" i="2"/>
  <c r="I7" i="2"/>
  <c r="I10" i="2"/>
  <c r="I14" i="2"/>
  <c r="D4" i="2"/>
  <c r="H4" i="2"/>
  <c r="L4" i="2"/>
  <c r="P4" i="2"/>
  <c r="D6" i="2"/>
  <c r="H6" i="2"/>
  <c r="L6" i="2"/>
  <c r="P6" i="2"/>
  <c r="D8" i="2"/>
  <c r="H8" i="2"/>
  <c r="L8" i="2"/>
  <c r="P8" i="2"/>
  <c r="D9" i="2"/>
  <c r="H9" i="2"/>
  <c r="L9" i="2"/>
  <c r="P9" i="2"/>
  <c r="D11" i="2"/>
  <c r="H11" i="2"/>
  <c r="L11" i="2"/>
  <c r="P11" i="2"/>
  <c r="D5" i="2"/>
  <c r="H5" i="2"/>
  <c r="L5" i="2"/>
  <c r="P5" i="2"/>
  <c r="D7" i="2"/>
  <c r="H7" i="2"/>
  <c r="L7" i="2"/>
  <c r="P7" i="2"/>
  <c r="E5" i="2"/>
  <c r="M5" i="2"/>
  <c r="E7" i="2"/>
  <c r="E10" i="2"/>
  <c r="E12" i="2"/>
  <c r="I12" i="2"/>
  <c r="E13" i="2"/>
  <c r="I13" i="2"/>
  <c r="E14" i="2"/>
  <c r="E4" i="2"/>
  <c r="I4" i="2"/>
  <c r="M4" i="2"/>
  <c r="E6" i="2"/>
  <c r="I6" i="2"/>
  <c r="M6" i="2"/>
  <c r="E8" i="2"/>
  <c r="I8" i="2"/>
  <c r="M8" i="2"/>
  <c r="E9" i="2"/>
  <c r="I9" i="2"/>
  <c r="M9" i="2"/>
  <c r="M11" i="2"/>
  <c r="D10" i="2"/>
  <c r="H10" i="2"/>
  <c r="L10" i="2"/>
  <c r="P10" i="2"/>
  <c r="D12" i="2"/>
  <c r="H12" i="2"/>
  <c r="L12" i="2"/>
  <c r="P12" i="2"/>
  <c r="D13" i="2"/>
  <c r="H13" i="2"/>
  <c r="L13" i="2"/>
  <c r="P13" i="2"/>
  <c r="M7" i="2"/>
  <c r="M10" i="2"/>
  <c r="M12" i="2"/>
  <c r="M13" i="2"/>
  <c r="C16" i="1" l="1"/>
  <c r="C17" i="1" l="1"/>
  <c r="C18" i="1"/>
  <c r="C19" i="1"/>
  <c r="P27" i="1"/>
  <c r="P26" i="1"/>
  <c r="P25" i="1"/>
  <c r="P24" i="1"/>
  <c r="P23" i="1"/>
  <c r="P22" i="1"/>
  <c r="P21" i="1"/>
  <c r="P20" i="1"/>
  <c r="P19" i="1"/>
  <c r="P18" i="1"/>
  <c r="P17" i="1"/>
  <c r="P16" i="1"/>
  <c r="O27" i="1"/>
  <c r="O26" i="1"/>
  <c r="O25" i="1"/>
  <c r="O24" i="1"/>
  <c r="O23" i="1"/>
  <c r="O22" i="1"/>
  <c r="O21" i="1"/>
  <c r="O20" i="1"/>
  <c r="O19" i="1"/>
  <c r="O18" i="1"/>
  <c r="O17" i="1"/>
  <c r="O16" i="1"/>
  <c r="N27" i="1"/>
  <c r="N26" i="1"/>
  <c r="N25" i="1"/>
  <c r="N24" i="1"/>
  <c r="N23" i="1"/>
  <c r="N22" i="1"/>
  <c r="N21" i="1"/>
  <c r="N20" i="1"/>
  <c r="N19" i="1"/>
  <c r="N18" i="1"/>
  <c r="N17" i="1"/>
  <c r="N16" i="1"/>
  <c r="M27" i="1"/>
  <c r="M26" i="1"/>
  <c r="M25" i="1"/>
  <c r="M24" i="1"/>
  <c r="M23" i="1"/>
  <c r="M22" i="1"/>
  <c r="M21" i="1"/>
  <c r="M20" i="1"/>
  <c r="M19" i="1"/>
  <c r="M18" i="1"/>
  <c r="M17" i="1"/>
  <c r="M16" i="1"/>
  <c r="L27" i="1"/>
  <c r="L26" i="1"/>
  <c r="L25" i="1"/>
  <c r="L24" i="1"/>
  <c r="L23" i="1"/>
  <c r="L22" i="1"/>
  <c r="L21" i="1"/>
  <c r="L20" i="1"/>
  <c r="L19" i="1"/>
  <c r="L18" i="1"/>
  <c r="L17" i="1"/>
  <c r="L16" i="1"/>
  <c r="K27" i="1"/>
  <c r="K26" i="1"/>
  <c r="K25" i="1"/>
  <c r="K24" i="1"/>
  <c r="K23" i="1"/>
  <c r="K22" i="1"/>
  <c r="K21" i="1"/>
  <c r="K20" i="1"/>
  <c r="K19" i="1"/>
  <c r="K18" i="1"/>
  <c r="K17" i="1"/>
  <c r="K16" i="1"/>
  <c r="J27" i="1"/>
  <c r="J26" i="1"/>
  <c r="J25" i="1"/>
  <c r="J24" i="1"/>
  <c r="J23" i="1"/>
  <c r="J22" i="1"/>
  <c r="J21" i="1"/>
  <c r="J20" i="1"/>
  <c r="J19" i="1"/>
  <c r="J18" i="1"/>
  <c r="J17" i="1"/>
  <c r="J16" i="1"/>
  <c r="I27" i="1"/>
  <c r="I26" i="1"/>
  <c r="I25" i="1"/>
  <c r="I24" i="1"/>
  <c r="I23" i="1"/>
  <c r="I22" i="1"/>
  <c r="I21" i="1"/>
  <c r="I20" i="1"/>
  <c r="I19" i="1"/>
  <c r="I18" i="1"/>
  <c r="I17" i="1"/>
  <c r="I16" i="1"/>
  <c r="H27" i="1"/>
  <c r="H26" i="1"/>
  <c r="H25" i="1"/>
  <c r="H24" i="1"/>
  <c r="H23" i="1"/>
  <c r="H22" i="1"/>
  <c r="H21" i="1"/>
  <c r="H20" i="1"/>
  <c r="H19" i="1"/>
  <c r="H18" i="1"/>
  <c r="H17" i="1"/>
  <c r="H16" i="1"/>
  <c r="G27" i="1"/>
  <c r="G26" i="1"/>
  <c r="G25" i="1"/>
  <c r="G24" i="1"/>
  <c r="G23" i="1"/>
  <c r="G22" i="1"/>
  <c r="G21" i="1"/>
  <c r="G20" i="1"/>
  <c r="G19" i="1"/>
  <c r="G18" i="1"/>
  <c r="G17" i="1"/>
  <c r="G16" i="1"/>
  <c r="F27" i="1"/>
  <c r="F26" i="1"/>
  <c r="F25" i="1"/>
  <c r="F24" i="1"/>
  <c r="F23" i="1"/>
  <c r="F22" i="1"/>
  <c r="F21" i="1"/>
  <c r="F20" i="1"/>
  <c r="F19" i="1"/>
  <c r="F18" i="1"/>
  <c r="F17" i="1"/>
  <c r="F16" i="1"/>
  <c r="E27" i="1"/>
  <c r="E26" i="1"/>
  <c r="E25" i="1"/>
  <c r="E24" i="1"/>
  <c r="E23" i="1"/>
  <c r="E22" i="1"/>
  <c r="E21" i="1"/>
  <c r="E20" i="1"/>
  <c r="E19" i="1"/>
  <c r="E18" i="1"/>
  <c r="E17" i="1"/>
  <c r="E16" i="1"/>
  <c r="D27" i="1"/>
  <c r="D26" i="1"/>
  <c r="D25" i="1"/>
  <c r="D24" i="1"/>
  <c r="D23" i="1"/>
  <c r="D22" i="1"/>
  <c r="D21" i="1"/>
  <c r="D20" i="1"/>
  <c r="D19" i="1"/>
  <c r="D18" i="1"/>
  <c r="D17" i="1"/>
  <c r="D16" i="1"/>
  <c r="V30" i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P3" i="1" l="1"/>
  <c r="P14" i="1" s="1"/>
  <c r="O3" i="1"/>
  <c r="O14" i="1" s="1"/>
  <c r="N3" i="1"/>
  <c r="N14" i="1" s="1"/>
  <c r="M3" i="1"/>
  <c r="M14" i="1" s="1"/>
  <c r="L3" i="1"/>
  <c r="L14" i="1" s="1"/>
  <c r="K3" i="1"/>
  <c r="K14" i="1" s="1"/>
  <c r="J3" i="1"/>
  <c r="J14" i="1" s="1"/>
  <c r="I3" i="1"/>
  <c r="I14" i="1" s="1"/>
  <c r="H3" i="1"/>
  <c r="H14" i="1" s="1"/>
  <c r="G3" i="1"/>
  <c r="G14" i="1" s="1"/>
  <c r="F3" i="1"/>
  <c r="F14" i="1" s="1"/>
  <c r="E3" i="1"/>
  <c r="E14" i="1" s="1"/>
  <c r="D3" i="1"/>
  <c r="D14" i="1" s="1"/>
  <c r="C3" i="1"/>
  <c r="C4" i="1" s="1"/>
  <c r="C27" i="1"/>
  <c r="C14" i="1" l="1"/>
  <c r="T8" i="1"/>
  <c r="U8" i="1" s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C26" i="1" l="1"/>
  <c r="C25" i="1"/>
  <c r="C24" i="1"/>
  <c r="C23" i="1"/>
  <c r="C22" i="1"/>
  <c r="C21" i="1"/>
  <c r="C20" i="1"/>
  <c r="D12" i="1"/>
  <c r="P12" i="1"/>
  <c r="O9" i="1"/>
  <c r="I10" i="1"/>
  <c r="H12" i="1"/>
  <c r="N10" i="1"/>
  <c r="M10" i="1"/>
  <c r="L12" i="1"/>
  <c r="K10" i="1"/>
  <c r="J12" i="1"/>
  <c r="G10" i="1"/>
  <c r="F12" i="1"/>
  <c r="E10" i="1"/>
  <c r="C11" i="1"/>
  <c r="C8" i="1" l="1"/>
  <c r="I5" i="1"/>
  <c r="L13" i="1"/>
  <c r="D9" i="1"/>
  <c r="D13" i="1"/>
  <c r="F7" i="1"/>
  <c r="I11" i="1"/>
  <c r="P13" i="1"/>
  <c r="D5" i="1"/>
  <c r="F9" i="1"/>
  <c r="L5" i="1"/>
  <c r="F11" i="1"/>
  <c r="L9" i="1"/>
  <c r="G7" i="1"/>
  <c r="M11" i="1"/>
  <c r="O6" i="1"/>
  <c r="C10" i="1"/>
  <c r="G11" i="1"/>
  <c r="J5" i="1"/>
  <c r="N12" i="1"/>
  <c r="O10" i="1"/>
  <c r="C12" i="1"/>
  <c r="J9" i="1"/>
  <c r="N7" i="1"/>
  <c r="P5" i="1"/>
  <c r="C6" i="1"/>
  <c r="F5" i="1"/>
  <c r="F13" i="1"/>
  <c r="I7" i="1"/>
  <c r="J13" i="1"/>
  <c r="M7" i="1"/>
  <c r="N11" i="1"/>
  <c r="P9" i="1"/>
  <c r="H9" i="1"/>
  <c r="H13" i="1"/>
  <c r="K7" i="1"/>
  <c r="K11" i="1"/>
  <c r="C5" i="1"/>
  <c r="C9" i="1"/>
  <c r="C13" i="1"/>
  <c r="D6" i="1"/>
  <c r="D10" i="1"/>
  <c r="E4" i="1"/>
  <c r="E8" i="1"/>
  <c r="E12" i="1"/>
  <c r="F6" i="1"/>
  <c r="F10" i="1"/>
  <c r="G4" i="1"/>
  <c r="G8" i="1"/>
  <c r="G12" i="1"/>
  <c r="H6" i="1"/>
  <c r="H10" i="1"/>
  <c r="I4" i="1"/>
  <c r="I8" i="1"/>
  <c r="I12" i="1"/>
  <c r="J6" i="1"/>
  <c r="J10" i="1"/>
  <c r="K4" i="1"/>
  <c r="K8" i="1"/>
  <c r="K12" i="1"/>
  <c r="L6" i="1"/>
  <c r="L10" i="1"/>
  <c r="M4" i="1"/>
  <c r="M8" i="1"/>
  <c r="M12" i="1"/>
  <c r="N13" i="1"/>
  <c r="N8" i="1"/>
  <c r="O13" i="1"/>
  <c r="O7" i="1"/>
  <c r="O11" i="1"/>
  <c r="P6" i="1"/>
  <c r="P10" i="1"/>
  <c r="E7" i="1"/>
  <c r="D7" i="1"/>
  <c r="E5" i="1"/>
  <c r="E9" i="1"/>
  <c r="E13" i="1"/>
  <c r="G9" i="1"/>
  <c r="G13" i="1"/>
  <c r="H7" i="1"/>
  <c r="H11" i="1"/>
  <c r="I9" i="1"/>
  <c r="I13" i="1"/>
  <c r="J7" i="1"/>
  <c r="J11" i="1"/>
  <c r="K5" i="1"/>
  <c r="K9" i="1"/>
  <c r="K13" i="1"/>
  <c r="L7" i="1"/>
  <c r="L11" i="1"/>
  <c r="M5" i="1"/>
  <c r="M9" i="1"/>
  <c r="M13" i="1"/>
  <c r="N5" i="1"/>
  <c r="N9" i="1"/>
  <c r="O4" i="1"/>
  <c r="O8" i="1"/>
  <c r="O12" i="1"/>
  <c r="P7" i="1"/>
  <c r="P11" i="1"/>
  <c r="E11" i="1"/>
  <c r="H5" i="1"/>
  <c r="D11" i="1"/>
  <c r="G5" i="1"/>
  <c r="C7" i="1"/>
  <c r="D4" i="1"/>
  <c r="D8" i="1"/>
  <c r="E6" i="1"/>
  <c r="F4" i="1"/>
  <c r="F8" i="1"/>
  <c r="G6" i="1"/>
  <c r="H4" i="1"/>
  <c r="H8" i="1"/>
  <c r="I6" i="1"/>
  <c r="J4" i="1"/>
  <c r="J8" i="1"/>
  <c r="K6" i="1"/>
  <c r="L4" i="1"/>
  <c r="L8" i="1"/>
  <c r="M6" i="1"/>
  <c r="N4" i="1"/>
  <c r="N6" i="1"/>
  <c r="O5" i="1"/>
  <c r="P4" i="1"/>
  <c r="P8" i="1"/>
</calcChain>
</file>

<file path=xl/sharedStrings.xml><?xml version="1.0" encoding="utf-8"?>
<sst xmlns="http://schemas.openxmlformats.org/spreadsheetml/2006/main" count="556" uniqueCount="146">
  <si>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</si>
  <si>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</si>
  <si>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</si>
  <si>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</si>
  <si>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</si>
  <si>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</si>
  <si>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</si>
  <si>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</si>
  <si>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</si>
  <si>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</si>
  <si>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Ao=</t>
  </si>
  <si>
    <t>n=</t>
  </si>
  <si>
    <t>t/2=</t>
  </si>
  <si>
    <t>mt/2=</t>
  </si>
  <si>
    <t>dia 11</t>
  </si>
  <si>
    <t>dia 12</t>
  </si>
  <si>
    <t>dia 13</t>
  </si>
  <si>
    <t>dia 14</t>
  </si>
  <si>
    <t>fecha</t>
  </si>
  <si>
    <t>ACTIVIDAD DIARIA TECNECIO (Tc99)</t>
  </si>
  <si>
    <t>ACTIVIDAD DIARIA MOLIBDENO (Mo99)</t>
  </si>
  <si>
    <t>HORA</t>
  </si>
  <si>
    <t>dia</t>
  </si>
  <si>
    <t>mes</t>
  </si>
  <si>
    <t>año</t>
  </si>
  <si>
    <t>horas</t>
  </si>
  <si>
    <t>%</t>
  </si>
  <si>
    <t>F</t>
  </si>
  <si>
    <t>llegada</t>
  </si>
  <si>
    <t>Bellot-Osea</t>
  </si>
  <si>
    <t>Murillo-Osea</t>
  </si>
  <si>
    <t>Altamirano-Osea</t>
  </si>
  <si>
    <t>Durandal-Osea</t>
  </si>
  <si>
    <t>Arancibia-Osea 3f</t>
  </si>
  <si>
    <t>Contreras-Tiroidea</t>
  </si>
  <si>
    <t>Castillo-Tiroidea</t>
  </si>
  <si>
    <t xml:space="preserve"> Vidovic-Tiroidea</t>
  </si>
  <si>
    <t>Jurado-Osea</t>
  </si>
  <si>
    <t>Callejas-Osea</t>
  </si>
  <si>
    <t>Dominguez-Osea</t>
  </si>
  <si>
    <t>uyuni-Osea</t>
  </si>
  <si>
    <t>Carrasco-Osea</t>
  </si>
  <si>
    <t>Valdez-Osea</t>
  </si>
  <si>
    <t>Auza-Osea</t>
  </si>
  <si>
    <t>Eguez-Osea</t>
  </si>
  <si>
    <t>Morales-Osea</t>
  </si>
  <si>
    <t>Arízaga-Osea</t>
  </si>
  <si>
    <t xml:space="preserve"> Dávalos-Osea</t>
  </si>
  <si>
    <t>Oviedo-Osea</t>
  </si>
  <si>
    <t>Vacaflor-Osea</t>
  </si>
  <si>
    <t>Adan-Osea</t>
  </si>
  <si>
    <t>Renteria-Osea</t>
  </si>
  <si>
    <t>lopez-Osea</t>
  </si>
  <si>
    <t>Martinez-Osea</t>
  </si>
  <si>
    <t>Zapata-Osea</t>
  </si>
  <si>
    <t>Gutierrez-Osea 3f</t>
  </si>
  <si>
    <t>Calvo-Tiroidea</t>
  </si>
  <si>
    <t>Vaca-MIBI DIPI</t>
  </si>
  <si>
    <t>Dorado-MIBI PEG</t>
  </si>
  <si>
    <t>Vaca-MIBI REPOSO</t>
  </si>
  <si>
    <t>Dorado-MIBI REPOSO</t>
  </si>
  <si>
    <t>Moura-Tiroides</t>
  </si>
  <si>
    <t>Coronado-Osea 3f</t>
  </si>
  <si>
    <t>Barrientos-Osea</t>
  </si>
  <si>
    <t>Sandoval-Osea</t>
  </si>
  <si>
    <t>Colque-Osea</t>
  </si>
  <si>
    <t>Ceballos-Osea</t>
  </si>
  <si>
    <t>Calani-Osea</t>
  </si>
  <si>
    <t>Loayza-Tiroides</t>
  </si>
  <si>
    <t>Huaylla-DMSA</t>
  </si>
  <si>
    <t xml:space="preserve"> Zuleta-DMSA</t>
  </si>
  <si>
    <t>Vásquez-DMSA</t>
  </si>
  <si>
    <t>Rissiotti-DMSA</t>
  </si>
  <si>
    <t>Rejas-DMSA</t>
  </si>
  <si>
    <t>Huarachi-osea</t>
  </si>
  <si>
    <t>Sanchez-osea</t>
  </si>
  <si>
    <t>Aleman-osea</t>
  </si>
  <si>
    <t>Tomianovic-Tiroides</t>
  </si>
  <si>
    <t>Orozco -Tiroides</t>
  </si>
  <si>
    <t>Sotomayor-Osea</t>
  </si>
  <si>
    <t>Reynaga-Osea</t>
  </si>
  <si>
    <t>Cuba-Osea</t>
  </si>
  <si>
    <t>Huaylla-DTPA</t>
  </si>
  <si>
    <t>Contreras-DTPA</t>
  </si>
  <si>
    <t>Ibarra-DTPA</t>
  </si>
  <si>
    <t>Cruz-DTPA</t>
  </si>
  <si>
    <t>Rissiotti-DTPA</t>
  </si>
  <si>
    <t>Coronado-osea</t>
  </si>
  <si>
    <t>Salinas-osea</t>
  </si>
  <si>
    <t>Urquizu-DTPA</t>
  </si>
  <si>
    <t>Mendez-DTPA</t>
  </si>
  <si>
    <t>Vásquez-DTPA</t>
  </si>
  <si>
    <t>Rejas-DTPA</t>
  </si>
  <si>
    <t>Hanover-DTPA</t>
  </si>
  <si>
    <t>Zuleta-DTPA</t>
  </si>
  <si>
    <t>Ibarra-DMSA</t>
  </si>
  <si>
    <t>Contreras-DMSA</t>
  </si>
  <si>
    <t>Lima-osea 3f</t>
  </si>
  <si>
    <t>Mendez-DMSA</t>
  </si>
  <si>
    <t>Cruz-DMSA</t>
  </si>
  <si>
    <t>Hanover-DMSA</t>
  </si>
  <si>
    <t>Urquizu-DMSA</t>
  </si>
  <si>
    <t>Coria-DTPA</t>
  </si>
  <si>
    <t>Chumacero-osea 3f</t>
  </si>
  <si>
    <t>Diaz-HemDig</t>
  </si>
  <si>
    <t>Aranibar-osea</t>
  </si>
  <si>
    <t xml:space="preserve"> Barron-osea</t>
  </si>
  <si>
    <t>Barrientos-Tiroidea</t>
  </si>
  <si>
    <t>Flores-Tiroidea</t>
  </si>
  <si>
    <t>Gutierrez-Tiroidea</t>
  </si>
  <si>
    <t>Osorio-Tiroidea</t>
  </si>
  <si>
    <t>Coria-DMSA</t>
  </si>
  <si>
    <t>Rendon-DMSA</t>
  </si>
  <si>
    <t>Lozada-DMSA</t>
  </si>
  <si>
    <t>Cari-DTPA</t>
  </si>
  <si>
    <t>Quispe-DISIDA</t>
  </si>
  <si>
    <t>Flores-DTPA</t>
  </si>
  <si>
    <t>Cari-DMSA</t>
  </si>
  <si>
    <t>Medinaceli-DMSA</t>
  </si>
  <si>
    <t>cazas-DTPA</t>
  </si>
  <si>
    <t>Soliz-Tiroides</t>
  </si>
  <si>
    <t>Ibañez-Testicular</t>
  </si>
  <si>
    <t>oseo</t>
  </si>
  <si>
    <t>pulmonar</t>
  </si>
  <si>
    <t xml:space="preserve">tiroides </t>
  </si>
  <si>
    <t xml:space="preserve">corazon </t>
  </si>
  <si>
    <t>tiroides</t>
  </si>
  <si>
    <t>corazon</t>
  </si>
  <si>
    <t>pulmon</t>
  </si>
  <si>
    <t>ventriculograf</t>
  </si>
  <si>
    <t xml:space="preserve">renal </t>
  </si>
  <si>
    <t>renal</t>
  </si>
  <si>
    <t>tireoides</t>
  </si>
  <si>
    <t>renal d</t>
  </si>
  <si>
    <t>Agenda de un generador si todo esta de acuerdo a lo registrado sin adicion de pacientes ni segundas eluciones</t>
  </si>
  <si>
    <t>Agenda de un generador si todo esta de acuerdo a lo registrado añadiendo pacientes con  segunda elucion previo a un fin de semana</t>
  </si>
  <si>
    <t>2da elucion</t>
  </si>
  <si>
    <t>afectado</t>
  </si>
  <si>
    <t>resultado</t>
  </si>
  <si>
    <t>pulmonx2</t>
  </si>
  <si>
    <t>oseo**</t>
  </si>
  <si>
    <t>se reagenda</t>
  </si>
  <si>
    <t>Agenda de un generador si todo esta de acuerdo a lo registrado sin poder añadir pacientes con  segunda elucion a media semana(examen oseo=25)</t>
  </si>
  <si>
    <t>21(no alcanza)</t>
  </si>
  <si>
    <t>añadido</t>
  </si>
  <si>
    <t>Agenda de un generador si todo esta de acuerdo a lo registrado añadiendo pacientes con  segunda elucion a media semana(pulmon=50)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</si>
</sst>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20" fontId="0" fillId="0" borderId="3" xfId="0" applyNumberFormat="1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0" xfId="0" applyBorder="1"/>
    <xf numFmtId="20" fontId="0" fillId="0" borderId="8" xfId="0" applyNumberFormat="1" applyBorder="1"/>
    <xf numFmtId="20" fontId="0" fillId="0" borderId="10" xfId="0" applyNumberFormat="1" applyBorder="1"/>
    <xf numFmtId="0" fontId="0" fillId="0" borderId="15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0" xfId="0" applyFill="1" applyBorder="1"/>
    <xf numFmtId="0" fontId="0" fillId="2" borderId="0" xfId="0" applyFill="1" applyBorder="1"/>
    <xf numFmtId="0" fontId="0" fillId="7" borderId="0" xfId="0" applyFill="1"/>
    <xf numFmtId="0" fontId="0" fillId="2" borderId="0" xfId="0" applyFill="1"/>
    <xf numFmtId="0" fontId="2" fillId="7" borderId="0" xfId="0" applyFont="1" applyFill="1"/>
    <xf numFmtId="0" fontId="0" fillId="8" borderId="0" xfId="0" applyFill="1"/>
    <xf numFmtId="0" fontId="0" fillId="6" borderId="0" xfId="0" applyFill="1" applyBorder="1"/>
    <xf numFmtId="0" fontId="0" fillId="0" borderId="0" xfId="0" applyFill="1"/>
    <xf numFmtId="0" fontId="0" fillId="9" borderId="0" xfId="0" applyFill="1" applyBorder="1"/>
    <xf numFmtId="0" fontId="0" fillId="9" borderId="0" xfId="0" applyFill="1"/>
    <xf numFmtId="0" fontId="0" fillId="5" borderId="0" xfId="0" applyFill="1"/>
    <xf numFmtId="0" fontId="0" fillId="6" borderId="11" xfId="0" applyFill="1" applyBorder="1"/>
    <xf numFmtId="0" fontId="0" fillId="6" borderId="0" xfId="0" applyFill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curva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Hoja1!$R$12:$R$35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36</c:v>
                </c:pt>
                <c:pt idx="21">
                  <c:v>48</c:v>
                </c:pt>
                <c:pt idx="22">
                  <c:v>60</c:v>
                </c:pt>
                <c:pt idx="23">
                  <c:v>72</c:v>
                </c:pt>
              </c:numCache>
            </c:numRef>
          </c:xVal>
          <c:yVal>
            <c:numRef>
              <c:f>Hoja1!$S$12:$S$35</c:f>
              <c:numCache>
                <c:formatCode>General</c:formatCode>
                <c:ptCount val="24"/>
                <c:pt idx="0">
                  <c:v>9.51</c:v>
                </c:pt>
                <c:pt idx="1">
                  <c:v>18.079999999999998</c:v>
                </c:pt>
                <c:pt idx="2">
                  <c:v>25.79</c:v>
                </c:pt>
                <c:pt idx="3">
                  <c:v>32.74</c:v>
                </c:pt>
                <c:pt idx="4">
                  <c:v>39</c:v>
                </c:pt>
                <c:pt idx="5">
                  <c:v>44.63</c:v>
                </c:pt>
                <c:pt idx="6">
                  <c:v>49.71</c:v>
                </c:pt>
                <c:pt idx="7">
                  <c:v>54.28</c:v>
                </c:pt>
                <c:pt idx="8">
                  <c:v>58.4</c:v>
                </c:pt>
                <c:pt idx="9">
                  <c:v>62.11</c:v>
                </c:pt>
                <c:pt idx="10">
                  <c:v>65.8</c:v>
                </c:pt>
                <c:pt idx="11">
                  <c:v>68.459999999999994</c:v>
                </c:pt>
                <c:pt idx="12">
                  <c:v>71.5</c:v>
                </c:pt>
                <c:pt idx="13">
                  <c:v>73.61</c:v>
                </c:pt>
                <c:pt idx="14">
                  <c:v>77.790000000000006</c:v>
                </c:pt>
                <c:pt idx="15">
                  <c:v>81.17</c:v>
                </c:pt>
                <c:pt idx="16">
                  <c:v>83.92</c:v>
                </c:pt>
                <c:pt idx="17">
                  <c:v>86.15</c:v>
                </c:pt>
                <c:pt idx="18">
                  <c:v>87.1</c:v>
                </c:pt>
                <c:pt idx="19">
                  <c:v>87.96</c:v>
                </c:pt>
                <c:pt idx="20">
                  <c:v>93.19</c:v>
                </c:pt>
                <c:pt idx="21">
                  <c:v>95.08</c:v>
                </c:pt>
                <c:pt idx="22">
                  <c:v>95.55</c:v>
                </c:pt>
                <c:pt idx="23">
                  <c:v>95.6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FD-40CF-A6AF-06EAAD69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893984"/>
        <c:axId val="2784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Hoja1!$S$11:$S$35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9.51</c:v>
                      </c:pt>
                      <c:pt idx="2">
                        <c:v>18.079999999999998</c:v>
                      </c:pt>
                      <c:pt idx="3">
                        <c:v>25.79</c:v>
                      </c:pt>
                      <c:pt idx="4">
                        <c:v>32.74</c:v>
                      </c:pt>
                      <c:pt idx="5">
                        <c:v>39</c:v>
                      </c:pt>
                      <c:pt idx="6">
                        <c:v>44.63</c:v>
                      </c:pt>
                      <c:pt idx="7">
                        <c:v>49.71</c:v>
                      </c:pt>
                      <c:pt idx="8">
                        <c:v>54.28</c:v>
                      </c:pt>
                      <c:pt idx="9">
                        <c:v>58.4</c:v>
                      </c:pt>
                      <c:pt idx="10">
                        <c:v>62.11</c:v>
                      </c:pt>
                      <c:pt idx="11">
                        <c:v>65.8</c:v>
                      </c:pt>
                      <c:pt idx="12">
                        <c:v>68.459999999999994</c:v>
                      </c:pt>
                      <c:pt idx="13">
                        <c:v>71.5</c:v>
                      </c:pt>
                      <c:pt idx="14">
                        <c:v>73.61</c:v>
                      </c:pt>
                      <c:pt idx="15">
                        <c:v>77.790000000000006</c:v>
                      </c:pt>
                      <c:pt idx="16">
                        <c:v>81.17</c:v>
                      </c:pt>
                      <c:pt idx="17">
                        <c:v>83.92</c:v>
                      </c:pt>
                      <c:pt idx="18">
                        <c:v>86.15</c:v>
                      </c:pt>
                      <c:pt idx="19">
                        <c:v>87.1</c:v>
                      </c:pt>
                      <c:pt idx="20">
                        <c:v>87.96</c:v>
                      </c:pt>
                      <c:pt idx="21">
                        <c:v>93.19</c:v>
                      </c:pt>
                      <c:pt idx="22">
                        <c:v>95.08</c:v>
                      </c:pt>
                      <c:pt idx="23">
                        <c:v>95.55</c:v>
                      </c:pt>
                      <c:pt idx="24">
                        <c:v>95.6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5FD-40CF-A6AF-06EAAD69528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Hoja1!$T$11:$T$35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9.5100000000000004E-2</c:v>
                      </c:pt>
                      <c:pt idx="2">
                        <c:v>0.18079999999999999</c:v>
                      </c:pt>
                      <c:pt idx="3">
                        <c:v>0.25790000000000002</c:v>
                      </c:pt>
                      <c:pt idx="4">
                        <c:v>0.32740000000000002</c:v>
                      </c:pt>
                      <c:pt idx="5">
                        <c:v>0.39</c:v>
                      </c:pt>
                      <c:pt idx="6">
                        <c:v>0.44629999999999997</c:v>
                      </c:pt>
                      <c:pt idx="7">
                        <c:v>0.49709999999999999</c:v>
                      </c:pt>
                      <c:pt idx="8">
                        <c:v>0.54279999999999995</c:v>
                      </c:pt>
                      <c:pt idx="9">
                        <c:v>0.58399999999999996</c:v>
                      </c:pt>
                      <c:pt idx="10">
                        <c:v>0.62109999999999999</c:v>
                      </c:pt>
                      <c:pt idx="11">
                        <c:v>0.65800000000000003</c:v>
                      </c:pt>
                      <c:pt idx="12">
                        <c:v>0.68459999999999999</c:v>
                      </c:pt>
                      <c:pt idx="13">
                        <c:v>0.71499999999999997</c:v>
                      </c:pt>
                      <c:pt idx="14">
                        <c:v>0.73609999999999998</c:v>
                      </c:pt>
                      <c:pt idx="15">
                        <c:v>0.77790000000000004</c:v>
                      </c:pt>
                      <c:pt idx="16">
                        <c:v>0.81169999999999998</c:v>
                      </c:pt>
                      <c:pt idx="17">
                        <c:v>0.83919999999999995</c:v>
                      </c:pt>
                      <c:pt idx="18">
                        <c:v>0.86150000000000004</c:v>
                      </c:pt>
                      <c:pt idx="19">
                        <c:v>0.871</c:v>
                      </c:pt>
                      <c:pt idx="20">
                        <c:v>0.87960000000000005</c:v>
                      </c:pt>
                      <c:pt idx="21">
                        <c:v>0.93189999999999995</c:v>
                      </c:pt>
                      <c:pt idx="22">
                        <c:v>0.95079999999999998</c:v>
                      </c:pt>
                      <c:pt idx="23">
                        <c:v>0.95550000000000002</c:v>
                      </c:pt>
                      <c:pt idx="24">
                        <c:v>0.95599999999999996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5FD-40CF-A6AF-06EAAD69528E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Hoja1!$U$11:$U$35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1">
                        <c:v>10.918484500574053</c:v>
                      </c:pt>
                      <c:pt idx="2">
                        <c:v>20.757749712973592</c:v>
                      </c:pt>
                      <c:pt idx="3">
                        <c:v>29.609644087256029</c:v>
                      </c:pt>
                      <c:pt idx="4">
                        <c:v>37.588978185993113</c:v>
                      </c:pt>
                      <c:pt idx="5">
                        <c:v>44.776119402985074</c:v>
                      </c:pt>
                      <c:pt idx="6">
                        <c:v>51.239954075774975</c:v>
                      </c:pt>
                      <c:pt idx="7">
                        <c:v>57.072330654420213</c:v>
                      </c:pt>
                      <c:pt idx="8">
                        <c:v>62.319173363949488</c:v>
                      </c:pt>
                      <c:pt idx="9">
                        <c:v>67.049368541905864</c:v>
                      </c:pt>
                      <c:pt idx="10">
                        <c:v>71.308840413318023</c:v>
                      </c:pt>
                      <c:pt idx="11">
                        <c:v>75.545350172215848</c:v>
                      </c:pt>
                      <c:pt idx="12">
                        <c:v>78.599311136624564</c:v>
                      </c:pt>
                      <c:pt idx="13">
                        <c:v>82.089552238805979</c:v>
                      </c:pt>
                      <c:pt idx="14">
                        <c:v>84.512055109070033</c:v>
                      </c:pt>
                      <c:pt idx="15">
                        <c:v>89.311136624569471</c:v>
                      </c:pt>
                      <c:pt idx="16">
                        <c:v>93.191733639494842</c:v>
                      </c:pt>
                      <c:pt idx="17">
                        <c:v>96.349024110218153</c:v>
                      </c:pt>
                      <c:pt idx="18">
                        <c:v>98.909299655568319</c:v>
                      </c:pt>
                      <c:pt idx="19">
                        <c:v>100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5FD-40CF-A6AF-06EAAD69528E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Hoja1!$V$11:$V$35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1">
                        <c:v>0.10918484500574052</c:v>
                      </c:pt>
                      <c:pt idx="2">
                        <c:v>0.20757749712973592</c:v>
                      </c:pt>
                      <c:pt idx="3">
                        <c:v>0.29609644087256032</c:v>
                      </c:pt>
                      <c:pt idx="4">
                        <c:v>0.37588978185993116</c:v>
                      </c:pt>
                      <c:pt idx="5">
                        <c:v>0.44776119402985076</c:v>
                      </c:pt>
                      <c:pt idx="6">
                        <c:v>0.51239954075774974</c:v>
                      </c:pt>
                      <c:pt idx="7">
                        <c:v>0.57072330654420211</c:v>
                      </c:pt>
                      <c:pt idx="8">
                        <c:v>0.62319173363949487</c:v>
                      </c:pt>
                      <c:pt idx="9">
                        <c:v>0.67049368541905863</c:v>
                      </c:pt>
                      <c:pt idx="10">
                        <c:v>0.7130884041331802</c:v>
                      </c:pt>
                      <c:pt idx="11">
                        <c:v>0.75545350172215853</c:v>
                      </c:pt>
                      <c:pt idx="12">
                        <c:v>0.78599311136624561</c:v>
                      </c:pt>
                      <c:pt idx="13">
                        <c:v>0.82089552238805974</c:v>
                      </c:pt>
                      <c:pt idx="14">
                        <c:v>0.84512055109070028</c:v>
                      </c:pt>
                      <c:pt idx="15">
                        <c:v>0.89311136624569476</c:v>
                      </c:pt>
                      <c:pt idx="16">
                        <c:v>0.93191733639494845</c:v>
                      </c:pt>
                      <c:pt idx="17">
                        <c:v>0.96349024110218151</c:v>
                      </c:pt>
                      <c:pt idx="18">
                        <c:v>0.98909299655568317</c:v>
                      </c:pt>
                      <c:pt idx="19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5FD-40CF-A6AF-06EAAD69528E}"/>
                  </c:ext>
                </c:extLst>
              </c15:ser>
            </c15:filteredScatterSeries>
          </c:ext>
        </c:extLst>
      </c:scatterChart>
      <c:valAx>
        <c:axId val="27889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8481080"/>
        <c:crosses val="autoZero"/>
        <c:crossBetween val="midCat"/>
        <c:majorUnit val="1"/>
      </c:valAx>
      <c:valAx>
        <c:axId val="2784810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889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curva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Hoja1!$R$12:$R$30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Hoja1!$S$12:$S$30</c:f>
              <c:numCache>
                <c:formatCode>General</c:formatCode>
                <c:ptCount val="19"/>
                <c:pt idx="0">
                  <c:v>9.51</c:v>
                </c:pt>
                <c:pt idx="1">
                  <c:v>18.079999999999998</c:v>
                </c:pt>
                <c:pt idx="2">
                  <c:v>25.79</c:v>
                </c:pt>
                <c:pt idx="3">
                  <c:v>32.74</c:v>
                </c:pt>
                <c:pt idx="4">
                  <c:v>39</c:v>
                </c:pt>
                <c:pt idx="5">
                  <c:v>44.63</c:v>
                </c:pt>
                <c:pt idx="6">
                  <c:v>49.71</c:v>
                </c:pt>
                <c:pt idx="7">
                  <c:v>54.28</c:v>
                </c:pt>
                <c:pt idx="8">
                  <c:v>58.4</c:v>
                </c:pt>
                <c:pt idx="9">
                  <c:v>62.11</c:v>
                </c:pt>
                <c:pt idx="10">
                  <c:v>65.8</c:v>
                </c:pt>
                <c:pt idx="11">
                  <c:v>68.459999999999994</c:v>
                </c:pt>
                <c:pt idx="12">
                  <c:v>71.5</c:v>
                </c:pt>
                <c:pt idx="13">
                  <c:v>73.61</c:v>
                </c:pt>
                <c:pt idx="14">
                  <c:v>77.790000000000006</c:v>
                </c:pt>
                <c:pt idx="15">
                  <c:v>81.17</c:v>
                </c:pt>
                <c:pt idx="16">
                  <c:v>83.92</c:v>
                </c:pt>
                <c:pt idx="17">
                  <c:v>86.15</c:v>
                </c:pt>
                <c:pt idx="18">
                  <c:v>87.1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62-4513-97D4-6F3108D8D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08096"/>
        <c:axId val="279391184"/>
      </c:scatterChart>
      <c:valAx>
        <c:axId val="2302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9391184"/>
        <c:crosses val="autoZero"/>
        <c:crossBetween val="midCat"/>
        <c:majorUnit val="1"/>
      </c:valAx>
      <c:valAx>
        <c:axId val="279391184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020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curva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Hoja1!$R$12:$R$30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Hoja1!$U$12:$U$30</c:f>
              <c:numCache>
                <c:formatCode>General</c:formatCode>
                <c:ptCount val="19"/>
                <c:pt idx="0">
                  <c:v>10.918484500574053</c:v>
                </c:pt>
                <c:pt idx="1">
                  <c:v>20.757749712973592</c:v>
                </c:pt>
                <c:pt idx="2">
                  <c:v>29.609644087256029</c:v>
                </c:pt>
                <c:pt idx="3">
                  <c:v>37.588978185993113</c:v>
                </c:pt>
                <c:pt idx="4">
                  <c:v>44.776119402985074</c:v>
                </c:pt>
                <c:pt idx="5">
                  <c:v>51.239954075774975</c:v>
                </c:pt>
                <c:pt idx="6">
                  <c:v>57.072330654420213</c:v>
                </c:pt>
                <c:pt idx="7">
                  <c:v>62.319173363949488</c:v>
                </c:pt>
                <c:pt idx="8">
                  <c:v>67.049368541905864</c:v>
                </c:pt>
                <c:pt idx="9">
                  <c:v>71.308840413318023</c:v>
                </c:pt>
                <c:pt idx="10">
                  <c:v>75.545350172215848</c:v>
                </c:pt>
                <c:pt idx="11">
                  <c:v>78.599311136624564</c:v>
                </c:pt>
                <c:pt idx="12">
                  <c:v>82.089552238805979</c:v>
                </c:pt>
                <c:pt idx="13">
                  <c:v>84.512055109070033</c:v>
                </c:pt>
                <c:pt idx="14">
                  <c:v>89.311136624569471</c:v>
                </c:pt>
                <c:pt idx="15">
                  <c:v>93.191733639494842</c:v>
                </c:pt>
                <c:pt idx="16">
                  <c:v>96.349024110218153</c:v>
                </c:pt>
                <c:pt idx="17">
                  <c:v>98.909299655568319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7-4D97-AFE9-EFFFA67C6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97184"/>
        <c:axId val="372602672"/>
      </c:scatterChart>
      <c:valAx>
        <c:axId val="372597184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602672"/>
        <c:crosses val="autoZero"/>
        <c:crossBetween val="midCat"/>
        <c:majorUnit val="1"/>
      </c:valAx>
      <c:valAx>
        <c:axId val="372602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59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63</xdr:row>
      <xdr:rowOff>100012</xdr:rowOff>
    </xdr:from>
    <xdr:to>
      <xdr:col>15</xdr:col>
      <xdr:colOff>647700</xdr:colOff>
      <xdr:row>77</xdr:row>
      <xdr:rowOff>185737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528637</xdr:colOff>
      <xdr:row>84</xdr:row>
      <xdr:rowOff>90487</xdr:rowOff>
    </xdr:from>
    <xdr:to>
      <xdr:col>6</xdr:col>
      <xdr:colOff>528637</xdr:colOff>
      <xdr:row>98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271462</xdr:colOff>
      <xdr:row>84</xdr:row>
      <xdr:rowOff>4762</xdr:rowOff>
    </xdr:from>
    <xdr:to>
      <xdr:col>14</xdr:col>
      <xdr:colOff>271462</xdr:colOff>
      <xdr:row>98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I19" zoomScale="77" zoomScaleNormal="77" workbookViewId="0">
      <selection activeCell="M27" sqref="M27"/>
    </sheetView>
  </sheetViews>
  <sheetFormatPr baseColWidth="10" defaultRowHeight="15" x14ac:dyDescent="0.25"/>
  <cols>
    <col min="2" max="2" width="19.85546875" customWidth="1"/>
    <col min="3" max="3" width="17.85546875" customWidth="1"/>
    <col min="4" max="4" width="17" customWidth="1"/>
    <col min="5" max="5" width="20.28515625" customWidth="1"/>
    <col min="6" max="6" width="16.7109375" customWidth="1"/>
    <col min="7" max="7" width="19" customWidth="1"/>
    <col min="8" max="8" width="17" customWidth="1"/>
    <col min="9" max="9" width="18.140625" customWidth="1"/>
    <col min="10" max="10" width="18.5703125" customWidth="1"/>
    <col min="11" max="11" width="16.42578125" customWidth="1"/>
    <col min="12" max="12" width="14" customWidth="1"/>
    <col min="13" max="13" width="18.42578125" customWidth="1"/>
    <col min="14" max="14" width="15.28515625" customWidth="1"/>
    <col min="15" max="15" width="18" customWidth="1"/>
  </cols>
  <sheetData>
    <row r="1" spans="1:22" ht="15.75" thickBot="1" x14ac:dyDescent="0.3">
      <c r="A1" s="36" t="s">
        <v>19</v>
      </c>
      <c r="B1" s="12" t="s">
        <v>21</v>
      </c>
      <c r="C1" s="13" t="str">
        <f>TEXT(S1, "dddd")</f>
        <v>viernes</v>
      </c>
      <c r="D1" s="13" t="str">
        <f>TEXT(S1+1, "dddd")</f>
        <v>sábado</v>
      </c>
      <c r="E1" s="13" t="str">
        <f>TEXT(S1+2, "dddd")</f>
        <v>domingo</v>
      </c>
      <c r="F1" s="13" t="str">
        <f>TEXT(S1+3, "dddd")</f>
        <v>lunes</v>
      </c>
      <c r="G1" s="13" t="str">
        <f>TEXT(S1+4, "dddd")</f>
        <v>martes</v>
      </c>
      <c r="H1" s="13" t="str">
        <f>TEXT(S1+5, "dddd")</f>
        <v>miércoles</v>
      </c>
      <c r="I1" s="13" t="str">
        <f>TEXT(S1+6, "dddd")</f>
        <v>jueves</v>
      </c>
      <c r="J1" s="13" t="str">
        <f>TEXT(S1+7, "dddd")</f>
        <v>viernes</v>
      </c>
      <c r="K1" s="13" t="str">
        <f>TEXT(S1+8, "dddd")</f>
        <v>sábado</v>
      </c>
      <c r="L1" s="13" t="str">
        <f>TEXT(S1+9, "dddd")</f>
        <v>domingo</v>
      </c>
      <c r="M1" s="13" t="str">
        <f>TEXT(S1+10, "dddd")</f>
        <v>lunes</v>
      </c>
      <c r="N1" s="13" t="str">
        <f>TEXT(S1+11, "dddd")</f>
        <v>martes</v>
      </c>
      <c r="O1" s="13" t="str">
        <f>TEXT(S1+12, "dddd")</f>
        <v>miércoles</v>
      </c>
      <c r="P1" s="14" t="str">
        <f>TEXT(S1+13, "dddd")</f>
        <v>jueves</v>
      </c>
      <c r="R1" t="s">
        <v>18</v>
      </c>
      <c r="S1" s="1">
        <v>42937</v>
      </c>
    </row>
    <row r="2" spans="1:22" ht="15.75" thickBot="1" x14ac:dyDescent="0.3">
      <c r="A2" s="37"/>
      <c r="B2" s="19"/>
      <c r="C2" s="19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14</v>
      </c>
      <c r="N2" s="13" t="s">
        <v>15</v>
      </c>
      <c r="O2" s="13" t="s">
        <v>16</v>
      </c>
      <c r="P2" s="14" t="s">
        <v>17</v>
      </c>
      <c r="R2" t="s">
        <v>10</v>
      </c>
      <c r="S2">
        <v>390</v>
      </c>
    </row>
    <row r="3" spans="1:22" x14ac:dyDescent="0.25">
      <c r="A3" s="37"/>
      <c r="B3" s="17">
        <v>0.29166666666666669</v>
      </c>
      <c r="C3" s="15">
        <f t="shared" ref="C3:P3" si="0">C16</f>
        <v>390</v>
      </c>
      <c r="D3" s="7">
        <f t="shared" si="0"/>
        <v>312.82587915603568</v>
      </c>
      <c r="E3" s="7">
        <f t="shared" si="0"/>
        <v>243.14226850582077</v>
      </c>
      <c r="F3" s="7">
        <f t="shared" si="0"/>
        <v>188.98104879829603</v>
      </c>
      <c r="G3" s="7">
        <f t="shared" si="0"/>
        <v>146.88452577322633</v>
      </c>
      <c r="H3" s="7">
        <f t="shared" si="0"/>
        <v>114.16522476099266</v>
      </c>
      <c r="I3" s="7">
        <f t="shared" si="0"/>
        <v>88.734320215940116</v>
      </c>
      <c r="J3" s="7">
        <f t="shared" si="0"/>
        <v>68.968283473964377</v>
      </c>
      <c r="K3" s="7">
        <f t="shared" si="0"/>
        <v>53.605235423786269</v>
      </c>
      <c r="L3" s="7">
        <f t="shared" si="0"/>
        <v>41.664387166084943</v>
      </c>
      <c r="M3" s="7">
        <f t="shared" si="0"/>
        <v>32.383425689706861</v>
      </c>
      <c r="N3" s="7">
        <f t="shared" si="0"/>
        <v>25.169847217971387</v>
      </c>
      <c r="O3" s="7">
        <f t="shared" si="0"/>
        <v>19.56313130816757</v>
      </c>
      <c r="P3" s="8">
        <f t="shared" si="0"/>
        <v>0.7335545894847324</v>
      </c>
      <c r="R3" t="s">
        <v>11</v>
      </c>
      <c r="S3">
        <v>-0.69299999999999995</v>
      </c>
    </row>
    <row r="4" spans="1:22" x14ac:dyDescent="0.25">
      <c r="A4" s="37"/>
      <c r="B4" s="17">
        <v>0.33333333333333331</v>
      </c>
      <c r="C4" s="15">
        <f>C3*EXP(S3/S4*1)</f>
        <v>347.59237605555978</v>
      </c>
      <c r="D4" s="7">
        <f>D3*EXP(S3/S4*1)</f>
        <v>278.80997596798937</v>
      </c>
      <c r="E4" s="7">
        <f>E3*EXP(S3/S4*1)</f>
        <v>216.70358674224909</v>
      </c>
      <c r="F4" s="7">
        <f>F3*EXP(S3/S4*1)</f>
        <v>168.43172251608055</v>
      </c>
      <c r="G4" s="7">
        <f>G3*EXP(S3/S4*1)</f>
        <v>130.91267004951243</v>
      </c>
      <c r="H4" s="7">
        <f>H3*EXP(S3/S4*1)</f>
        <v>101.75118394253965</v>
      </c>
      <c r="I4" s="7">
        <f>I3*EXP(S3/S4*1)</f>
        <v>79.085572311624404</v>
      </c>
      <c r="J4" s="7">
        <f>J3*EXP(S3/S4*1)</f>
        <v>61.468844936381224</v>
      </c>
      <c r="K4" s="7">
        <f>K3*EXP(S3/S4*1)</f>
        <v>47.776336281978288</v>
      </c>
      <c r="L4" s="7">
        <f>L3*EXP(S3/S4*1)</f>
        <v>37.133905979380096</v>
      </c>
      <c r="M4" s="7">
        <f>M3*EXP(S3/S4*1)</f>
        <v>28.862133026420164</v>
      </c>
      <c r="N4" s="7">
        <f>N3*EXP(S3/S4*1)</f>
        <v>22.432941024231017</v>
      </c>
      <c r="O4" s="7">
        <f>O3*EXP(S3/S4*1)</f>
        <v>17.435885370494557</v>
      </c>
      <c r="P4" s="8">
        <f>P3*EXP(S3/S4*1)</f>
        <v>0.65378969929604847</v>
      </c>
      <c r="R4" t="s">
        <v>12</v>
      </c>
      <c r="S4">
        <v>6.02</v>
      </c>
    </row>
    <row r="5" spans="1:22" x14ac:dyDescent="0.25">
      <c r="A5" s="37"/>
      <c r="B5" s="17">
        <v>0.375</v>
      </c>
      <c r="C5" s="15">
        <f>C3*EXP(S3/S4*2)</f>
        <v>309.7960510049993</v>
      </c>
      <c r="D5" s="7">
        <f>D3*EXP(S3/S4*2)</f>
        <v>248.4928769607871</v>
      </c>
      <c r="E5" s="7">
        <f>E3*EXP(S3/S4*2)</f>
        <v>193.13978106538585</v>
      </c>
      <c r="F5" s="7">
        <f>F3*EXP(S3/S4*2)</f>
        <v>150.11687854485942</v>
      </c>
      <c r="G5" s="7">
        <f>G3*EXP(S3/S4*2)</f>
        <v>116.67755394432706</v>
      </c>
      <c r="H5" s="7">
        <f>H3*EXP(S3/S4*2)</f>
        <v>90.687014853983811</v>
      </c>
      <c r="I5" s="7">
        <f>I3*EXP(S3/S4*2)</f>
        <v>70.486005106439293</v>
      </c>
      <c r="J5" s="7">
        <f>J3*EXP(S3/S4*2)</f>
        <v>54.784876576480812</v>
      </c>
      <c r="K5" s="7">
        <f>K3*EXP(S3/S4*2)</f>
        <v>42.581257044826373</v>
      </c>
      <c r="L5" s="7">
        <f>L3*EXP(S3/S4*2)</f>
        <v>33.096057978452535</v>
      </c>
      <c r="M5" s="7">
        <f>M3*EXP(S3/S4*2)</f>
        <v>25.723736914577003</v>
      </c>
      <c r="N5" s="7">
        <f>N3*EXP(S3/S4*2)</f>
        <v>19.993639160324879</v>
      </c>
      <c r="O5" s="7">
        <f>O3*EXP(S3/S4*2)</f>
        <v>15.539950832211741</v>
      </c>
      <c r="P5" s="8">
        <f>P3*EXP(S3/S4*2)</f>
        <v>0.58269824363836786</v>
      </c>
      <c r="R5" t="s">
        <v>13</v>
      </c>
      <c r="S5">
        <v>66</v>
      </c>
    </row>
    <row r="6" spans="1:22" x14ac:dyDescent="0.25">
      <c r="A6" s="37"/>
      <c r="B6" s="17">
        <v>0.41666666666666669</v>
      </c>
      <c r="C6" s="15">
        <f>C3*EXP(S3/S4*3)</f>
        <v>276.10960374732593</v>
      </c>
      <c r="D6" s="7">
        <f>D3*EXP(S3/S4*3)</f>
        <v>221.47238342482532</v>
      </c>
      <c r="E6" s="7">
        <f>E3*EXP(S3/S4*3)</f>
        <v>172.13824464453356</v>
      </c>
      <c r="F6" s="7">
        <f>F3*EXP(S3/S4*3)</f>
        <v>133.79354487038867</v>
      </c>
      <c r="G6" s="7">
        <f>G3*EXP(S3/S4*3)</f>
        <v>103.99032873810103</v>
      </c>
      <c r="H6" s="7">
        <f>H3*EXP(S3/S4*3)</f>
        <v>80.825935821748928</v>
      </c>
      <c r="I6" s="7">
        <f>I3*EXP(S3/S4*3)</f>
        <v>62.82153331695271</v>
      </c>
      <c r="J6" s="7">
        <f>J3*EXP(S3/S4*3)</f>
        <v>48.827706208024487</v>
      </c>
      <c r="K6" s="7">
        <f>K3*EXP(S3/S4*3)</f>
        <v>37.951077722163447</v>
      </c>
      <c r="L6" s="7">
        <f>L3*EXP(S3/S4*3)</f>
        <v>29.497275463597141</v>
      </c>
      <c r="M6" s="7">
        <f>M3*EXP(S3/S4*3)</f>
        <v>22.926602141451117</v>
      </c>
      <c r="N6" s="7">
        <f>N3*EXP(S3/S4*3)</f>
        <v>17.819580876243112</v>
      </c>
      <c r="O6" s="7">
        <f>O3*EXP(S3/S4*3)</f>
        <v>13.850175470653983</v>
      </c>
      <c r="P6" s="8">
        <f>P3*EXP(S3/S4*3)</f>
        <v>0.51933709494785074</v>
      </c>
      <c r="R6" t="s">
        <v>22</v>
      </c>
      <c r="S6">
        <v>21</v>
      </c>
    </row>
    <row r="7" spans="1:22" x14ac:dyDescent="0.25">
      <c r="A7" s="37"/>
      <c r="B7" s="17">
        <v>0.45833333333333331</v>
      </c>
      <c r="C7" s="15">
        <f>C3*EXP(S3/S4*4)</f>
        <v>246.08613645715926</v>
      </c>
      <c r="D7" s="7">
        <f>D3*EXP(S3/S4*4)</f>
        <v>197.39003073159745</v>
      </c>
      <c r="E7" s="7">
        <f>E3*EXP(S3/S4*4)</f>
        <v>153.4203627334017</v>
      </c>
      <c r="F7" s="7">
        <f>F3*EXP(S3/S4*4)</f>
        <v>119.24516964716551</v>
      </c>
      <c r="G7" s="7">
        <f>G3*EXP(S3/S4*4)</f>
        <v>92.682680648398204</v>
      </c>
      <c r="H7" s="7">
        <f>H3*EXP(S3/S4*4)</f>
        <v>72.037125844092046</v>
      </c>
      <c r="I7" s="7">
        <f>I3*EXP(S3/S4*4)</f>
        <v>55.990477007931041</v>
      </c>
      <c r="J7" s="7">
        <f>J3*EXP(S3/S4*4)</f>
        <v>43.518303636384715</v>
      </c>
      <c r="K7" s="7">
        <f>K3*EXP(S3/S4*4)</f>
        <v>33.824372511066706</v>
      </c>
      <c r="L7" s="7">
        <f>L3*EXP(S3/S4*4)</f>
        <v>26.289815552710497</v>
      </c>
      <c r="M7" s="7">
        <f>M3*EXP(S3/S4*4)</f>
        <v>20.433620803147384</v>
      </c>
      <c r="N7" s="7">
        <f>N3*EXP(S3/S4*4)</f>
        <v>15.881924248942454</v>
      </c>
      <c r="O7" s="7">
        <f>O3*EXP(S3/S4*4)</f>
        <v>12.344142052900127</v>
      </c>
      <c r="P7" s="8">
        <f>P3*EXP(S3/S4*4)</f>
        <v>0.46286567899157771</v>
      </c>
      <c r="R7" t="s">
        <v>23</v>
      </c>
      <c r="S7">
        <v>7</v>
      </c>
    </row>
    <row r="8" spans="1:22" x14ac:dyDescent="0.25">
      <c r="A8" s="37"/>
      <c r="B8" s="17">
        <v>0.5</v>
      </c>
      <c r="C8" s="15">
        <f>C3*EXP(S3/S4*5)</f>
        <v>219.32734586019671</v>
      </c>
      <c r="D8" s="7">
        <f>D3*EXP(S3/S4*5)</f>
        <v>175.92633279916907</v>
      </c>
      <c r="E8" s="7">
        <f>E3*EXP(S3/S4*5)</f>
        <v>136.73781645592044</v>
      </c>
      <c r="F8" s="7">
        <f>F3*EXP(S3/S4*5)</f>
        <v>106.2787483354015</v>
      </c>
      <c r="G8" s="7">
        <f>G3*EXP(S3/S4*5)</f>
        <v>82.604597912244586</v>
      </c>
      <c r="H8" s="7">
        <f>H3*EXP(S3/S4*5)</f>
        <v>64.203989067593156</v>
      </c>
      <c r="I8" s="7">
        <f>I3*EXP(S3/S4*5)</f>
        <v>49.90221266582293</v>
      </c>
      <c r="J8" s="7">
        <f>J3*EXP(S3/S4*5)</f>
        <v>38.786232212508395</v>
      </c>
      <c r="K8" s="7">
        <f>K3*EXP(S3/S4*5)</f>
        <v>30.14639489669241</v>
      </c>
      <c r="L8" s="7">
        <f>L3*EXP(S3/S4*5)</f>
        <v>23.431126805202702</v>
      </c>
      <c r="M8" s="7">
        <f>M3*EXP(S3/S4*5)</f>
        <v>18.211720016370041</v>
      </c>
      <c r="N8" s="7">
        <f>N3*EXP(S3/S4*5)</f>
        <v>14.154963553908514</v>
      </c>
      <c r="O8" s="7">
        <f>O3*EXP(S3/S4*5)</f>
        <v>11.001870939833106</v>
      </c>
      <c r="P8" s="8">
        <f>P3*EXP(S3/S4*5)</f>
        <v>0.41253482347500647</v>
      </c>
      <c r="R8" t="s">
        <v>24</v>
      </c>
      <c r="S8">
        <v>2017</v>
      </c>
      <c r="T8" s="1">
        <f>DATE(S8,S7,S6)</f>
        <v>42937</v>
      </c>
      <c r="U8" t="str">
        <f>TEXT(T8, "dddd")</f>
        <v>viernes</v>
      </c>
    </row>
    <row r="9" spans="1:22" x14ac:dyDescent="0.25">
      <c r="A9" s="37"/>
      <c r="B9" s="17">
        <v>0.54166666666666663</v>
      </c>
      <c r="C9" s="15">
        <f>C3*EXP(S3/S4*6)</f>
        <v>195.47823918334697</v>
      </c>
      <c r="D9" s="7">
        <f>D3*EXP(S3/S4*6)</f>
        <v>156.79654366257523</v>
      </c>
      <c r="E9" s="7">
        <f>E3*EXP(S3/S4*6)</f>
        <v>121.86928850913438</v>
      </c>
      <c r="F9" s="7">
        <f>F3*EXP(S3/S4*6)</f>
        <v>94.722263225930973</v>
      </c>
      <c r="G9" s="7">
        <f>G3*EXP(S3/S4*6)</f>
        <v>73.622380670336497</v>
      </c>
      <c r="H9" s="7">
        <f>H3*EXP(S3/S4*6)</f>
        <v>57.222607980127925</v>
      </c>
      <c r="I9" s="7">
        <f>I3*EXP(S3/S4*6)</f>
        <v>44.475970951136524</v>
      </c>
      <c r="J9" s="7">
        <f>J3*EXP(S3/S4*6)</f>
        <v>34.568714392278167</v>
      </c>
      <c r="K9" s="7">
        <f>K3*EXP(S3/S4*6)</f>
        <v>26.868351363206454</v>
      </c>
      <c r="L9" s="7">
        <f>L3*EXP(S3/S4*6)</f>
        <v>20.883284717639807</v>
      </c>
      <c r="M9" s="7">
        <f>M3*EXP(S3/S4*6)</f>
        <v>16.231423160381183</v>
      </c>
      <c r="N9" s="7">
        <f>N3*EXP(S3/S4*6)</f>
        <v>12.615788242776697</v>
      </c>
      <c r="O9" s="7">
        <f>O3*EXP(S3/S4*6)</f>
        <v>9.8055550282902662</v>
      </c>
      <c r="P9" s="8">
        <f>P3*EXP(S3/S4*6)</f>
        <v>0.36767681922394468</v>
      </c>
    </row>
    <row r="10" spans="1:22" x14ac:dyDescent="0.25">
      <c r="A10" s="37"/>
      <c r="B10" s="17">
        <v>0.58333333333333337</v>
      </c>
      <c r="C10" s="15">
        <f>C3*EXP(S3/S4*7)</f>
        <v>174.22242467922206</v>
      </c>
      <c r="D10" s="7">
        <f>D3*EXP(S3/S4*7)</f>
        <v>139.74687992044576</v>
      </c>
      <c r="E10" s="7">
        <f>E3*EXP(S3/S4*7)</f>
        <v>108.61752707971935</v>
      </c>
      <c r="F10" s="7">
        <f>F3*EXP(S3/S4*7)</f>
        <v>84.422401384773124</v>
      </c>
      <c r="G10" s="7">
        <f>G3*EXP(S3/S4*7)</f>
        <v>65.616867251459425</v>
      </c>
      <c r="H10" s="7">
        <f>H3*EXP(S3/S4*7)</f>
        <v>51.000364799765386</v>
      </c>
      <c r="I10" s="7">
        <f>I3*EXP(S3/S4*7)</f>
        <v>39.639765180214354</v>
      </c>
      <c r="J10" s="7">
        <f>J3*EXP(S3/S4*7)</f>
        <v>30.809798904610243</v>
      </c>
      <c r="K10" s="7">
        <f>K3*EXP(S3/S4*7)</f>
        <v>23.946754079570692</v>
      </c>
      <c r="L10" s="7">
        <f>L3*EXP(S3/S4*7)</f>
        <v>18.612488602177386</v>
      </c>
      <c r="M10" s="7">
        <f>M3*EXP(S3/S4*7)</f>
        <v>14.466458828410611</v>
      </c>
      <c r="N10" s="7">
        <f>N3*EXP(S3/S4*7)</f>
        <v>11.243979002873198</v>
      </c>
      <c r="O10" s="7">
        <f>O3*EXP(S3/S4*7)</f>
        <v>8.7393235149409119</v>
      </c>
      <c r="P10" s="8">
        <f>P3*EXP(S3/S4*7)</f>
        <v>0.32769656208872167</v>
      </c>
    </row>
    <row r="11" spans="1:22" x14ac:dyDescent="0.25">
      <c r="A11" s="37"/>
      <c r="B11" s="17">
        <v>0.625</v>
      </c>
      <c r="C11" s="15">
        <f>C3*EXP(S3/S4*8)</f>
        <v>155.27791424720925</v>
      </c>
      <c r="D11" s="7">
        <f>D3*EXP(S3/S4*8)</f>
        <v>124.55115394333014</v>
      </c>
      <c r="E11" s="7">
        <f>E3*EXP(S3/S4*8)</f>
        <v>96.806729022868623</v>
      </c>
      <c r="F11" s="7">
        <f>F3*EXP(S3/S4*8)</f>
        <v>75.242520742690971</v>
      </c>
      <c r="G11" s="7">
        <f>G3*EXP(S3/S4*8)</f>
        <v>58.48185332630009</v>
      </c>
      <c r="H11" s="7">
        <f>H3*EXP(S3/S4*8)</f>
        <v>45.454712770386635</v>
      </c>
      <c r="I11" s="7">
        <f>I3*EXP(S3/S4*8)</f>
        <v>35.329436321218346</v>
      </c>
      <c r="J11" s="7">
        <f>J3*EXP(S3/S4*8)</f>
        <v>27.459618479608871</v>
      </c>
      <c r="K11" s="7">
        <f>K3*EXP(S3/S4*8)</f>
        <v>21.342843972656791</v>
      </c>
      <c r="L11" s="7">
        <f>L3*EXP(S3/S4*8)</f>
        <v>16.588613173174011</v>
      </c>
      <c r="M11" s="7">
        <f>M3*EXP(S3/S4*8)</f>
        <v>12.893412300710706</v>
      </c>
      <c r="N11" s="7">
        <f>N3*EXP(S3/S4*8)</f>
        <v>10.021336866480819</v>
      </c>
      <c r="O11" s="7">
        <f>O3*EXP(S3/S4*8)</f>
        <v>7.7890313478885602</v>
      </c>
      <c r="P11" s="8">
        <f>P3*EXP(S3/S4*8)</f>
        <v>0.29206365805553092</v>
      </c>
      <c r="R11" t="s">
        <v>25</v>
      </c>
      <c r="S11" t="s">
        <v>26</v>
      </c>
      <c r="T11" t="s">
        <v>27</v>
      </c>
    </row>
    <row r="12" spans="1:22" x14ac:dyDescent="0.25">
      <c r="A12" s="37"/>
      <c r="B12" s="17">
        <v>0.66666666666666663</v>
      </c>
      <c r="C12" s="15">
        <f>C3*EXP(S3/S4*9)</f>
        <v>138.39338246702292</v>
      </c>
      <c r="D12" s="7">
        <f>D3*EXP(S3/S4*9)</f>
        <v>111.00777317852291</v>
      </c>
      <c r="E12" s="7">
        <f>E3*EXP(S3/S4*9)</f>
        <v>86.280207587758028</v>
      </c>
      <c r="F12" s="7">
        <f>F3*EXP(S3/S4*9)</f>
        <v>67.060837347081289</v>
      </c>
      <c r="G12" s="7">
        <f>G3*EXP(S3/S4*9)</f>
        <v>52.122682958516393</v>
      </c>
      <c r="H12" s="7">
        <f>H3*EXP(S3/S4*9)</f>
        <v>40.512081063542794</v>
      </c>
      <c r="I12" s="7">
        <f>I3*EXP(S3/S4*9)</f>
        <v>31.487801834861237</v>
      </c>
      <c r="J12" s="7">
        <f>J3*EXP(S3/S4*9)</f>
        <v>24.473728289503608</v>
      </c>
      <c r="K12" s="7">
        <f>K3*EXP(S3/S4*9)</f>
        <v>19.022076533945789</v>
      </c>
      <c r="L12" s="7">
        <f>L3*EXP(S3/S4*9)</f>
        <v>14.784808893154139</v>
      </c>
      <c r="M12" s="7">
        <f>M3*EXP(S3/S4*9)</f>
        <v>11.491414915559018</v>
      </c>
      <c r="N12" s="7">
        <f>N3*EXP(S3/S4*9)</f>
        <v>8.9316417760852485</v>
      </c>
      <c r="O12" s="7">
        <f>O3*EXP(S3/S4*9)</f>
        <v>6.9420715727790379</v>
      </c>
      <c r="P12" s="8">
        <f>P3*EXP(S3/S4*9)</f>
        <v>0.26030538682820653</v>
      </c>
      <c r="R12">
        <v>1</v>
      </c>
      <c r="S12">
        <v>9.51</v>
      </c>
      <c r="T12">
        <v>9.5100000000000004E-2</v>
      </c>
      <c r="U12">
        <f>S12*U30/S30</f>
        <v>10.918484500574053</v>
      </c>
      <c r="V12">
        <f t="shared" ref="V12:V30" si="1">U12/100</f>
        <v>0.10918484500574052</v>
      </c>
    </row>
    <row r="13" spans="1:22" x14ac:dyDescent="0.25">
      <c r="A13" s="37"/>
      <c r="B13" s="17">
        <v>0.70833333333333337</v>
      </c>
      <c r="C13" s="15">
        <f>C3*EXP(S3/S4*10)</f>
        <v>123.34483241558547</v>
      </c>
      <c r="D13" s="7">
        <f>D3*EXP(S3/S4*10)</f>
        <v>98.937065742972862</v>
      </c>
      <c r="E13" s="7">
        <f>E3*EXP(S3/S4*10)</f>
        <v>76.898313748707054</v>
      </c>
      <c r="F13" s="7">
        <f>F3*EXP(S3/S4*10)</f>
        <v>59.768809727557446</v>
      </c>
      <c r="G13" s="7">
        <f>G3*EXP(S3/S4*10)</f>
        <v>46.454992861388071</v>
      </c>
      <c r="H13" s="7">
        <f>H3*EXP(S3/S4*10)</f>
        <v>36.106898758544332</v>
      </c>
      <c r="I13" s="7">
        <f>I3*EXP(S3/S4*10)</f>
        <v>28.063897068066748</v>
      </c>
      <c r="J13" s="7">
        <f>J3*EXP(S3/S4*10)</f>
        <v>21.81251632586341</v>
      </c>
      <c r="K13" s="7">
        <f>K3*EXP(S3/S4*10)</f>
        <v>16.953663538320317</v>
      </c>
      <c r="L13" s="7">
        <f>L3*EXP(S3/S4*10)</f>
        <v>13.177145776150814</v>
      </c>
      <c r="M13" s="7">
        <f>M3*EXP(S3/S4*10)</f>
        <v>10.241867217280662</v>
      </c>
      <c r="N13" s="7">
        <f>N3*EXP(S3/S4*10)</f>
        <v>7.960437402632234</v>
      </c>
      <c r="O13" s="7">
        <f>O3*EXP(S3/S4*10)</f>
        <v>6.1872080839231343</v>
      </c>
      <c r="P13" s="8">
        <f>P3*EXP(S3/S4*10)</f>
        <v>0.23200043053250749</v>
      </c>
      <c r="R13">
        <v>2</v>
      </c>
      <c r="S13">
        <v>18.079999999999998</v>
      </c>
      <c r="T13">
        <v>0.18079999999999999</v>
      </c>
      <c r="U13">
        <f>S13*U30/S30</f>
        <v>20.757749712973592</v>
      </c>
      <c r="V13">
        <f t="shared" si="1"/>
        <v>0.20757749712973592</v>
      </c>
    </row>
    <row r="14" spans="1:22" ht="15.75" thickBot="1" x14ac:dyDescent="0.3">
      <c r="A14" s="38"/>
      <c r="B14" s="18">
        <v>0.75</v>
      </c>
      <c r="C14" s="16">
        <f>C3*EXP(S3/S4*11)</f>
        <v>109.93262403463638</v>
      </c>
      <c r="D14" s="9">
        <f>D3*EXP(S3/S4*11)</f>
        <v>88.178896824525808</v>
      </c>
      <c r="E14" s="9">
        <f>E3*EXP(S3/S4*11)</f>
        <v>68.536583565587193</v>
      </c>
      <c r="F14" s="9">
        <f>F3*EXP(S3/S4*11)</f>
        <v>53.26969894157525</v>
      </c>
      <c r="G14" s="9">
        <f>G3*EXP(S3/S4*11)</f>
        <v>41.403593200856278</v>
      </c>
      <c r="H14" s="9">
        <f>H3*EXP(S3/S4*11)</f>
        <v>32.180724952512733</v>
      </c>
      <c r="I14" s="9">
        <f>I3*EXP(S3/S4*11)</f>
        <v>25.012299136584563</v>
      </c>
      <c r="J14" s="9">
        <f>J3*EXP(S3/S4*11)</f>
        <v>19.440677890916799</v>
      </c>
      <c r="K14" s="9">
        <f>K3*EXP(S3/S4*11)</f>
        <v>15.11016459520838</v>
      </c>
      <c r="L14" s="9">
        <f>L3*EXP(S3/S4*11)</f>
        <v>11.744295922981397</v>
      </c>
      <c r="M14" s="9">
        <f>M3*EXP(S3/S4*11)</f>
        <v>9.1281922084618703</v>
      </c>
      <c r="N14" s="9">
        <f>N3*EXP(S3/S4*11)</f>
        <v>7.0948393621089405</v>
      </c>
      <c r="O14" s="9">
        <f>O3*EXP(S3/S4*11)</f>
        <v>5.5144265616436146</v>
      </c>
      <c r="P14" s="10">
        <f>P3*EXP(S3/S4*11)</f>
        <v>0.20677328434540287</v>
      </c>
      <c r="R14">
        <v>3</v>
      </c>
      <c r="S14">
        <v>25.79</v>
      </c>
      <c r="T14">
        <v>0.25790000000000002</v>
      </c>
      <c r="U14">
        <f>S14*U30/S30</f>
        <v>29.609644087256029</v>
      </c>
      <c r="V14">
        <f t="shared" si="1"/>
        <v>0.29609644087256032</v>
      </c>
    </row>
    <row r="15" spans="1:22" ht="15" customHeight="1" x14ac:dyDescent="0.25">
      <c r="A15" s="36" t="s">
        <v>20</v>
      </c>
      <c r="B15" s="2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R15">
        <v>4</v>
      </c>
      <c r="S15">
        <v>32.74</v>
      </c>
      <c r="T15">
        <v>0.32740000000000002</v>
      </c>
      <c r="U15">
        <f>S15*U30/S30</f>
        <v>37.588978185993113</v>
      </c>
      <c r="V15">
        <f t="shared" si="1"/>
        <v>0.37588978185993116</v>
      </c>
    </row>
    <row r="16" spans="1:22" x14ac:dyDescent="0.25">
      <c r="A16" s="37"/>
      <c r="B16" s="11">
        <v>0.29166666666666669</v>
      </c>
      <c r="C16" s="21">
        <f>S2*EXP(S3/S5*0)</f>
        <v>390</v>
      </c>
      <c r="D16" s="7">
        <f>S2*EXP(S3/S5*(24-L33))</f>
        <v>312.82587915603568</v>
      </c>
      <c r="E16" s="7">
        <f>S2*EXP(S3/S5*(48-L33))</f>
        <v>243.14226850582077</v>
      </c>
      <c r="F16" s="7">
        <f>S2*EXP(S3/S5*(72-L33))</f>
        <v>188.98104879829603</v>
      </c>
      <c r="G16" s="7">
        <f>S2*EXP(S3/S5*(96-L33))</f>
        <v>146.88452577322633</v>
      </c>
      <c r="H16" s="7">
        <f>S2*EXP(S3/S5*(120-L33))</f>
        <v>114.16522476099266</v>
      </c>
      <c r="I16" s="7">
        <f>S2*EXP(S3/S5*(144-L33))</f>
        <v>88.734320215940116</v>
      </c>
      <c r="J16" s="7">
        <f>S2*EXP(S3/S5*(168-L33))</f>
        <v>68.968283473964377</v>
      </c>
      <c r="K16" s="7">
        <f>S2*EXP(S3/S5*(192-L33))</f>
        <v>53.605235423786269</v>
      </c>
      <c r="L16" s="7">
        <f>S2*EXP(S3/S5*(216-L33))</f>
        <v>41.664387166084943</v>
      </c>
      <c r="M16" s="7">
        <f>S2*EXP(S3/S5*(240-L33))</f>
        <v>32.383425689706861</v>
      </c>
      <c r="N16" s="7">
        <f>S2*EXP(S3/S5*(264-L33))</f>
        <v>25.169847217971387</v>
      </c>
      <c r="O16" s="7">
        <f>S2*EXP(S3/S5*(288-L33))</f>
        <v>19.56313130816757</v>
      </c>
      <c r="P16" s="8">
        <f>S2*EXP(S3/S5*312-(L33))</f>
        <v>0.7335545894847324</v>
      </c>
      <c r="R16">
        <v>5</v>
      </c>
      <c r="S16">
        <v>39</v>
      </c>
      <c r="T16">
        <v>0.39</v>
      </c>
      <c r="U16">
        <f>S16*U30/S30</f>
        <v>44.776119402985074</v>
      </c>
      <c r="V16">
        <f t="shared" si="1"/>
        <v>0.44776119402985076</v>
      </c>
    </row>
    <row r="17" spans="1:22" x14ac:dyDescent="0.25">
      <c r="A17" s="37"/>
      <c r="B17" s="11">
        <v>0.33333333333333331</v>
      </c>
      <c r="C17" s="15">
        <f>S2*EXP(S3/S5*1)</f>
        <v>385.9264237014807</v>
      </c>
      <c r="D17" s="7">
        <f>S2*EXP(S3/S5*(25-L33))</f>
        <v>309.55839175374467</v>
      </c>
      <c r="E17" s="7">
        <f>S2*EXP(S3/S5*(49-L33))</f>
        <v>240.60263111568352</v>
      </c>
      <c r="F17" s="7">
        <f>S2*EXP(S3/S5*(73-L33))</f>
        <v>187.00712900020872</v>
      </c>
      <c r="G17" s="7">
        <f>S2*EXP(S3/S5*(97-L33))</f>
        <v>145.35030699679285</v>
      </c>
      <c r="H17" s="7">
        <f>S2*EXP(S3/S5*(121-L33))</f>
        <v>112.97276128996316</v>
      </c>
      <c r="I17" s="7">
        <f>S2*EXP(S3/S5*(145-L33))</f>
        <v>87.807484257742999</v>
      </c>
      <c r="J17" s="7">
        <f>S2*EXP(S3/S5*(169-L33))</f>
        <v>68.247905102402569</v>
      </c>
      <c r="K17" s="7">
        <f>S2*EXP(S3/S5*(193-L33))</f>
        <v>53.04532512507118</v>
      </c>
      <c r="L17" s="7">
        <f>S2*EXP(S3/S5*(217-L33))</f>
        <v>41.229199832618036</v>
      </c>
      <c r="M17" s="7">
        <f>S2*EXP(S3/S5*(241-L33))</f>
        <v>32.045178624695453</v>
      </c>
      <c r="N17" s="7">
        <f>S2*EXP(S3/S5*(265-L33))</f>
        <v>24.906946466524005</v>
      </c>
      <c r="O17" s="7">
        <f>S2*EXP(S3/S5*(289-L33))</f>
        <v>19.358793082470719</v>
      </c>
      <c r="P17" s="8">
        <f>S2*EXP(S3/S5*313-(L33))</f>
        <v>0.72589256233243715</v>
      </c>
      <c r="R17">
        <v>6</v>
      </c>
      <c r="S17">
        <v>44.63</v>
      </c>
      <c r="T17">
        <v>0.44629999999999997</v>
      </c>
      <c r="U17">
        <f>S17*U30/S30</f>
        <v>51.239954075774975</v>
      </c>
      <c r="V17">
        <f t="shared" si="1"/>
        <v>0.51239954075774974</v>
      </c>
    </row>
    <row r="18" spans="1:22" x14ac:dyDescent="0.25">
      <c r="A18" s="37"/>
      <c r="B18" s="11">
        <v>0.375</v>
      </c>
      <c r="C18" s="15">
        <f>S2*EXP(S3/S5*2)</f>
        <v>381.8953961820892</v>
      </c>
      <c r="D18" s="7">
        <f>S2*EXP(S3/S5*(26-L33))</f>
        <v>306.32503347770415</v>
      </c>
      <c r="E18" s="7">
        <f>S2*EXP(S3/S5*(50-L33))</f>
        <v>238.08952040933934</v>
      </c>
      <c r="F18" s="7">
        <f>S2*EXP(S3/S5*(74-L33))</f>
        <v>185.05382692751797</v>
      </c>
      <c r="G18" s="7">
        <f>S2*EXP(S3/S5*(98-L33))</f>
        <v>143.8321132389348</v>
      </c>
      <c r="H18" s="7">
        <f>S2*EXP(S3/S5*(122-L33))</f>
        <v>111.79275318029889</v>
      </c>
      <c r="I18" s="7">
        <f>S2*EXP(S3/S5*(146-L33))</f>
        <v>86.890329163627754</v>
      </c>
      <c r="J18" s="7">
        <f>S2*EXP(S3/S5*(170-L33))</f>
        <v>67.535051131508368</v>
      </c>
      <c r="K18" s="7">
        <f>S2*EXP(S3/S5*(194-L33))</f>
        <v>52.491263127182116</v>
      </c>
      <c r="L18" s="7">
        <f>S2*EXP(S3/S5*(218-L33))</f>
        <v>40.798558060194786</v>
      </c>
      <c r="M18" s="7">
        <f>S2*EXP(S3/S5*(242-L33))</f>
        <v>31.710464573086796</v>
      </c>
      <c r="N18" s="7">
        <f>S2*EXP(S3/S5*(266-L33))</f>
        <v>24.646791731153439</v>
      </c>
      <c r="O18" s="7">
        <f>S2*EXP(S3/S5*(290-L33))</f>
        <v>19.156589183320225</v>
      </c>
      <c r="P18" s="8">
        <f>S2*EXP(S3/S5*314-(L33))</f>
        <v>0.71831056557041473</v>
      </c>
      <c r="R18">
        <v>7</v>
      </c>
      <c r="S18">
        <v>49.71</v>
      </c>
      <c r="T18">
        <v>0.49709999999999999</v>
      </c>
      <c r="U18">
        <f>S18*U30/S30</f>
        <v>57.072330654420213</v>
      </c>
      <c r="V18">
        <f t="shared" si="1"/>
        <v>0.57072330654420211</v>
      </c>
    </row>
    <row r="19" spans="1:22" x14ac:dyDescent="0.25">
      <c r="A19" s="37"/>
      <c r="B19" s="11">
        <v>0.41666666666666669</v>
      </c>
      <c r="C19" s="15">
        <f>S2*EXP(S3/S5*3)</f>
        <v>377.90647301695844</v>
      </c>
      <c r="D19" s="7">
        <f>S2*EXP(S3/S5*(27-L33))</f>
        <v>303.12544784688896</v>
      </c>
      <c r="E19" s="7">
        <f>S2*EXP(S3/S5*(51-L33))</f>
        <v>235.60265931378723</v>
      </c>
      <c r="F19" s="7">
        <f>S2*EXP(S3/S5*(75-L33))</f>
        <v>183.12092722669172</v>
      </c>
      <c r="G19" s="7">
        <f>S2*EXP(S3/S5*(99-L33))</f>
        <v>142.32977711725258</v>
      </c>
      <c r="H19" s="7">
        <f>S2*EXP(S3/S5*(123-L33))</f>
        <v>110.62507033491048</v>
      </c>
      <c r="I19" s="7">
        <f>S2*EXP(S3/S5*(147-L33))</f>
        <v>85.982753816316233</v>
      </c>
      <c r="J19" s="7">
        <f>S2*EXP(S3/S5*(171-L33))</f>
        <v>66.829642968409388</v>
      </c>
      <c r="K19" s="7">
        <f>S2*EXP(S3/S5*(195-L33))</f>
        <v>51.942988344222535</v>
      </c>
      <c r="L19" s="7">
        <f>S2*EXP(S3/S5*(219-L33))</f>
        <v>40.372414370123572</v>
      </c>
      <c r="M19" s="7">
        <f>S2*EXP(S3/S5*(243-L33))</f>
        <v>31.379246632317663</v>
      </c>
      <c r="N19" s="7">
        <f>S2*EXP(S3/S5*(267-L33))</f>
        <v>24.389354329536598</v>
      </c>
      <c r="O19" s="7">
        <f>S2*EXP(S3/S5*(291-L33))</f>
        <v>18.956497317531394</v>
      </c>
      <c r="P19" s="8">
        <f>S2*EXP(S3/S5*315-(L33))</f>
        <v>0.71080776327584172</v>
      </c>
      <c r="R19">
        <v>8</v>
      </c>
      <c r="S19">
        <v>54.28</v>
      </c>
      <c r="T19">
        <v>0.54279999999999995</v>
      </c>
      <c r="U19">
        <f>S19*U30/S30</f>
        <v>62.319173363949488</v>
      </c>
      <c r="V19">
        <f t="shared" si="1"/>
        <v>0.62319173363949487</v>
      </c>
    </row>
    <row r="20" spans="1:22" x14ac:dyDescent="0.25">
      <c r="A20" s="37"/>
      <c r="B20" s="11">
        <v>0.45833333333333331</v>
      </c>
      <c r="C20" s="15">
        <f>S2*EXP(S3/S5*4)</f>
        <v>373.95921442326897</v>
      </c>
      <c r="D20" s="7">
        <f>S2*EXP(S3/S5*(28-L33))</f>
        <v>299.95928210374251</v>
      </c>
      <c r="E20" s="7">
        <f>S2*EXP(S3/S5*(52-L33))</f>
        <v>233.14177365007248</v>
      </c>
      <c r="F20" s="7">
        <f>S2*EXP(S3/S5*(76-L33))</f>
        <v>181.20821679358011</v>
      </c>
      <c r="G20" s="7">
        <f>S2*EXP(S3/S5*(100-L33))</f>
        <v>140.84313299766697</v>
      </c>
      <c r="H20" s="7">
        <f>S2*EXP(S3/S5*(124-L33))</f>
        <v>109.46958401558143</v>
      </c>
      <c r="I20" s="7">
        <f>S2*EXP(S3/S5*(148-L33))</f>
        <v>85.084658154707085</v>
      </c>
      <c r="J20" s="7">
        <f>S2*EXP(S3/S5*(172-L33))</f>
        <v>66.131602841141131</v>
      </c>
      <c r="K20" s="7">
        <f>S2*EXP(S3/S5*(196-L33))</f>
        <v>51.400440328342306</v>
      </c>
      <c r="L20" s="7">
        <f>S2*EXP(S3/S5*(220-L33))</f>
        <v>39.950721779630925</v>
      </c>
      <c r="M20" s="7">
        <f>S2*EXP(S3/S5*(244-L33))</f>
        <v>31.051488285274587</v>
      </c>
      <c r="N20" s="7">
        <f>S2*EXP(S3/S5*(268-L33))</f>
        <v>24.13460587893919</v>
      </c>
      <c r="O20" s="7">
        <f>S2*EXP(S3/S5*(292-L33))</f>
        <v>18.758495424773344</v>
      </c>
      <c r="P20" s="8">
        <f>S2*EXP(S3/S5*316-(L33))</f>
        <v>0.70338332825716443</v>
      </c>
      <c r="R20">
        <v>9</v>
      </c>
      <c r="S20">
        <v>58.4</v>
      </c>
      <c r="T20">
        <v>0.58399999999999996</v>
      </c>
      <c r="U20">
        <f>S20*U30/S30</f>
        <v>67.049368541905864</v>
      </c>
      <c r="V20">
        <f t="shared" si="1"/>
        <v>0.67049368541905863</v>
      </c>
    </row>
    <row r="21" spans="1:22" x14ac:dyDescent="0.25">
      <c r="A21" s="37"/>
      <c r="B21" s="11">
        <v>0.5</v>
      </c>
      <c r="C21" s="15">
        <f>S2*EXP(S3/S5*5)</f>
        <v>370.05318521176247</v>
      </c>
      <c r="D21" s="7">
        <f>S2*EXP(S3/S5*(29-L33))</f>
        <v>296.82618717528436</v>
      </c>
      <c r="E21" s="7">
        <f>S2*EXP(S3/S5*(53-L33))</f>
        <v>230.70659210305789</v>
      </c>
      <c r="F21" s="7">
        <f>S2*EXP(S3/S5*(77-L33))</f>
        <v>179.31548474992044</v>
      </c>
      <c r="G21" s="7">
        <f>S2*EXP(S3/S5*(101-L33))</f>
        <v>139.37201697615802</v>
      </c>
      <c r="H21" s="7">
        <f>S2*EXP(S3/S5*(125-L33))</f>
        <v>108.32616682877466</v>
      </c>
      <c r="I21" s="7">
        <f>S2*EXP(S3/S5*(149-L33))</f>
        <v>84.195943162843918</v>
      </c>
      <c r="J21" s="7">
        <f>S2*EXP(S3/S5*(173-L33))</f>
        <v>65.440853790072509</v>
      </c>
      <c r="K21" s="7">
        <f>S2*EXP(S3/S5*(197-L33))</f>
        <v>50.863559263073107</v>
      </c>
      <c r="L21" s="7">
        <f>S2*EXP(S3/S5*(221-L33))</f>
        <v>39.533433796681585</v>
      </c>
      <c r="M21" s="7">
        <f>S2*EXP(S3/S5*(245-L33))</f>
        <v>30.727153396267795</v>
      </c>
      <c r="N21" s="7">
        <f>S2*EXP(S3/S5*(269-L33))</f>
        <v>23.882518293086495</v>
      </c>
      <c r="O21" s="7">
        <f>S2*EXP(S3/S5*(293-L33))</f>
        <v>18.562561675136831</v>
      </c>
      <c r="P21" s="8">
        <f>S2*EXP(S3/S5*317-(L33))</f>
        <v>0.69603644196290271</v>
      </c>
      <c r="R21">
        <v>10</v>
      </c>
      <c r="S21">
        <v>62.11</v>
      </c>
      <c r="T21">
        <v>0.62109999999999999</v>
      </c>
      <c r="U21">
        <f>S21*U30/S30</f>
        <v>71.308840413318023</v>
      </c>
      <c r="V21">
        <f t="shared" si="1"/>
        <v>0.7130884041331802</v>
      </c>
    </row>
    <row r="22" spans="1:22" x14ac:dyDescent="0.25">
      <c r="A22" s="37"/>
      <c r="B22" s="11">
        <v>0.54166666666666663</v>
      </c>
      <c r="C22" s="20">
        <f>S2*EXP(S3/S5*6)</f>
        <v>366.18795473876196</v>
      </c>
      <c r="D22" s="7">
        <f>S2*EXP(S3/S5*(30-L33))</f>
        <v>293.72581763462517</v>
      </c>
      <c r="E22" s="7">
        <f>S2*EXP(S3/S5*(54-L33))</f>
        <v>228.29684619151126</v>
      </c>
      <c r="F22" s="7">
        <f>S2*EXP(S3/S5*(78-L33))</f>
        <v>177.4425224200877</v>
      </c>
      <c r="G22" s="7">
        <f>S2*EXP(S3/S5*(102-L33))</f>
        <v>137.91626686069418</v>
      </c>
      <c r="H22" s="7">
        <f>S2*EXP(S3/S5*(126-L33))</f>
        <v>107.19469271158711</v>
      </c>
      <c r="I22" s="7">
        <f>S2*EXP(S3/S5*(150-L33))</f>
        <v>83.316510858998697</v>
      </c>
      <c r="J22" s="7">
        <f>S2*EXP(S3/S5*(174-L33))</f>
        <v>64.757319659420943</v>
      </c>
      <c r="K22" s="7">
        <f>S2*EXP(S3/S5*(198-L33))</f>
        <v>50.332285956733649</v>
      </c>
      <c r="L22" s="7">
        <f>S2*EXP(S3/S5*(222-L33))</f>
        <v>39.120504414852753</v>
      </c>
      <c r="M22" s="7">
        <f>S2*EXP(S3/S5*(246-L33))</f>
        <v>30.406206207047273</v>
      </c>
      <c r="N22" s="7">
        <f>S2*EXP(S3/S5*(270-L33))</f>
        <v>23.633063779066827</v>
      </c>
      <c r="O22" s="7">
        <f>S2*EXP(S3/S5*(294-L33))</f>
        <v>18.368674466727491</v>
      </c>
      <c r="P22" s="8">
        <f>S2*EXP(S3/S5*318-(L33))</f>
        <v>0.68876629439140102</v>
      </c>
      <c r="R22">
        <v>11</v>
      </c>
      <c r="S22">
        <v>65.8</v>
      </c>
      <c r="T22">
        <v>0.65800000000000003</v>
      </c>
      <c r="U22">
        <f>S22*U30/S30</f>
        <v>75.545350172215848</v>
      </c>
      <c r="V22">
        <f t="shared" si="1"/>
        <v>0.75545350172215853</v>
      </c>
    </row>
    <row r="23" spans="1:22" x14ac:dyDescent="0.25">
      <c r="A23" s="37"/>
      <c r="B23" s="11">
        <v>0.58333333333333337</v>
      </c>
      <c r="C23" s="15">
        <f>S2*EXP(S3/S5*7)</f>
        <v>362.36309685869253</v>
      </c>
      <c r="D23" s="7">
        <f>S2*EXP(S3/S5*(31-L33))</f>
        <v>290.65783166288259</v>
      </c>
      <c r="E23" s="7">
        <f>S2*EXP(S3/S5*(55-L33))</f>
        <v>225.91227023850504</v>
      </c>
      <c r="F23" s="7">
        <f>S2*EXP(S3/S5*(79-L33))</f>
        <v>175.58912330808781</v>
      </c>
      <c r="G23" s="7">
        <f>S2*EXP(S3/S5*(103-L33))</f>
        <v>136.47572215335063</v>
      </c>
      <c r="H23" s="7">
        <f>S2*EXP(S3/S5*(127-L33))</f>
        <v>106.07503691785126</v>
      </c>
      <c r="I23" s="7">
        <f>S2*EXP(S3/S5*(151-L33))</f>
        <v>82.446264284869102</v>
      </c>
      <c r="J23" s="7">
        <f>S2*EXP(S3/S5*(175-L33))</f>
        <v>64.080925088856191</v>
      </c>
      <c r="K23" s="7">
        <f>S2*EXP(S3/S5*(199-L33))</f>
        <v>49.806561835903793</v>
      </c>
      <c r="L23" s="7">
        <f>S2*EXP(S3/S5*(223-L33))</f>
        <v>38.711888108261824</v>
      </c>
      <c r="M23" s="7">
        <f>S2*EXP(S3/S5*(247-L33))</f>
        <v>30.088611332860307</v>
      </c>
      <c r="N23" s="7">
        <f>S2*EXP(S3/S5*(271-L33))</f>
        <v>23.386214834267335</v>
      </c>
      <c r="O23" s="7">
        <f>S2*EXP(S3/S5*(295-L33))</f>
        <v>18.176812423284215</v>
      </c>
      <c r="P23" s="8">
        <f>S2*EXP(S3/S5*319-(L33))</f>
        <v>0.68157208400152491</v>
      </c>
      <c r="R23">
        <v>12</v>
      </c>
      <c r="S23">
        <v>68.459999999999994</v>
      </c>
      <c r="T23">
        <v>0.68459999999999999</v>
      </c>
      <c r="U23">
        <f>S23*U30/S30</f>
        <v>78.599311136624564</v>
      </c>
      <c r="V23">
        <f t="shared" si="1"/>
        <v>0.78599311136624561</v>
      </c>
    </row>
    <row r="24" spans="1:22" x14ac:dyDescent="0.25">
      <c r="A24" s="37"/>
      <c r="B24" s="11">
        <v>0.625</v>
      </c>
      <c r="C24" s="15">
        <f>S2*EXP(S3/S5*8)</f>
        <v>358.57818987709862</v>
      </c>
      <c r="D24" s="7">
        <f>S2*EXP(S3/S5*(32-L33))</f>
        <v>287.62189101149556</v>
      </c>
      <c r="E24" s="7">
        <f>S2*EXP(S3/S5*(56-L33))</f>
        <v>223.55260134212483</v>
      </c>
      <c r="F24" s="7">
        <f>S2*EXP(S3/S5*(80-L33))</f>
        <v>173.75508307479137</v>
      </c>
      <c r="G24" s="7">
        <f>S2*EXP(S3/S5*(104-L33))</f>
        <v>135.05022403261421</v>
      </c>
      <c r="H24" s="7">
        <f>S2*EXP(S3/S5*(128-L33))</f>
        <v>104.96707600438172</v>
      </c>
      <c r="I24" s="7">
        <f>S2*EXP(S3/S5*(152-L33))</f>
        <v>81.585107494888845</v>
      </c>
      <c r="J24" s="7">
        <f>S2*EXP(S3/S5*(176-L33))</f>
        <v>63.411595505191698</v>
      </c>
      <c r="K24" s="7">
        <f>S2*EXP(S3/S5*(200-L33))</f>
        <v>49.286328938966683</v>
      </c>
      <c r="L24" s="7">
        <f>S2*EXP(S3/S5*(224-L33))</f>
        <v>38.307539826547085</v>
      </c>
      <c r="M24" s="7">
        <f>S2*EXP(S3/S5*(248-L33))</f>
        <v>29.774333758550309</v>
      </c>
      <c r="N24" s="7">
        <f>S2*EXP(S3/S5*(272-L33))</f>
        <v>23.141944243341822</v>
      </c>
      <c r="O24" s="7">
        <f>S2*EXP(S3/S5*(296-L33))</f>
        <v>17.986954391822366</v>
      </c>
      <c r="P24" s="8">
        <f>S2*EXP(S3/S5*320-(L33))</f>
        <v>0.67445301762429133</v>
      </c>
      <c r="R24">
        <v>13</v>
      </c>
      <c r="S24">
        <v>71.5</v>
      </c>
      <c r="T24">
        <v>0.71499999999999997</v>
      </c>
      <c r="U24">
        <f>S24*U30/S30</f>
        <v>82.089552238805979</v>
      </c>
      <c r="V24">
        <f t="shared" si="1"/>
        <v>0.82089552238805974</v>
      </c>
    </row>
    <row r="25" spans="1:22" x14ac:dyDescent="0.25">
      <c r="A25" s="37"/>
      <c r="B25" s="11">
        <v>0.66666666666666663</v>
      </c>
      <c r="C25" s="15">
        <f>S2*EXP(S3/S5*9)</f>
        <v>354.83281650415171</v>
      </c>
      <c r="D25" s="7">
        <f>S2*EXP(S3/S5*(33-L33))</f>
        <v>284.61766096493216</v>
      </c>
      <c r="E25" s="7">
        <f>S2*EXP(S3/S5*(57-L33))</f>
        <v>221.2175793464848</v>
      </c>
      <c r="F25" s="7">
        <f>S2*EXP(S3/S5*(81-L33))</f>
        <v>171.94019951540491</v>
      </c>
      <c r="G25" s="7">
        <f>S2*EXP(S3/S5*(105-L33))</f>
        <v>133.63961533587323</v>
      </c>
      <c r="H25" s="7">
        <f>S2*EXP(S3/S5*(129-L33))</f>
        <v>103.87068781736551</v>
      </c>
      <c r="I25" s="7">
        <f>S2*EXP(S3/S5*(153-L33))</f>
        <v>80.732945545649542</v>
      </c>
      <c r="J25" s="7">
        <f>S2*EXP(S3/S5*(177-L33))</f>
        <v>62.749257114162873</v>
      </c>
      <c r="K25" s="7">
        <f>S2*EXP(S3/S5*(201-L33))</f>
        <v>48.771529909718474</v>
      </c>
      <c r="L25" s="7">
        <f>S2*EXP(S3/S5*(225-L33))</f>
        <v>37.9074149899009</v>
      </c>
      <c r="M25" s="7">
        <f>S2*EXP(S3/S5*(249-L33))</f>
        <v>29.463338834696376</v>
      </c>
      <c r="N25" s="7">
        <f>S2*EXP(S3/S5*(273-L33))</f>
        <v>22.900225075210198</v>
      </c>
      <c r="O25" s="7">
        <f>S2*EXP(S3/S5*(297-L33))</f>
        <v>17.799079440301661</v>
      </c>
      <c r="P25" s="8">
        <f>S2*EXP(S3/S5*321-(L33))</f>
        <v>0.66740831037542148</v>
      </c>
      <c r="R25">
        <v>14</v>
      </c>
      <c r="S25">
        <v>73.61</v>
      </c>
      <c r="T25">
        <v>0.73609999999999998</v>
      </c>
      <c r="U25">
        <f>S25*U30/S30</f>
        <v>84.512055109070033</v>
      </c>
      <c r="V25">
        <f t="shared" si="1"/>
        <v>0.84512055109070028</v>
      </c>
    </row>
    <row r="26" spans="1:22" x14ac:dyDescent="0.25">
      <c r="A26" s="37"/>
      <c r="B26" s="11">
        <v>0.70833333333333337</v>
      </c>
      <c r="C26" s="15">
        <f>S2*EXP(S3/S5*10)</f>
        <v>351.1265638086436</v>
      </c>
      <c r="D26" s="7">
        <f>S2*EXP(S3/S5*(34-L33))</f>
        <v>281.6448103037867</v>
      </c>
      <c r="E26" s="7">
        <f>S2*EXP(S3/S5*(58-L33))</f>
        <v>218.9069468130447</v>
      </c>
      <c r="F26" s="7">
        <f>S2*EXP(S3/S5*(82-L33))</f>
        <v>170.14427253717767</v>
      </c>
      <c r="G26" s="7">
        <f>S2*EXP(S3/S5*(106-L33))</f>
        <v>132.24374054209002</v>
      </c>
      <c r="H26" s="7">
        <f>S2*EXP(S3/S5*(130-L33))</f>
        <v>102.78575147889444</v>
      </c>
      <c r="I26" s="7">
        <f>S2*EXP(S3/S5*(154-L33))</f>
        <v>79.889684485433108</v>
      </c>
      <c r="J26" s="7">
        <f>S2*EXP(S3/S5*(178-L33))</f>
        <v>62.093836892291201</v>
      </c>
      <c r="K26" s="7">
        <f>S2*EXP(S3/S5*(202-L33))</f>
        <v>48.262107991044751</v>
      </c>
      <c r="L26" s="7">
        <f>S2*EXP(S3/S5*(226-L33))</f>
        <v>37.511469484154766</v>
      </c>
      <c r="M26" s="7">
        <f>S2*EXP(S3/S5*(250-L33))</f>
        <v>29.155592273793143</v>
      </c>
      <c r="N26" s="7">
        <f>S2*EXP(S3/S5*(274-L33))</f>
        <v>22.661030680089336</v>
      </c>
      <c r="O26" s="7">
        <f>S2*EXP(S3/S5*(298-L33))</f>
        <v>17.613166855318394</v>
      </c>
      <c r="P26" s="8">
        <f>S2*EXP(S3/S5*322-(L33))</f>
        <v>0.66043718556880548</v>
      </c>
      <c r="R26">
        <v>16</v>
      </c>
      <c r="S26">
        <v>77.790000000000006</v>
      </c>
      <c r="T26">
        <v>0.77790000000000004</v>
      </c>
      <c r="U26">
        <f>S26*U30/S30</f>
        <v>89.311136624569471</v>
      </c>
      <c r="V26">
        <f t="shared" si="1"/>
        <v>0.89311136624569476</v>
      </c>
    </row>
    <row r="27" spans="1:22" x14ac:dyDescent="0.25">
      <c r="A27" s="37"/>
      <c r="B27" s="11">
        <v>0.75</v>
      </c>
      <c r="C27" s="15">
        <f>S2*EXP(S3/S5*11)</f>
        <v>347.45902317246043</v>
      </c>
      <c r="D27" s="7">
        <f>S2*EXP(S3/S5*(35-L33))</f>
        <v>278.7030112682624</v>
      </c>
      <c r="E27" s="7">
        <f>S2*EXP(S3/S5*(59-L33))</f>
        <v>216.62044899222713</v>
      </c>
      <c r="F27" s="7">
        <f>S2*EXP(S3/S5*(83-L33))</f>
        <v>168.3671041373411</v>
      </c>
      <c r="G27" s="7">
        <f>S2*EXP(S3/S5*(107-L33))</f>
        <v>130.86244575465466</v>
      </c>
      <c r="H27" s="7">
        <f>S2*EXP(S3/S5*(131-L33))</f>
        <v>101.71214737363825</v>
      </c>
      <c r="I27" s="7">
        <f>S2*EXP(S3/S5*(155-L33))</f>
        <v>79.055231343853507</v>
      </c>
      <c r="J27" s="7">
        <f>S2*EXP(S3/S5*(179-L33))</f>
        <v>61.445262578833358</v>
      </c>
      <c r="K27" s="7">
        <f>S2*EXP(S3/S5*(203-L33))</f>
        <v>47.758007018662958</v>
      </c>
      <c r="L27" s="7">
        <f>S2*EXP(S3/S5*(227-L33))</f>
        <v>37.119659655915576</v>
      </c>
      <c r="M27" s="7">
        <f>S2*EXP(S3/S5*(251-L33))</f>
        <v>28.851060146470537</v>
      </c>
      <c r="N27" s="7">
        <f>S2*EXP(S3/S5*(275-L33))</f>
        <v>22.4243346865549</v>
      </c>
      <c r="O27" s="7">
        <f>S2*EXP(S3/S5*(299-L33))</f>
        <v>17.429196139821748</v>
      </c>
      <c r="P27" s="8">
        <f>S2*EXP(S3/S5*323-(L33))</f>
        <v>0.65353887463087279</v>
      </c>
      <c r="R27">
        <v>18</v>
      </c>
      <c r="S27">
        <v>81.17</v>
      </c>
      <c r="T27">
        <v>0.81169999999999998</v>
      </c>
      <c r="U27">
        <f>S27*U30/S30</f>
        <v>93.191733639494842</v>
      </c>
      <c r="V27">
        <f t="shared" si="1"/>
        <v>0.93191733639494845</v>
      </c>
    </row>
    <row r="28" spans="1:22" ht="15.75" thickBot="1" x14ac:dyDescent="0.3">
      <c r="A28" s="38"/>
      <c r="B28" s="3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R28">
        <v>20</v>
      </c>
      <c r="S28">
        <v>83.92</v>
      </c>
      <c r="T28">
        <v>0.83919999999999995</v>
      </c>
      <c r="U28">
        <f>S28*U30/S30</f>
        <v>96.349024110218153</v>
      </c>
      <c r="V28">
        <f t="shared" si="1"/>
        <v>0.96349024110218151</v>
      </c>
    </row>
    <row r="29" spans="1:22" x14ac:dyDescent="0.25">
      <c r="R29">
        <v>22</v>
      </c>
      <c r="S29">
        <v>86.15</v>
      </c>
      <c r="T29">
        <v>0.86150000000000004</v>
      </c>
      <c r="U29">
        <f>S29*U30/S30</f>
        <v>98.909299655568319</v>
      </c>
      <c r="V29">
        <f t="shared" si="1"/>
        <v>0.98909299655568317</v>
      </c>
    </row>
    <row r="30" spans="1:22" x14ac:dyDescent="0.25">
      <c r="R30">
        <v>23</v>
      </c>
      <c r="S30">
        <v>87.1</v>
      </c>
      <c r="T30">
        <v>0.871</v>
      </c>
      <c r="U30">
        <v>100</v>
      </c>
      <c r="V30">
        <f t="shared" si="1"/>
        <v>1</v>
      </c>
    </row>
    <row r="31" spans="1:22" x14ac:dyDescent="0.25">
      <c r="R31">
        <v>24</v>
      </c>
      <c r="S31">
        <v>87.96</v>
      </c>
      <c r="T31">
        <v>0.87960000000000005</v>
      </c>
    </row>
    <row r="32" spans="1:22" x14ac:dyDescent="0.25">
      <c r="L32" t="s">
        <v>28</v>
      </c>
      <c r="R32">
        <v>36</v>
      </c>
      <c r="S32">
        <v>93.19</v>
      </c>
      <c r="T32">
        <v>0.93189999999999995</v>
      </c>
    </row>
    <row r="33" spans="1:20" ht="15.75" thickBot="1" x14ac:dyDescent="0.3">
      <c r="L33">
        <v>3</v>
      </c>
      <c r="R33">
        <v>48</v>
      </c>
      <c r="S33">
        <v>95.08</v>
      </c>
      <c r="T33">
        <v>0.95079999999999998</v>
      </c>
    </row>
    <row r="34" spans="1:20" ht="15.75" thickBot="1" x14ac:dyDescent="0.3">
      <c r="B34" s="19"/>
      <c r="C34" s="19" t="s">
        <v>0</v>
      </c>
      <c r="D34" s="13" t="s">
        <v>1</v>
      </c>
      <c r="E34" s="13" t="s">
        <v>2</v>
      </c>
      <c r="F34" s="13" t="s">
        <v>3</v>
      </c>
      <c r="G34" s="13" t="s">
        <v>4</v>
      </c>
      <c r="H34" s="13" t="s">
        <v>5</v>
      </c>
      <c r="I34" s="13" t="s">
        <v>6</v>
      </c>
      <c r="J34" s="13" t="s">
        <v>7</v>
      </c>
      <c r="K34" s="13" t="s">
        <v>8</v>
      </c>
      <c r="L34" s="13" t="s">
        <v>9</v>
      </c>
      <c r="M34" s="13" t="s">
        <v>14</v>
      </c>
      <c r="N34" s="13" t="s">
        <v>15</v>
      </c>
      <c r="O34" s="13" t="s">
        <v>16</v>
      </c>
      <c r="P34" s="14" t="s">
        <v>17</v>
      </c>
      <c r="R34">
        <v>60</v>
      </c>
      <c r="S34">
        <v>95.55</v>
      </c>
      <c r="T34">
        <v>0.95550000000000002</v>
      </c>
    </row>
    <row r="35" spans="1:20" x14ac:dyDescent="0.25">
      <c r="B35" s="17">
        <v>0.29166666666666669</v>
      </c>
      <c r="C35" t="s">
        <v>29</v>
      </c>
      <c r="D35" t="s">
        <v>37</v>
      </c>
      <c r="E35" t="s">
        <v>48</v>
      </c>
      <c r="F35" t="s">
        <v>57</v>
      </c>
      <c r="G35" t="s">
        <v>64</v>
      </c>
      <c r="H35" t="s">
        <v>74</v>
      </c>
      <c r="I35" t="s">
        <v>79</v>
      </c>
      <c r="J35" t="s">
        <v>87</v>
      </c>
      <c r="K35" t="s">
        <v>104</v>
      </c>
      <c r="L35" t="s">
        <v>105</v>
      </c>
      <c r="M35" t="s">
        <v>106</v>
      </c>
      <c r="N35" t="s">
        <v>107</v>
      </c>
      <c r="O35" t="s">
        <v>114</v>
      </c>
      <c r="P35" t="s">
        <v>121</v>
      </c>
      <c r="R35">
        <v>72</v>
      </c>
      <c r="S35">
        <v>95.6</v>
      </c>
      <c r="T35">
        <v>0.95599999999999996</v>
      </c>
    </row>
    <row r="36" spans="1:20" x14ac:dyDescent="0.25">
      <c r="B36" s="17">
        <v>0.33333333333333331</v>
      </c>
      <c r="C36" t="s">
        <v>30</v>
      </c>
      <c r="D36" t="s">
        <v>38</v>
      </c>
      <c r="E36" t="s">
        <v>49</v>
      </c>
      <c r="F36" t="s">
        <v>58</v>
      </c>
      <c r="G36" t="s">
        <v>65</v>
      </c>
      <c r="H36" t="s">
        <v>77</v>
      </c>
      <c r="I36" t="s">
        <v>80</v>
      </c>
      <c r="J36" t="s">
        <v>89</v>
      </c>
      <c r="K36" t="s">
        <v>103</v>
      </c>
      <c r="N36" t="s">
        <v>108</v>
      </c>
      <c r="O36" t="s">
        <v>115</v>
      </c>
      <c r="P36" t="s">
        <v>117</v>
      </c>
    </row>
    <row r="37" spans="1:20" x14ac:dyDescent="0.25">
      <c r="B37" s="17">
        <v>0.375</v>
      </c>
      <c r="C37" t="s">
        <v>31</v>
      </c>
      <c r="D37" t="s">
        <v>39</v>
      </c>
      <c r="E37" t="s">
        <v>50</v>
      </c>
      <c r="F37" t="s">
        <v>59</v>
      </c>
      <c r="G37" t="s">
        <v>66</v>
      </c>
      <c r="H37" t="s">
        <v>75</v>
      </c>
      <c r="I37" t="s">
        <v>81</v>
      </c>
      <c r="J37" t="s">
        <v>90</v>
      </c>
      <c r="K37" t="s">
        <v>98</v>
      </c>
      <c r="N37" t="s">
        <v>111</v>
      </c>
      <c r="O37" t="s">
        <v>116</v>
      </c>
      <c r="P37" t="s">
        <v>118</v>
      </c>
    </row>
    <row r="38" spans="1:20" x14ac:dyDescent="0.25">
      <c r="B38" s="17">
        <v>0.41666666666666669</v>
      </c>
      <c r="C38" t="s">
        <v>32</v>
      </c>
      <c r="D38" t="s">
        <v>40</v>
      </c>
      <c r="E38" t="s">
        <v>51</v>
      </c>
      <c r="F38" t="s">
        <v>60</v>
      </c>
      <c r="G38" t="s">
        <v>67</v>
      </c>
      <c r="H38" t="s">
        <v>78</v>
      </c>
      <c r="I38" t="s">
        <v>82</v>
      </c>
      <c r="J38" t="s">
        <v>95</v>
      </c>
      <c r="K38" t="s">
        <v>99</v>
      </c>
      <c r="N38" t="s">
        <v>109</v>
      </c>
      <c r="P38" t="s">
        <v>120</v>
      </c>
    </row>
    <row r="39" spans="1:20" x14ac:dyDescent="0.25">
      <c r="B39" s="17">
        <v>0.45833333333333331</v>
      </c>
      <c r="C39" t="s">
        <v>33</v>
      </c>
      <c r="D39" t="s">
        <v>41</v>
      </c>
      <c r="E39" t="s">
        <v>56</v>
      </c>
      <c r="F39" t="s">
        <v>61</v>
      </c>
      <c r="G39" t="s">
        <v>68</v>
      </c>
      <c r="H39" t="s">
        <v>76</v>
      </c>
      <c r="I39" t="s">
        <v>83</v>
      </c>
      <c r="J39" t="s">
        <v>96</v>
      </c>
      <c r="K39" t="s">
        <v>100</v>
      </c>
      <c r="N39" t="s">
        <v>110</v>
      </c>
      <c r="P39" t="s">
        <v>119</v>
      </c>
    </row>
    <row r="40" spans="1:20" x14ac:dyDescent="0.25">
      <c r="B40" s="17">
        <v>0.5</v>
      </c>
      <c r="C40" t="s">
        <v>34</v>
      </c>
      <c r="D40" t="s">
        <v>42</v>
      </c>
      <c r="E40" t="s">
        <v>55</v>
      </c>
      <c r="F40" t="s">
        <v>62</v>
      </c>
      <c r="G40" t="s">
        <v>69</v>
      </c>
      <c r="I40" t="s">
        <v>84</v>
      </c>
      <c r="J40" t="s">
        <v>91</v>
      </c>
      <c r="K40" t="s">
        <v>102</v>
      </c>
      <c r="N40" t="s">
        <v>112</v>
      </c>
    </row>
    <row r="41" spans="1:20" x14ac:dyDescent="0.25">
      <c r="B41" s="17">
        <v>0.54166666666666663</v>
      </c>
      <c r="C41" t="s">
        <v>35</v>
      </c>
      <c r="D41" t="s">
        <v>43</v>
      </c>
      <c r="E41" t="s">
        <v>52</v>
      </c>
      <c r="F41" t="s">
        <v>63</v>
      </c>
      <c r="G41" t="s">
        <v>70</v>
      </c>
      <c r="I41" t="s">
        <v>85</v>
      </c>
      <c r="J41" t="s">
        <v>92</v>
      </c>
      <c r="K41" t="s">
        <v>101</v>
      </c>
      <c r="N41" t="s">
        <v>113</v>
      </c>
    </row>
    <row r="42" spans="1:20" x14ac:dyDescent="0.25">
      <c r="B42" s="17">
        <v>0.58333333333333337</v>
      </c>
      <c r="C42" t="s">
        <v>36</v>
      </c>
      <c r="D42" t="s">
        <v>44</v>
      </c>
      <c r="E42" t="s">
        <v>53</v>
      </c>
      <c r="G42" t="s">
        <v>71</v>
      </c>
      <c r="I42" t="s">
        <v>86</v>
      </c>
      <c r="J42" t="s">
        <v>93</v>
      </c>
      <c r="M42" s="7"/>
      <c r="N42" s="7"/>
      <c r="O42" s="7"/>
      <c r="P42" s="8"/>
    </row>
    <row r="43" spans="1:20" x14ac:dyDescent="0.25">
      <c r="B43" s="17">
        <v>0.625</v>
      </c>
      <c r="C43" s="15"/>
      <c r="D43" t="s">
        <v>45</v>
      </c>
      <c r="E43" t="s">
        <v>45</v>
      </c>
      <c r="G43" t="s">
        <v>72</v>
      </c>
      <c r="I43" t="s">
        <v>97</v>
      </c>
      <c r="J43" t="s">
        <v>88</v>
      </c>
      <c r="M43" s="7"/>
      <c r="N43" s="7"/>
      <c r="O43" s="7"/>
      <c r="P43" s="8"/>
    </row>
    <row r="44" spans="1:20" x14ac:dyDescent="0.25">
      <c r="B44" s="17">
        <v>0.66666666666666663</v>
      </c>
      <c r="C44" s="15"/>
      <c r="D44" t="s">
        <v>46</v>
      </c>
      <c r="E44" t="s">
        <v>54</v>
      </c>
      <c r="G44" t="s">
        <v>73</v>
      </c>
      <c r="J44" t="s">
        <v>94</v>
      </c>
      <c r="M44" s="7"/>
      <c r="N44" s="7"/>
      <c r="O44" s="7"/>
      <c r="P44" s="8"/>
    </row>
    <row r="45" spans="1:20" x14ac:dyDescent="0.25">
      <c r="B45" s="17">
        <v>0.70833333333333337</v>
      </c>
      <c r="C45" s="15"/>
      <c r="D45" t="s">
        <v>47</v>
      </c>
      <c r="G45" s="7"/>
      <c r="H45" s="7"/>
      <c r="L45" s="7"/>
      <c r="M45" s="7"/>
      <c r="N45" s="7"/>
      <c r="O45" s="7"/>
      <c r="P45" s="8"/>
    </row>
    <row r="46" spans="1:20" ht="15.75" thickBot="1" x14ac:dyDescent="0.3">
      <c r="B46" s="18">
        <v>0.75</v>
      </c>
      <c r="C46" s="1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</row>
    <row r="47" spans="1:20" x14ac:dyDescent="0.25">
      <c r="B47" s="2"/>
      <c r="C47" s="4">
        <v>155</v>
      </c>
      <c r="D47" s="5">
        <v>250</v>
      </c>
      <c r="E47" s="5">
        <v>225</v>
      </c>
      <c r="F47" s="5">
        <v>150</v>
      </c>
      <c r="G47" s="5">
        <v>135</v>
      </c>
      <c r="H47" s="5">
        <v>95</v>
      </c>
      <c r="I47" s="5">
        <v>115</v>
      </c>
      <c r="J47" s="5">
        <v>75</v>
      </c>
      <c r="K47" s="5">
        <v>63</v>
      </c>
      <c r="L47" s="5">
        <v>25</v>
      </c>
      <c r="M47" s="5">
        <v>25</v>
      </c>
      <c r="N47" s="5">
        <v>55</v>
      </c>
      <c r="O47" s="5">
        <v>11</v>
      </c>
      <c r="P47" s="6">
        <v>38</v>
      </c>
    </row>
    <row r="48" spans="1:20" x14ac:dyDescent="0.25">
      <c r="A48" s="11">
        <v>0.29166666666666669</v>
      </c>
      <c r="B48" s="1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 x14ac:dyDescent="0.25">
      <c r="A49" s="11">
        <v>0.33333333333333331</v>
      </c>
      <c r="B49" s="1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11">
        <v>0.375</v>
      </c>
      <c r="B50" s="1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x14ac:dyDescent="0.25">
      <c r="A51" s="11">
        <v>0.41666666666666669</v>
      </c>
      <c r="B51" s="1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</row>
    <row r="52" spans="1:15" x14ac:dyDescent="0.25">
      <c r="A52" s="11">
        <v>0.45833333333333331</v>
      </c>
      <c r="B52" s="1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</row>
    <row r="53" spans="1:15" x14ac:dyDescent="0.25">
      <c r="A53" s="11">
        <v>0.5</v>
      </c>
      <c r="B53" s="1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</row>
    <row r="54" spans="1:15" x14ac:dyDescent="0.25">
      <c r="A54" s="11">
        <v>0.54166666666666663</v>
      </c>
      <c r="B54" s="1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</row>
    <row r="55" spans="1:15" x14ac:dyDescent="0.25">
      <c r="A55" s="11">
        <v>0.58333333333333337</v>
      </c>
      <c r="B55" s="1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x14ac:dyDescent="0.25">
      <c r="A56" s="11">
        <v>0.625</v>
      </c>
      <c r="B56" s="1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x14ac:dyDescent="0.25">
      <c r="A57" s="11">
        <v>0.66666666666666663</v>
      </c>
      <c r="B57" s="1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5">
      <c r="A58" s="11">
        <v>0.70833333333333337</v>
      </c>
      <c r="B58" s="1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x14ac:dyDescent="0.25">
      <c r="A59" s="11">
        <v>0.75</v>
      </c>
      <c r="B59" s="1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 ht="15.75" thickBot="1" x14ac:dyDescent="0.3">
      <c r="A60" s="3"/>
      <c r="B60" s="1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</sheetData>
  <mergeCells count="2">
    <mergeCell ref="A1:A14"/>
    <mergeCell ref="A15:A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zoomScale="73" zoomScaleNormal="73" workbookViewId="0">
      <selection activeCell="F3" sqref="F3"/>
    </sheetView>
  </sheetViews>
  <sheetFormatPr baseColWidth="10" defaultRowHeight="15" x14ac:dyDescent="0.25"/>
  <cols>
    <col min="12" max="12" width="13" customWidth="1"/>
  </cols>
  <sheetData>
    <row r="1" spans="1:22" ht="15.75" thickBot="1" x14ac:dyDescent="0.3">
      <c r="A1" s="36" t="s">
        <v>19</v>
      </c>
      <c r="B1" s="12" t="s">
        <v>21</v>
      </c>
      <c r="C1" s="13" t="str">
        <f>TEXT(S1, "dddd")</f>
        <v>lunes</v>
      </c>
      <c r="D1" s="13" t="str">
        <f>TEXT(S1+1, "dddd")</f>
        <v>martes</v>
      </c>
      <c r="E1" s="13" t="str">
        <f>TEXT(S1+2, "dddd")</f>
        <v>miércoles</v>
      </c>
      <c r="F1" s="13" t="str">
        <f>TEXT(S1+3, "dddd")</f>
        <v>jueves</v>
      </c>
      <c r="G1" s="13" t="str">
        <f>TEXT(S1+4, "dddd")</f>
        <v>viernes</v>
      </c>
      <c r="H1" s="13" t="str">
        <f>TEXT(S1+5, "dddd")</f>
        <v>sábado</v>
      </c>
      <c r="I1" s="13" t="str">
        <f>TEXT(S1+6, "dddd")</f>
        <v>domingo</v>
      </c>
      <c r="J1" s="13" t="str">
        <f>TEXT(S1+7, "dddd")</f>
        <v>lunes</v>
      </c>
      <c r="K1" s="13" t="str">
        <f>TEXT(S1+8, "dddd")</f>
        <v>martes</v>
      </c>
      <c r="L1" s="13" t="str">
        <f>TEXT(S1+9, "dddd")</f>
        <v>miércoles</v>
      </c>
      <c r="M1" s="13" t="str">
        <f>TEXT(S1+10, "dddd")</f>
        <v>jueves</v>
      </c>
      <c r="N1" s="13" t="str">
        <f>TEXT(S1+11, "dddd")</f>
        <v>viernes</v>
      </c>
      <c r="O1" s="13" t="str">
        <f>TEXT(S1+12, "dddd")</f>
        <v>sábado</v>
      </c>
      <c r="P1" s="14" t="str">
        <f>TEXT(S1+13, "dddd")</f>
        <v>domingo</v>
      </c>
      <c r="R1" t="s">
        <v>18</v>
      </c>
      <c r="S1" s="1">
        <v>42933</v>
      </c>
    </row>
    <row r="2" spans="1:22" ht="15.75" thickBot="1" x14ac:dyDescent="0.3">
      <c r="A2" s="37"/>
      <c r="B2" s="19"/>
      <c r="C2" s="19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14</v>
      </c>
      <c r="N2" s="13" t="s">
        <v>15</v>
      </c>
      <c r="O2" s="13" t="s">
        <v>16</v>
      </c>
      <c r="P2" s="14" t="s">
        <v>17</v>
      </c>
      <c r="R2" t="s">
        <v>10</v>
      </c>
      <c r="S2">
        <v>451</v>
      </c>
    </row>
    <row r="3" spans="1:22" x14ac:dyDescent="0.25">
      <c r="A3" s="37"/>
      <c r="B3" s="17">
        <v>0.29166666666666669</v>
      </c>
      <c r="C3" s="15">
        <f t="shared" ref="C3:P3" si="0">C16</f>
        <v>451</v>
      </c>
      <c r="D3" s="7">
        <f t="shared" si="0"/>
        <v>361.75505512659515</v>
      </c>
      <c r="E3" s="7">
        <f t="shared" si="0"/>
        <v>281.17221306698764</v>
      </c>
      <c r="F3" s="7">
        <f t="shared" si="0"/>
        <v>218.53962309751671</v>
      </c>
      <c r="G3" s="7">
        <f t="shared" si="0"/>
        <v>169.85877211211556</v>
      </c>
      <c r="H3" s="7">
        <f t="shared" si="0"/>
        <v>132.02183683899409</v>
      </c>
      <c r="I3" s="7">
        <f t="shared" si="0"/>
        <v>102.61327799330512</v>
      </c>
      <c r="J3" s="7">
        <f t="shared" si="0"/>
        <v>79.755630376302392</v>
      </c>
      <c r="K3" s="7">
        <f t="shared" si="0"/>
        <v>61.98964404135284</v>
      </c>
      <c r="L3" s="7">
        <f t="shared" si="0"/>
        <v>48.18112464590849</v>
      </c>
      <c r="M3" s="7">
        <f t="shared" si="0"/>
        <v>37.448525605276402</v>
      </c>
      <c r="N3" s="7">
        <f t="shared" si="0"/>
        <v>29.10666947514127</v>
      </c>
      <c r="O3" s="7">
        <f t="shared" si="0"/>
        <v>22.623005692265572</v>
      </c>
      <c r="P3" s="8">
        <f t="shared" si="0"/>
        <v>17.583612133617237</v>
      </c>
      <c r="R3" t="s">
        <v>11</v>
      </c>
      <c r="S3">
        <v>-0.69299999999999995</v>
      </c>
    </row>
    <row r="4" spans="1:22" x14ac:dyDescent="0.25">
      <c r="A4" s="37"/>
      <c r="B4" s="17">
        <v>0.33333333333333331</v>
      </c>
      <c r="C4" s="15">
        <f>C3*EXP(S3/S4*1)</f>
        <v>401.95938872066017</v>
      </c>
      <c r="D4" s="7">
        <f>D3*EXP(S3/S4*1)</f>
        <v>322.4187157988801</v>
      </c>
      <c r="E4" s="7">
        <f>E3*EXP(S3/S4*1)</f>
        <v>250.59825030962654</v>
      </c>
      <c r="F4" s="7">
        <f>F3*EXP(S3/S4*1)</f>
        <v>194.77617142244188</v>
      </c>
      <c r="G4" s="7">
        <f>G3*EXP(S3/S4*1)</f>
        <v>151.38875433930795</v>
      </c>
      <c r="H4" s="7">
        <f>H3*EXP(S3/S4*1)</f>
        <v>117.66611271303947</v>
      </c>
      <c r="I4" s="7">
        <f>I3*EXP(S3/S4*1)</f>
        <v>91.455366955237466</v>
      </c>
      <c r="J4" s="7">
        <f>J3*EXP(S3/S4*1)</f>
        <v>71.083202734122892</v>
      </c>
      <c r="K4" s="7">
        <f>K3*EXP(S3/S4*1)</f>
        <v>55.249045290185151</v>
      </c>
      <c r="L4" s="7">
        <f>L3*EXP(S3/S4*1)</f>
        <v>42.942029735129296</v>
      </c>
      <c r="M4" s="7">
        <f>M3*EXP(S3/S4*1)</f>
        <v>33.376466653629478</v>
      </c>
      <c r="N4" s="7">
        <f>N3*EXP(S3/S4*1)</f>
        <v>25.941683081867147</v>
      </c>
      <c r="O4" s="7">
        <f>O3*EXP(S3/S4*1)</f>
        <v>20.163036672033449</v>
      </c>
      <c r="P4" s="8">
        <f>P3*EXP(S3/S4*1)</f>
        <v>15.671614156829197</v>
      </c>
      <c r="R4" t="s">
        <v>12</v>
      </c>
      <c r="S4">
        <v>6.02</v>
      </c>
    </row>
    <row r="5" spans="1:22" x14ac:dyDescent="0.25">
      <c r="A5" s="37"/>
      <c r="B5" s="17">
        <v>0.375</v>
      </c>
      <c r="C5" s="15">
        <f>C3*EXP(S3/S4*2)</f>
        <v>358.25133077757607</v>
      </c>
      <c r="D5" s="7">
        <f>D3*EXP(S3/S4*2)</f>
        <v>287.35971156234615</v>
      </c>
      <c r="E5" s="7">
        <f>E3*EXP(S3/S4*2)</f>
        <v>223.34882374484366</v>
      </c>
      <c r="F5" s="7">
        <f>F3*EXP(S3/S4*2)</f>
        <v>173.59669800956823</v>
      </c>
      <c r="G5" s="7">
        <f>G3*EXP(S3/S4*2)</f>
        <v>134.92712007408076</v>
      </c>
      <c r="H5" s="7">
        <f>H3*EXP(S3/S4*2)</f>
        <v>104.87139410037616</v>
      </c>
      <c r="I5" s="7">
        <f>I3*EXP(S3/S4*2)</f>
        <v>81.510739238472112</v>
      </c>
      <c r="J5" s="7">
        <f>J3*EXP(S3/S4*2)</f>
        <v>63.353793169212423</v>
      </c>
      <c r="K5" s="7">
        <f>K3*EXP(S3/S4*2)</f>
        <v>49.2414023774787</v>
      </c>
      <c r="L5" s="7">
        <f>L3*EXP(S3/S4*2)</f>
        <v>38.272620893031011</v>
      </c>
      <c r="M5" s="7">
        <f>M3*EXP(S3/S4*2)</f>
        <v>29.747193201215975</v>
      </c>
      <c r="N5" s="7">
        <f>N3*EXP(S3/S4*2)</f>
        <v>23.120849387965439</v>
      </c>
      <c r="O5" s="7">
        <f>O3*EXP(S3/S4*2)</f>
        <v>17.970558526480755</v>
      </c>
      <c r="P5" s="8">
        <f>P3*EXP(S3/S4*2)</f>
        <v>13.967522054867205</v>
      </c>
      <c r="R5" t="s">
        <v>13</v>
      </c>
      <c r="S5">
        <v>66</v>
      </c>
    </row>
    <row r="6" spans="1:22" x14ac:dyDescent="0.25">
      <c r="A6" s="37"/>
      <c r="B6" s="17">
        <v>0.41666666666666669</v>
      </c>
      <c r="C6" s="15">
        <f>C3*EXP(S3/S4*3)</f>
        <v>319.29597766677944</v>
      </c>
      <c r="D6" s="7">
        <f>D3*EXP(S3/S4*3)</f>
        <v>256.11293570409288</v>
      </c>
      <c r="E6" s="7">
        <f>E3*EXP(S3/S4*3)</f>
        <v>199.06243162739653</v>
      </c>
      <c r="F6" s="7">
        <f>F3*EXP(S3/S4*3)</f>
        <v>154.72022752960331</v>
      </c>
      <c r="G6" s="7">
        <f>G3*EXP(S3/S4*3)</f>
        <v>120.25548272021426</v>
      </c>
      <c r="H6" s="7">
        <f>H3*EXP(S3/S4*3)</f>
        <v>93.467941168227625</v>
      </c>
      <c r="I6" s="7">
        <f>I3*EXP(S3/S4*3)</f>
        <v>72.64746545114275</v>
      </c>
      <c r="J6" s="7">
        <f>J3*EXP(S3/S4*3)</f>
        <v>56.464860255946263</v>
      </c>
      <c r="K6" s="7">
        <f>K3*EXP(S3/S4*3)</f>
        <v>43.887015519732607</v>
      </c>
      <c r="L6" s="7">
        <f>L3*EXP(S3/S4*3)</f>
        <v>34.110951882262334</v>
      </c>
      <c r="M6" s="7">
        <f>M3*EXP(S3/S4*3)</f>
        <v>26.512557861011423</v>
      </c>
      <c r="N6" s="7">
        <f>N3*EXP(S3/S4*3)</f>
        <v>20.606746090219598</v>
      </c>
      <c r="O6" s="7">
        <f>O3*EXP(S3/S4*3)</f>
        <v>16.016484967346013</v>
      </c>
      <c r="P6" s="8">
        <f>P3*EXP(S3/S4*3)</f>
        <v>12.448728663230069</v>
      </c>
      <c r="R6" t="s">
        <v>22</v>
      </c>
      <c r="S6">
        <v>21</v>
      </c>
    </row>
    <row r="7" spans="1:22" x14ac:dyDescent="0.25">
      <c r="A7" s="37"/>
      <c r="B7" s="17">
        <v>0.45833333333333331</v>
      </c>
      <c r="C7" s="15">
        <f>C3*EXP(S3/S4*4)</f>
        <v>284.57653215943287</v>
      </c>
      <c r="D7" s="7">
        <f>D3*EXP(S3/S4*4)</f>
        <v>228.26385605115505</v>
      </c>
      <c r="E7" s="7">
        <f>E3*EXP(S3/S4*4)</f>
        <v>177.41688100708762</v>
      </c>
      <c r="F7" s="7">
        <f>F3*EXP(S3/S4*4)</f>
        <v>137.89633720736322</v>
      </c>
      <c r="G7" s="7">
        <f>G3*EXP(S3/S4*4)</f>
        <v>107.17920249340408</v>
      </c>
      <c r="H7" s="7">
        <f>H3*EXP(S3/S4*4)</f>
        <v>83.304471168424399</v>
      </c>
      <c r="I7" s="7">
        <f>I3*EXP(S3/S4*4)</f>
        <v>64.747961873274107</v>
      </c>
      <c r="J7" s="7">
        <f>J3*EXP(S3/S4*4)</f>
        <v>50.325012666691045</v>
      </c>
      <c r="K7" s="7">
        <f>K3*EXP(S3/S4*4)</f>
        <v>39.114851288438679</v>
      </c>
      <c r="L7" s="7">
        <f>L3*EXP(S3/S4*4)</f>
        <v>30.401812344288295</v>
      </c>
      <c r="M7" s="7">
        <f>M3*EXP(S3/S4*4)</f>
        <v>23.629648672357618</v>
      </c>
      <c r="N7" s="7">
        <f>N3*EXP(S3/S4*4)</f>
        <v>18.366020093007812</v>
      </c>
      <c r="O7" s="7">
        <f>O3*EXP(S3/S4*4)</f>
        <v>14.274892476558863</v>
      </c>
      <c r="P7" s="8">
        <f>P3*EXP(S3/S4*4)</f>
        <v>11.095085063905366</v>
      </c>
      <c r="R7" t="s">
        <v>23</v>
      </c>
      <c r="S7">
        <v>7</v>
      </c>
    </row>
    <row r="8" spans="1:22" x14ac:dyDescent="0.25">
      <c r="A8" s="37"/>
      <c r="B8" s="17">
        <v>0.5</v>
      </c>
      <c r="C8" s="15">
        <f>C3*EXP(S3/S4*5)</f>
        <v>253.63239226397107</v>
      </c>
      <c r="D8" s="7">
        <f>D3*EXP(S3/S4*5)</f>
        <v>203.44301562160322</v>
      </c>
      <c r="E8" s="7">
        <f>E3*EXP(S3/S4*5)</f>
        <v>158.12501338876953</v>
      </c>
      <c r="F8" s="7">
        <f>F3*EXP(S3/S4*5)</f>
        <v>122.90183461350277</v>
      </c>
      <c r="G8" s="7">
        <f>G3*EXP(S3/S4*5)</f>
        <v>95.524804252364888</v>
      </c>
      <c r="H8" s="7">
        <f>H3*EXP(S3/S4*5)</f>
        <v>74.246151460216709</v>
      </c>
      <c r="I8" s="7">
        <f>I3*EXP(S3/S4*5)</f>
        <v>57.707430544323444</v>
      </c>
      <c r="J8" s="7">
        <f>J3*EXP(S3/S4*5)</f>
        <v>44.852796738054579</v>
      </c>
      <c r="K8" s="7">
        <f>K3*EXP(S3/S4*5)</f>
        <v>34.861600252328913</v>
      </c>
      <c r="L8" s="7">
        <f>L3*EXP(S3/S4*5)</f>
        <v>27.095995356785689</v>
      </c>
      <c r="M8" s="7">
        <f>M3*EXP(S3/S4*5)</f>
        <v>21.060219813802281</v>
      </c>
      <c r="N8" s="7">
        <f>N3*EXP(S3/S4*5)</f>
        <v>16.36894503285318</v>
      </c>
      <c r="O8" s="7">
        <f>O3*EXP(S3/S4*5)</f>
        <v>12.722676394524949</v>
      </c>
      <c r="P8" s="8">
        <f>P3*EXP(S3/S4*5)</f>
        <v>9.8886332817985103</v>
      </c>
      <c r="R8" t="s">
        <v>24</v>
      </c>
      <c r="S8">
        <v>2017</v>
      </c>
      <c r="T8" s="1">
        <f>DATE(S8,S7,S6)</f>
        <v>42937</v>
      </c>
      <c r="U8" t="str">
        <f>TEXT(T8, "dddd")</f>
        <v>viernes</v>
      </c>
    </row>
    <row r="9" spans="1:22" x14ac:dyDescent="0.25">
      <c r="A9" s="37"/>
      <c r="B9" s="17">
        <v>0.54166666666666663</v>
      </c>
      <c r="C9" s="15">
        <f>C3*EXP(S3/S4*6)</f>
        <v>226.05304069663973</v>
      </c>
      <c r="D9" s="7">
        <f>D3*EXP(S3/S4*6)</f>
        <v>181.32113126108061</v>
      </c>
      <c r="E9" s="7">
        <f>E3*EXP(S3/S4*6)</f>
        <v>140.93089517338362</v>
      </c>
      <c r="F9" s="7">
        <f>F3*EXP(S3/S4*6)</f>
        <v>109.53779670485865</v>
      </c>
      <c r="G9" s="7">
        <f>G3*EXP(S3/S4*6)</f>
        <v>85.137676108517311</v>
      </c>
      <c r="H9" s="7">
        <f>H3*EXP(S3/S4*6)</f>
        <v>66.17281076676332</v>
      </c>
      <c r="I9" s="7">
        <f>I3*EXP(S3/S4*6)</f>
        <v>51.43246897169891</v>
      </c>
      <c r="J9" s="7">
        <f>J3*EXP(S3/S4*6)</f>
        <v>39.975615874147316</v>
      </c>
      <c r="K9" s="7">
        <f>K3*EXP(S3/S4*6)</f>
        <v>31.070837089246439</v>
      </c>
      <c r="L9" s="7">
        <f>L3*EXP(S3/S4*6)</f>
        <v>24.149644635014241</v>
      </c>
      <c r="M9" s="7">
        <f>M3*EXP(S3/S4*6)</f>
        <v>18.77018421879978</v>
      </c>
      <c r="N9" s="7">
        <f>N3*EXP(S3/S4*6)</f>
        <v>14.589026916646898</v>
      </c>
      <c r="O9" s="7">
        <f>O3*EXP(S3/S4*6)</f>
        <v>11.339244404510024</v>
      </c>
      <c r="P9" s="8">
        <f>P3*EXP(S3/S4*6)</f>
        <v>8.8133680470831592</v>
      </c>
    </row>
    <row r="10" spans="1:22" x14ac:dyDescent="0.25">
      <c r="A10" s="37"/>
      <c r="B10" s="17">
        <v>0.58333333333333337</v>
      </c>
      <c r="C10" s="15">
        <f>C3*EXP(S3/S4*7)</f>
        <v>201.47259879571578</v>
      </c>
      <c r="D10" s="7">
        <f>D3*EXP(S3/S4*7)</f>
        <v>161.60472524133601</v>
      </c>
      <c r="E10" s="7">
        <f>E3*EXP(S3/S4*7)</f>
        <v>125.60642234090624</v>
      </c>
      <c r="F10" s="7">
        <f>F3*EXP(S3/S4*7)</f>
        <v>97.626930832135088</v>
      </c>
      <c r="G10" s="7">
        <f>G3*EXP(S3/S4*7)</f>
        <v>75.88001828309794</v>
      </c>
      <c r="H10" s="7">
        <f>H3*EXP(S3/S4*7)</f>
        <v>58.977344935113315</v>
      </c>
      <c r="I10" s="7">
        <f>I3*EXP(S3/S4*7)</f>
        <v>45.839831016094038</v>
      </c>
      <c r="J10" s="7">
        <f>J3*EXP(S3/S4*7)</f>
        <v>35.628767451228768</v>
      </c>
      <c r="K10" s="7">
        <f>K3*EXP(S3/S4*7)</f>
        <v>27.692272025349698</v>
      </c>
      <c r="L10" s="7">
        <f>L3*EXP(S3/S4*7)</f>
        <v>21.523672716876927</v>
      </c>
      <c r="M10" s="7">
        <f>M3*EXP(S3/S4*7)</f>
        <v>16.729161363110734</v>
      </c>
      <c r="N10" s="7">
        <f>N3*EXP(S3/S4*7)</f>
        <v>13.002652641784133</v>
      </c>
      <c r="O10" s="7">
        <f>O3*EXP(S3/S4*7)</f>
        <v>10.106243346765002</v>
      </c>
      <c r="P10" s="8">
        <f>P3*EXP(S3/S4*7)</f>
        <v>7.8550244629173953</v>
      </c>
    </row>
    <row r="11" spans="1:22" x14ac:dyDescent="0.25">
      <c r="A11" s="37"/>
      <c r="B11" s="17">
        <v>0.625</v>
      </c>
      <c r="C11" s="15">
        <f>C3*EXP(S3/S4*8)</f>
        <v>179.56497262946507</v>
      </c>
      <c r="D11" s="7">
        <f>D3*EXP(S3/S4*8)</f>
        <v>144.03223186779974</v>
      </c>
      <c r="E11" s="7">
        <f>E3*EXP(S3/S4*8)</f>
        <v>111.94829433157373</v>
      </c>
      <c r="F11" s="7">
        <f>F3*EXP(S3/S4*8)</f>
        <v>87.011222705009303</v>
      </c>
      <c r="G11" s="7">
        <f>G3*EXP(S3/S4*8)</f>
        <v>67.629015000413688</v>
      </c>
      <c r="H11" s="7">
        <f>H3*EXP(S3/S4*8)</f>
        <v>52.564296049857376</v>
      </c>
      <c r="I11" s="7">
        <f>I3*EXP(S3/S4*8)</f>
        <v>40.855322515049942</v>
      </c>
      <c r="J11" s="7">
        <f>J3*EXP(S3/S4*8)</f>
        <v>31.754584446932309</v>
      </c>
      <c r="K11" s="7">
        <f>K3*EXP(S3/S4*8)</f>
        <v>24.681083670944133</v>
      </c>
      <c r="L11" s="7">
        <f>L3*EXP(S3/S4*8)</f>
        <v>19.183242413080716</v>
      </c>
      <c r="M11" s="7">
        <f>M3*EXP(S3/S4*8)</f>
        <v>14.910074224668023</v>
      </c>
      <c r="N11" s="7">
        <f>N3*EXP(S3/S4*8)</f>
        <v>11.588776735340639</v>
      </c>
      <c r="O11" s="7">
        <f>O3*EXP(S3/S4*8)</f>
        <v>9.0073157381993347</v>
      </c>
      <c r="P11" s="8">
        <f>P3*EXP(S3/S4*8)</f>
        <v>7.0008887616410398</v>
      </c>
      <c r="R11" t="s">
        <v>25</v>
      </c>
      <c r="S11" t="s">
        <v>26</v>
      </c>
      <c r="T11" t="s">
        <v>27</v>
      </c>
    </row>
    <row r="12" spans="1:22" x14ac:dyDescent="0.25">
      <c r="A12" s="37"/>
      <c r="B12" s="17">
        <v>0.66666666666666663</v>
      </c>
      <c r="C12" s="15">
        <f>C3*EXP(S3/S4*9)</f>
        <v>160.03952690417265</v>
      </c>
      <c r="D12" s="7">
        <f>D3*EXP(S3/S4*9)</f>
        <v>128.37052744490728</v>
      </c>
      <c r="E12" s="7">
        <f>E3*EXP(S3/S4*9)</f>
        <v>99.775316979689421</v>
      </c>
      <c r="F12" s="7">
        <f>F3*EXP(S3/S4*9)</f>
        <v>77.549840111624775</v>
      </c>
      <c r="G12" s="7">
        <f>G3*EXP(S3/S4*9)</f>
        <v>60.275205164848444</v>
      </c>
      <c r="H12" s="7">
        <f>H3*EXP(S3/S4*9)</f>
        <v>46.848586050404627</v>
      </c>
      <c r="I12" s="7">
        <f>I3*EXP(S3/S4*9)</f>
        <v>36.412816993647233</v>
      </c>
      <c r="J12" s="7">
        <f>J3*EXP(S3/S4*9)</f>
        <v>28.301670406579813</v>
      </c>
      <c r="K12" s="7">
        <f>K3*EXP(S3/S4*9)</f>
        <v>21.997324402075773</v>
      </c>
      <c r="L12" s="7">
        <f>L3*EXP(S3/S4*9)</f>
        <v>17.09730464310902</v>
      </c>
      <c r="M12" s="7">
        <f>M3*EXP(S3/S4*9)</f>
        <v>13.288790069018249</v>
      </c>
      <c r="N12" s="7">
        <f>N3*EXP(S3/S4*9)</f>
        <v>10.3286421564473</v>
      </c>
      <c r="O12" s="7">
        <f>O3*EXP(S3/S4*9)</f>
        <v>8.0278827674957576</v>
      </c>
      <c r="P12" s="8">
        <f>P3*EXP(S3/S4*9)</f>
        <v>6.2396296388704489</v>
      </c>
      <c r="R12">
        <v>1</v>
      </c>
      <c r="S12">
        <v>9.51</v>
      </c>
      <c r="T12">
        <v>9.5100000000000004E-2</v>
      </c>
      <c r="U12">
        <f>S12*U30/S30</f>
        <v>10.918484500574053</v>
      </c>
      <c r="V12">
        <f t="shared" ref="V12:V30" si="1">U12/100</f>
        <v>0.10918484500574052</v>
      </c>
    </row>
    <row r="13" spans="1:22" x14ac:dyDescent="0.25">
      <c r="A13" s="37"/>
      <c r="B13" s="17">
        <v>0.70833333333333337</v>
      </c>
      <c r="C13" s="15">
        <f>C3*EXP(S3/S4*10)</f>
        <v>142.63722928058732</v>
      </c>
      <c r="D13" s="7">
        <f>D3*EXP(S3/S4*10)</f>
        <v>114.41183756430965</v>
      </c>
      <c r="E13" s="7">
        <f>E3*EXP(S3/S4*10)</f>
        <v>88.925998719658679</v>
      </c>
      <c r="F13" s="7">
        <f>F3*EXP(S3/S4*10)</f>
        <v>69.117264582380542</v>
      </c>
      <c r="G13" s="7">
        <f>G3*EXP(S3/S4*10)</f>
        <v>53.721030206374408</v>
      </c>
      <c r="H13" s="7">
        <f>H3*EXP(S3/S4*10)</f>
        <v>41.754388051547423</v>
      </c>
      <c r="I13" s="7">
        <f>I3*EXP(S3/S4*10)</f>
        <v>32.453378404354119</v>
      </c>
      <c r="J13" s="7">
        <f>J3*EXP(S3/S4*10)</f>
        <v>25.224217597344609</v>
      </c>
      <c r="K13" s="7">
        <f>K3*EXP(S3/S4*10)</f>
        <v>19.605390399442211</v>
      </c>
      <c r="L13" s="7">
        <f>L3*EXP(S3/S4*10)</f>
        <v>15.238186525753893</v>
      </c>
      <c r="M13" s="7">
        <f>M3*EXP(S3/S4*10)</f>
        <v>11.843800294855331</v>
      </c>
      <c r="N13" s="7">
        <f>N3*EXP(S3/S4*10)</f>
        <v>9.2055314579157361</v>
      </c>
      <c r="O13" s="7">
        <f>O3*EXP(S3/S4*10)</f>
        <v>7.1549508867931619</v>
      </c>
      <c r="P13" s="8">
        <f>P3*EXP(S3/S4*10)</f>
        <v>5.5611479279017271</v>
      </c>
      <c r="R13">
        <v>2</v>
      </c>
      <c r="S13">
        <v>18.079999999999998</v>
      </c>
      <c r="T13">
        <v>0.18079999999999999</v>
      </c>
      <c r="U13">
        <f>S13*U30/S30</f>
        <v>20.757749712973592</v>
      </c>
      <c r="V13">
        <f t="shared" si="1"/>
        <v>0.20757749712973592</v>
      </c>
    </row>
    <row r="14" spans="1:22" ht="15.75" thickBot="1" x14ac:dyDescent="0.3">
      <c r="A14" s="38"/>
      <c r="B14" s="18">
        <v>0.75</v>
      </c>
      <c r="C14" s="16">
        <f>C3*EXP(S3/S4*11)</f>
        <v>127.12721394774617</v>
      </c>
      <c r="D14" s="9">
        <f>D3*EXP(S3/S4*11)</f>
        <v>101.97098068682344</v>
      </c>
      <c r="E14" s="9">
        <f>E3*EXP(S3/S4*11)</f>
        <v>79.25640817456366</v>
      </c>
      <c r="F14" s="9">
        <f>F3*EXP(S3/S4*11)</f>
        <v>61.601626211924206</v>
      </c>
      <c r="G14" s="9">
        <f>G3*EXP(S3/S4*11)</f>
        <v>47.87953982970815</v>
      </c>
      <c r="H14" s="9">
        <f>H3*EXP(S3/S4*11)</f>
        <v>37.214120393803192</v>
      </c>
      <c r="I14" s="9">
        <f>I3*EXP(S3/S4*11)</f>
        <v>28.924479257947791</v>
      </c>
      <c r="J14" s="9">
        <f>J3*EXP(S3/S4*11)</f>
        <v>22.481399304624297</v>
      </c>
      <c r="K14" s="9">
        <f>K3*EXP(S3/S4*11)</f>
        <v>17.473549313946101</v>
      </c>
      <c r="L14" s="9">
        <f>L3*EXP(S3/S4*11)</f>
        <v>13.581224259652849</v>
      </c>
      <c r="M14" s="9">
        <f>M3*EXP(S3/S4*11)</f>
        <v>10.555935092349499</v>
      </c>
      <c r="N14" s="9">
        <f>N3*EXP(S3/S4*11)</f>
        <v>8.204545005925981</v>
      </c>
      <c r="O14" s="9">
        <f>O3*EXP(S3/S4*11)</f>
        <v>6.3769394341058199</v>
      </c>
      <c r="P14" s="10">
        <f>P3*EXP(S3/S4*11)</f>
        <v>4.9564426201431129</v>
      </c>
      <c r="R14">
        <v>3</v>
      </c>
      <c r="S14">
        <v>25.79</v>
      </c>
      <c r="T14">
        <v>0.25790000000000002</v>
      </c>
      <c r="U14">
        <f>S14*U30/S30</f>
        <v>29.609644087256029</v>
      </c>
      <c r="V14">
        <f t="shared" si="1"/>
        <v>0.29609644087256032</v>
      </c>
    </row>
    <row r="15" spans="1:22" x14ac:dyDescent="0.25">
      <c r="A15" s="36" t="s">
        <v>20</v>
      </c>
      <c r="B15" s="2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R15">
        <v>4</v>
      </c>
      <c r="S15">
        <v>32.74</v>
      </c>
      <c r="T15">
        <v>0.32740000000000002</v>
      </c>
      <c r="U15">
        <f>S15*U30/S30</f>
        <v>37.588978185993113</v>
      </c>
      <c r="V15">
        <f t="shared" si="1"/>
        <v>0.37588978185993116</v>
      </c>
    </row>
    <row r="16" spans="1:22" x14ac:dyDescent="0.25">
      <c r="A16" s="37"/>
      <c r="B16" s="11">
        <v>0.29166666666666669</v>
      </c>
      <c r="C16" s="21">
        <f>S2*EXP(S3/S5*0)</f>
        <v>451</v>
      </c>
      <c r="D16" s="7">
        <f>S2*EXP(S3/S5*(24-Q28))</f>
        <v>361.75505512659515</v>
      </c>
      <c r="E16" s="7">
        <f>S2*EXP(S3/S5*(48-Q28))</f>
        <v>281.17221306698764</v>
      </c>
      <c r="F16" s="7">
        <f>S2*EXP(S3/S5*(72-Q28))</f>
        <v>218.53962309751671</v>
      </c>
      <c r="G16" s="7">
        <f>S2*EXP(S3/S5*(96-Q28))</f>
        <v>169.85877211211556</v>
      </c>
      <c r="H16" s="7">
        <f>S2*EXP(S3/S5*(120-Q28))</f>
        <v>132.02183683899409</v>
      </c>
      <c r="I16" s="7">
        <f>S2*EXP(S3/S5*(144-Q28))</f>
        <v>102.61327799330512</v>
      </c>
      <c r="J16" s="7">
        <f>S2*EXP(S3/S5*(168-Q28))</f>
        <v>79.755630376302392</v>
      </c>
      <c r="K16" s="7">
        <f>S2*EXP(S3/S5*(192-Q28))</f>
        <v>61.98964404135284</v>
      </c>
      <c r="L16" s="7">
        <f>S2*EXP(S3/S5*(216-Q28))</f>
        <v>48.18112464590849</v>
      </c>
      <c r="M16" s="7">
        <f>S2*EXP(S3/S5*(240-Q28))</f>
        <v>37.448525605276402</v>
      </c>
      <c r="N16" s="7">
        <f>S2*EXP(S3/S5*(264-Q28))</f>
        <v>29.10666947514127</v>
      </c>
      <c r="O16" s="7">
        <f>S2*EXP(S3/S5*(288-Q28))</f>
        <v>22.623005692265572</v>
      </c>
      <c r="P16" s="8">
        <f>S2*EXP(S3/S5*(312-Q28))</f>
        <v>17.583612133617237</v>
      </c>
      <c r="R16">
        <v>5</v>
      </c>
      <c r="S16">
        <v>39</v>
      </c>
      <c r="T16">
        <v>0.39</v>
      </c>
      <c r="U16">
        <f>S16*U30/S30</f>
        <v>44.776119402985074</v>
      </c>
      <c r="V16">
        <f t="shared" si="1"/>
        <v>0.44776119402985076</v>
      </c>
    </row>
    <row r="17" spans="1:22" x14ac:dyDescent="0.25">
      <c r="A17" s="37"/>
      <c r="B17" s="11">
        <v>0.33333333333333331</v>
      </c>
      <c r="C17" s="15">
        <f>S2*EXP(S3/S5*1)</f>
        <v>446.28927458812257</v>
      </c>
      <c r="D17" s="7">
        <f>S2*EXP(S3/S5*(25-Q28))</f>
        <v>357.9764991818945</v>
      </c>
      <c r="E17" s="7">
        <f>S2*EXP(S3/S5*(49-Q28))</f>
        <v>278.23535034146994</v>
      </c>
      <c r="F17" s="7">
        <f>S2*EXP(S3/S5*(73-Q28))</f>
        <v>216.25696199767728</v>
      </c>
      <c r="G17" s="7">
        <f>S2*EXP(S3/S5*(97-Q28))</f>
        <v>168.08458578347069</v>
      </c>
      <c r="H17" s="7">
        <f>S2*EXP(S3/S5*(121-Q28))</f>
        <v>130.64285985070097</v>
      </c>
      <c r="I17" s="7">
        <f>S2*EXP(S3/S5*(145-Q28))</f>
        <v>101.54147538523613</v>
      </c>
      <c r="J17" s="7">
        <f>S2*EXP(S3/S5*(169-Q28))</f>
        <v>78.922577438932194</v>
      </c>
      <c r="K17" s="7">
        <f>S2*EXP(S3/S5*(193-Q28))</f>
        <v>61.342158029248985</v>
      </c>
      <c r="L17" s="7">
        <f>S2*EXP(S3/S5*(217-Q28))</f>
        <v>47.677869550027523</v>
      </c>
      <c r="M17" s="7">
        <f>S2*EXP(S3/S5*(241-Q28))</f>
        <v>37.057373230096537</v>
      </c>
      <c r="N17" s="7">
        <f>S2*EXP(S3/S5*(265-Q28))</f>
        <v>28.802648349749553</v>
      </c>
      <c r="O17" s="7">
        <f>S2*EXP(S3/S5*(289-Q28))</f>
        <v>22.386706872293061</v>
      </c>
      <c r="P17" s="8">
        <f>S2*EXP(S3/S5*(313-Q28))</f>
        <v>17.3999501191817</v>
      </c>
      <c r="R17">
        <v>6</v>
      </c>
      <c r="S17">
        <v>44.63</v>
      </c>
      <c r="T17">
        <v>0.44629999999999997</v>
      </c>
      <c r="U17">
        <f>S17*U30/S30</f>
        <v>51.239954075774975</v>
      </c>
      <c r="V17">
        <f t="shared" si="1"/>
        <v>0.51239954075774974</v>
      </c>
    </row>
    <row r="18" spans="1:22" x14ac:dyDescent="0.25">
      <c r="A18" s="37"/>
      <c r="B18" s="11">
        <v>0.375</v>
      </c>
      <c r="C18" s="15">
        <f>S2*EXP(S3/S5*2)</f>
        <v>441.62775302082628</v>
      </c>
      <c r="D18" s="7">
        <f>S2*EXP(S3/S5*(26-Q28))</f>
        <v>354.23741050883223</v>
      </c>
      <c r="E18" s="7">
        <f>S2*EXP(S3/S5*(50-Q28))</f>
        <v>275.32916334515909</v>
      </c>
      <c r="F18" s="7">
        <f>S2*EXP(S3/S5*(74-Q28))</f>
        <v>213.99814344695025</v>
      </c>
      <c r="G18" s="7">
        <f>S2*EXP(S3/S5*(98-Q28))</f>
        <v>166.32893095066564</v>
      </c>
      <c r="H18" s="7">
        <f>S2*EXP(S3/S5*(122-Q28))</f>
        <v>129.27828637003796</v>
      </c>
      <c r="I18" s="7">
        <f>S2*EXP(S3/S5*(146-Q28))</f>
        <v>100.48086782768236</v>
      </c>
      <c r="J18" s="7">
        <f>S2*EXP(S3/S5*(170-Q28))</f>
        <v>78.098225795667361</v>
      </c>
      <c r="K18" s="7">
        <f>S2*EXP(S3/S5*(194-Q28))</f>
        <v>60.701435052202903</v>
      </c>
      <c r="L18" s="7">
        <f>S2*EXP(S3/S5*(218-Q28))</f>
        <v>47.179870987558587</v>
      </c>
      <c r="M18" s="7">
        <f>S2*EXP(S3/S5*(242-Q28))</f>
        <v>36.670306467851653</v>
      </c>
      <c r="N18" s="7">
        <f>S2*EXP(S3/S5*(266-Q28))</f>
        <v>28.501802745513338</v>
      </c>
      <c r="O18" s="7">
        <f>S2*EXP(S3/S5*(290-Q28))</f>
        <v>22.152876209429284</v>
      </c>
      <c r="P18" s="8">
        <f>S2*EXP(S3/S5*(314-Q28))</f>
        <v>17.218206466871649</v>
      </c>
      <c r="R18">
        <v>7</v>
      </c>
      <c r="S18">
        <v>49.71</v>
      </c>
      <c r="T18">
        <v>0.49709999999999999</v>
      </c>
      <c r="U18">
        <f>S18*U30/S30</f>
        <v>57.072330654420213</v>
      </c>
      <c r="V18">
        <f t="shared" si="1"/>
        <v>0.57072330654420211</v>
      </c>
    </row>
    <row r="19" spans="1:22" x14ac:dyDescent="0.25">
      <c r="A19" s="37"/>
      <c r="B19" s="11">
        <v>0.41666666666666669</v>
      </c>
      <c r="C19" s="15">
        <f>S2*EXP(S3/S5*3)</f>
        <v>437.01492136063661</v>
      </c>
      <c r="D19" s="7">
        <f>S2*EXP(S3/S5*(27-Q28))</f>
        <v>350.53737686909471</v>
      </c>
      <c r="E19" s="7">
        <f>S2*EXP(S3/S5*(51-Q28))</f>
        <v>272.45333166799497</v>
      </c>
      <c r="F19" s="7">
        <f>S2*EXP(S3/S5*(75-Q28))</f>
        <v>211.76291840830248</v>
      </c>
      <c r="G19" s="7">
        <f>S2*EXP(S3/S5*(99-Q28))</f>
        <v>164.59161405097669</v>
      </c>
      <c r="H19" s="7">
        <f>S2*EXP(S3/S5*(123-Q28))</f>
        <v>127.92796595139647</v>
      </c>
      <c r="I19" s="7">
        <f>S2*EXP(S3/S5*(147-Q28))</f>
        <v>99.431338387586209</v>
      </c>
      <c r="J19" s="7">
        <f>S2*EXP(S3/S5*(171-Q28))</f>
        <v>77.282484560904194</v>
      </c>
      <c r="K19" s="7">
        <f>S2*EXP(S3/S5*(195-Q28))</f>
        <v>60.067404469857337</v>
      </c>
      <c r="L19" s="7">
        <f>S2*EXP(S3/S5*(219-Q28))</f>
        <v>46.687074053655721</v>
      </c>
      <c r="M19" s="7">
        <f>S2*EXP(S3/S5*(243-Q28))</f>
        <v>36.287282644039145</v>
      </c>
      <c r="N19" s="7">
        <f>S2*EXP(S3/S5*(267-Q28))</f>
        <v>28.204099493900017</v>
      </c>
      <c r="O19" s="7">
        <f>S2*EXP(S3/S5*(291-Q28))</f>
        <v>21.921487923606815</v>
      </c>
      <c r="P19" s="8">
        <f>S2*EXP(S3/S5*(315-Q28))</f>
        <v>17.038361139265341</v>
      </c>
      <c r="R19">
        <v>8</v>
      </c>
      <c r="S19">
        <v>54.28</v>
      </c>
      <c r="T19">
        <v>0.54279999999999995</v>
      </c>
      <c r="U19">
        <f>S19*U30/S30</f>
        <v>62.319173363949488</v>
      </c>
      <c r="V19">
        <f t="shared" si="1"/>
        <v>0.62319173363949487</v>
      </c>
    </row>
    <row r="20" spans="1:22" x14ac:dyDescent="0.25">
      <c r="A20" s="37"/>
      <c r="B20" s="11">
        <v>0.45833333333333331</v>
      </c>
      <c r="C20" s="15">
        <f>S2*EXP(S3/S5*4)</f>
        <v>432.45027103819052</v>
      </c>
      <c r="D20" s="7">
        <f>S2*EXP(S3/S5*(28-Q28))</f>
        <v>346.87599033022531</v>
      </c>
      <c r="E20" s="7">
        <f>S2*EXP(S3/S5*(52-Q28))</f>
        <v>269.60753824662231</v>
      </c>
      <c r="F20" s="7">
        <f>S2*EXP(S3/S5*(76-Q28))</f>
        <v>209.55104044590931</v>
      </c>
      <c r="G20" s="7">
        <f>S2*EXP(S3/S5*(100-Q28))</f>
        <v>162.87244354345592</v>
      </c>
      <c r="H20" s="7">
        <f>S2*EXP(S3/S5*(124-Q28))</f>
        <v>126.59174972058263</v>
      </c>
      <c r="I20" s="7">
        <f>S2*EXP(S3/S5*(148-Q28))</f>
        <v>98.392771353263839</v>
      </c>
      <c r="J20" s="7">
        <f>S2*EXP(S3/S5*(172-Q28))</f>
        <v>76.475263798345267</v>
      </c>
      <c r="K20" s="7">
        <f>S2*EXP(S3/S5*(196-Q28))</f>
        <v>59.439996379698414</v>
      </c>
      <c r="L20" s="7">
        <f>S2*EXP(S3/S5*(220-Q28))</f>
        <v>46.199424416957811</v>
      </c>
      <c r="M20" s="7">
        <f>S2*EXP(S3/S5*(244-Q28))</f>
        <v>35.908259529894458</v>
      </c>
      <c r="N20" s="7">
        <f>S2*EXP(S3/S5*(268-Q28))</f>
        <v>27.909505772824549</v>
      </c>
      <c r="O20" s="7">
        <f>S2*EXP(S3/S5*(292-Q28))</f>
        <v>21.692516504032763</v>
      </c>
      <c r="P20" s="8">
        <f>S2*EXP(S3/S5*(316-Q28))</f>
        <v>16.860394308233232</v>
      </c>
      <c r="R20">
        <v>9</v>
      </c>
      <c r="S20">
        <v>58.4</v>
      </c>
      <c r="T20">
        <v>0.58399999999999996</v>
      </c>
      <c r="U20">
        <f>S20*U30/S30</f>
        <v>67.049368541905864</v>
      </c>
      <c r="V20">
        <f t="shared" si="1"/>
        <v>0.67049368541905863</v>
      </c>
    </row>
    <row r="21" spans="1:22" x14ac:dyDescent="0.25">
      <c r="A21" s="37"/>
      <c r="B21" s="11">
        <v>0.5</v>
      </c>
      <c r="C21" s="15">
        <f>S2*EXP(S3/S5*5)</f>
        <v>427.93329879616635</v>
      </c>
      <c r="D21" s="7">
        <f>S2*EXP(S3/S5*(29-Q28))</f>
        <v>343.25284722064936</v>
      </c>
      <c r="E21" s="7">
        <f>S2*EXP(S3/S5*(53-Q28))</f>
        <v>266.7914693294336</v>
      </c>
      <c r="F21" s="7">
        <f>S2*EXP(S3/S5*(77-Q28))</f>
        <v>207.36226569798492</v>
      </c>
      <c r="G21" s="7">
        <f>S2*EXP(S3/S5*(101-Q28))</f>
        <v>161.17122988781352</v>
      </c>
      <c r="H21" s="7">
        <f>S2*EXP(S3/S5*(125-Q28))</f>
        <v>125.26949035840352</v>
      </c>
      <c r="I21" s="7">
        <f>S2*EXP(S3/S5*(149-Q28))</f>
        <v>97.365052221647701</v>
      </c>
      <c r="J21" s="7">
        <f>S2*EXP(S3/S5*(173-Q28))</f>
        <v>75.676474511083839</v>
      </c>
      <c r="K21" s="7">
        <f>S2*EXP(S3/S5*(197-Q28))</f>
        <v>58.819141609348648</v>
      </c>
      <c r="L21" s="7">
        <f>S2*EXP(S3/S5*(221-Q28))</f>
        <v>45.716868313598447</v>
      </c>
      <c r="M21" s="7">
        <f>S2*EXP(S3/S5*(245-Q28))</f>
        <v>35.533195337735322</v>
      </c>
      <c r="N21" s="7">
        <f>S2*EXP(S3/S5*(269-Q28))</f>
        <v>27.617989103030791</v>
      </c>
      <c r="O21" s="7">
        <f>S2*EXP(S3/S5*(293-Q28))</f>
        <v>21.465936706376183</v>
      </c>
      <c r="P21" s="8">
        <f>S2*EXP(S3/S5*(317-Q28))</f>
        <v>16.684286352751929</v>
      </c>
      <c r="R21">
        <v>10</v>
      </c>
      <c r="S21">
        <v>62.11</v>
      </c>
      <c r="T21">
        <v>0.62109999999999999</v>
      </c>
      <c r="U21">
        <f>S21*U30/S30</f>
        <v>71.308840413318023</v>
      </c>
      <c r="V21">
        <f t="shared" si="1"/>
        <v>0.7130884041331802</v>
      </c>
    </row>
    <row r="22" spans="1:22" x14ac:dyDescent="0.25">
      <c r="A22" s="37"/>
      <c r="B22" s="11">
        <v>0.54166666666666663</v>
      </c>
      <c r="C22" s="22">
        <f>S2*EXP(S3/S5*6)</f>
        <v>423.46350663379906</v>
      </c>
      <c r="D22" s="7">
        <f>S2*EXP(S3/S5*(30-Q28))</f>
        <v>339.66754808516907</v>
      </c>
      <c r="E22" s="7">
        <f>S2*EXP(S3/S5*(54-Q28))</f>
        <v>264.0048144419784</v>
      </c>
      <c r="F22" s="7">
        <f>S2*EXP(S3/S5*(78-Q28))</f>
        <v>205.19635284989627</v>
      </c>
      <c r="G22" s="7">
        <f>S2*EXP(S3/S5*(102-Q28))</f>
        <v>159.4877855235207</v>
      </c>
      <c r="H22" s="7">
        <f>S2*EXP(S3/S5*(126-Q28))</f>
        <v>123.9610420844251</v>
      </c>
      <c r="I22" s="7">
        <f>S2*EXP(S3/S5*(150-Q28))</f>
        <v>96.348067685662585</v>
      </c>
      <c r="J22" s="7">
        <f>S2*EXP(S3/S5*(174-Q28))</f>
        <v>74.886028631791916</v>
      </c>
      <c r="K22" s="7">
        <f>S2*EXP(S3/S5*(198-Q28))</f>
        <v>58.204771708940712</v>
      </c>
      <c r="L22" s="7">
        <f>S2*EXP(S3/S5*(222-Q28))</f>
        <v>45.239352541278436</v>
      </c>
      <c r="M22" s="7">
        <f>S2*EXP(S3/S5*(246-Q28))</f>
        <v>35.162048716354668</v>
      </c>
      <c r="N22" s="7">
        <f>S2*EXP(S3/S5*(270-Q28))</f>
        <v>27.329517344510613</v>
      </c>
      <c r="O22" s="7">
        <f>S2*EXP(S3/S5*(294-Q28))</f>
        <v>21.241723549984865</v>
      </c>
      <c r="P22" s="8">
        <f>S2*EXP(S3/S5*(318-Q28))</f>
        <v>16.510017856740959</v>
      </c>
      <c r="R22">
        <v>11</v>
      </c>
      <c r="S22">
        <v>65.8</v>
      </c>
      <c r="T22">
        <v>0.65800000000000003</v>
      </c>
      <c r="U22">
        <f>S22*U30/S30</f>
        <v>75.545350172215848</v>
      </c>
      <c r="V22">
        <f t="shared" si="1"/>
        <v>0.75545350172215853</v>
      </c>
    </row>
    <row r="23" spans="1:22" x14ac:dyDescent="0.25">
      <c r="A23" s="37"/>
      <c r="B23" s="11">
        <v>0.58333333333333337</v>
      </c>
      <c r="C23" s="20">
        <f>S2*EXP(S3/S5*7)</f>
        <v>419.0404017519752</v>
      </c>
      <c r="D23" s="7">
        <f>S2*EXP(S3/S5*(31-Q28))</f>
        <v>336.11969764092316</v>
      </c>
      <c r="E23" s="7">
        <f>S2*EXP(S3/S5*(55-Q28))</f>
        <v>261.24726635273277</v>
      </c>
      <c r="F23" s="7">
        <f>S2*EXP(S3/S5*(79-Q28))</f>
        <v>203.05306310755793</v>
      </c>
      <c r="G23" s="7">
        <f>S2*EXP(S3/S5*(103-Q28))</f>
        <v>157.82192484913111</v>
      </c>
      <c r="H23" s="7">
        <f>S2*EXP(S3/S5*(127-Q28))</f>
        <v>122.66626064089979</v>
      </c>
      <c r="I23" s="7">
        <f>S2*EXP(S3/S5*(151-Q28))</f>
        <v>95.34170562173324</v>
      </c>
      <c r="J23" s="7">
        <f>S2*EXP(S3/S5*(175-Q28))</f>
        <v>74.103839013010628</v>
      </c>
      <c r="K23" s="7">
        <f>S2*EXP(S3/S5*(199-Q28))</f>
        <v>57.596818943570796</v>
      </c>
      <c r="L23" s="7">
        <f>S2*EXP(S3/S5*(223-Q28))</f>
        <v>44.766824453400211</v>
      </c>
      <c r="M23" s="7">
        <f>S2*EXP(S3/S5*(247-Q28))</f>
        <v>34.794778746461532</v>
      </c>
      <c r="N23" s="7">
        <f>S2*EXP(S3/S5*(271-Q28))</f>
        <v>27.044058692960434</v>
      </c>
      <c r="O23" s="7">
        <f>S2*EXP(S3/S5*(295-Q28))</f>
        <v>21.019852315131235</v>
      </c>
      <c r="P23" s="8">
        <f>S2*EXP(S3/S5*(319-Q28))</f>
        <v>16.337569606922109</v>
      </c>
      <c r="R23">
        <v>12</v>
      </c>
      <c r="S23">
        <v>68.459999999999994</v>
      </c>
      <c r="T23">
        <v>0.68459999999999999</v>
      </c>
      <c r="U23">
        <f>S23*U30/S30</f>
        <v>78.599311136624564</v>
      </c>
      <c r="V23">
        <f t="shared" si="1"/>
        <v>0.78599311136624561</v>
      </c>
    </row>
    <row r="24" spans="1:22" x14ac:dyDescent="0.25">
      <c r="A24" s="37"/>
      <c r="B24" s="11">
        <v>0.625</v>
      </c>
      <c r="C24" s="15">
        <f>S2*EXP(S3/S5*8)</f>
        <v>414.66349649890122</v>
      </c>
      <c r="D24" s="7">
        <f>S2*EXP(S3/S5*(32-Q28))</f>
        <v>332.60890473380641</v>
      </c>
      <c r="E24" s="7">
        <f>S2*EXP(S3/S5*(56-Q28))</f>
        <v>258.51852103922641</v>
      </c>
      <c r="F24" s="7">
        <f>S2*EXP(S3/S5*(80-Q28))</f>
        <v>200.9321601711049</v>
      </c>
      <c r="G24" s="7">
        <f>S2*EXP(S3/S5*(104-Q28))</f>
        <v>156.17346420181795</v>
      </c>
      <c r="H24" s="7">
        <f>S2*EXP(S3/S5*(128-Q28))</f>
        <v>121.38500327686195</v>
      </c>
      <c r="I24" s="7">
        <f>S2*EXP(S3/S5*(152-Q28))</f>
        <v>94.34585507742274</v>
      </c>
      <c r="J24" s="7">
        <f>S2*EXP(S3/S5*(176-Q28))</f>
        <v>73.329819417542197</v>
      </c>
      <c r="K24" s="7">
        <f>S2*EXP(S3/S5*(200-Q28))</f>
        <v>56.995216285830708</v>
      </c>
      <c r="L24" s="7">
        <f>S2*EXP(S3/S5*(224-Q28))</f>
        <v>44.29923195326343</v>
      </c>
      <c r="M24" s="7">
        <f>S2*EXP(S3/S5*(248-Q28))</f>
        <v>34.431344936169715</v>
      </c>
      <c r="N24" s="7">
        <f>S2*EXP(S3/S5*(272-Q28))</f>
        <v>26.761581676274773</v>
      </c>
      <c r="O24" s="7">
        <f>S2*EXP(S3/S5*(296-Q28))</f>
        <v>20.800298540286889</v>
      </c>
      <c r="P24" s="8">
        <f>S2*EXP(S3/S5*(320-Q28))</f>
        <v>16.166922590701169</v>
      </c>
      <c r="R24">
        <v>13</v>
      </c>
      <c r="S24">
        <v>71.5</v>
      </c>
      <c r="T24">
        <v>0.71499999999999997</v>
      </c>
      <c r="U24">
        <f>S24*U30/S30</f>
        <v>82.089552238805979</v>
      </c>
      <c r="V24">
        <f t="shared" si="1"/>
        <v>0.82089552238805974</v>
      </c>
    </row>
    <row r="25" spans="1:22" x14ac:dyDescent="0.25">
      <c r="A25" s="37"/>
      <c r="B25" s="11">
        <v>0.66666666666666663</v>
      </c>
      <c r="C25" s="15">
        <f>S2*EXP(S3/S5*9)</f>
        <v>410.33230831633949</v>
      </c>
      <c r="D25" s="7">
        <f>S2*EXP(S3/S5*(33-Q28))</f>
        <v>329.13478229534462</v>
      </c>
      <c r="E25" s="7">
        <f>S2*EXP(S3/S5*(57-Q28))</f>
        <v>255.81827765452473</v>
      </c>
      <c r="F25" s="7">
        <f>S2*EXP(S3/S5*(81-Q28))</f>
        <v>198.83341020884004</v>
      </c>
      <c r="G25" s="7">
        <f>S2*EXP(S3/S5*(105-Q28))</f>
        <v>154.5422218371252</v>
      </c>
      <c r="H25" s="7">
        <f>S2*EXP(S3/S5*(129-Q28))</f>
        <v>120.11712873238935</v>
      </c>
      <c r="I25" s="7">
        <f>S2*EXP(S3/S5*(153-Q28))</f>
        <v>93.360406259199863</v>
      </c>
      <c r="J25" s="7">
        <f>S2*EXP(S3/S5*(177-Q28))</f>
        <v>72.563884508942195</v>
      </c>
      <c r="K25" s="7">
        <f>S2*EXP(S3/S5*(201-Q28))</f>
        <v>56.399897408418035</v>
      </c>
      <c r="L25" s="7">
        <f>S2*EXP(S3/S5*(225-Q28))</f>
        <v>43.836523488321298</v>
      </c>
      <c r="M25" s="7">
        <f>S2*EXP(S3/S5*(249-Q28))</f>
        <v>34.071707216533504</v>
      </c>
      <c r="N25" s="7">
        <f>S2*EXP(S3/S5*(273-Q28))</f>
        <v>26.482055151076409</v>
      </c>
      <c r="O25" s="7">
        <f>S2*EXP(S3/S5*(297-Q28))</f>
        <v>20.583038019425764</v>
      </c>
      <c r="P25" s="8">
        <f>S2*EXP(S3/S5*(321-Q28))</f>
        <v>15.998057994071745</v>
      </c>
      <c r="R25">
        <v>14</v>
      </c>
      <c r="S25">
        <v>73.61</v>
      </c>
      <c r="T25">
        <v>0.73609999999999998</v>
      </c>
      <c r="U25">
        <f>S25*U30/S30</f>
        <v>84.512055109070033</v>
      </c>
      <c r="V25">
        <f t="shared" si="1"/>
        <v>0.84512055109070028</v>
      </c>
    </row>
    <row r="26" spans="1:22" x14ac:dyDescent="0.25">
      <c r="A26" s="37"/>
      <c r="B26" s="11">
        <v>0.70833333333333337</v>
      </c>
      <c r="C26" s="15">
        <f>S2*EXP(S3/S5*10)</f>
        <v>406.04635968640576</v>
      </c>
      <c r="D26" s="7">
        <f>S2*EXP(S3/S5*(34-Q28))</f>
        <v>325.69694730001999</v>
      </c>
      <c r="E26" s="7">
        <f>S2*EXP(S3/S5*(58-Q28))</f>
        <v>253.14623849405936</v>
      </c>
      <c r="F26" s="7">
        <f>S2*EXP(S3/S5*(82-Q28))</f>
        <v>196.75658183145416</v>
      </c>
      <c r="G26" s="7">
        <f>S2*EXP(S3/S5*(106-Q28))</f>
        <v>152.92801790892975</v>
      </c>
      <c r="H26" s="7">
        <f>S2*EXP(S3/S5*(130-Q28))</f>
        <v>118.86249722302921</v>
      </c>
      <c r="I26" s="7">
        <f>S2*EXP(S3/S5*(154-Q28))</f>
        <v>92.385250520334182</v>
      </c>
      <c r="J26" s="7">
        <f>S2*EXP(S3/S5*(178-Q28))</f>
        <v>71.805949842111104</v>
      </c>
      <c r="K26" s="7">
        <f>S2*EXP(S3/S5*(202-Q28))</f>
        <v>55.81079667682355</v>
      </c>
      <c r="L26" s="7">
        <f>S2*EXP(S3/S5*(226-Q28))</f>
        <v>43.37864804449692</v>
      </c>
      <c r="M26" s="7">
        <f>S2*EXP(S3/S5*(250-Q28))</f>
        <v>33.71582593713002</v>
      </c>
      <c r="N26" s="7">
        <f>S2*EXP(S3/S5*(274-Q28))</f>
        <v>26.205448299282796</v>
      </c>
      <c r="O26" s="7">
        <f>S2*EXP(S3/S5*(298-Q28))</f>
        <v>20.368046799355373</v>
      </c>
      <c r="P26" s="8">
        <f>S2*EXP(S3/S5*(322-Q28))</f>
        <v>15.830957199541006</v>
      </c>
      <c r="R26">
        <v>16</v>
      </c>
      <c r="S26">
        <v>77.790000000000006</v>
      </c>
      <c r="T26">
        <v>0.77790000000000004</v>
      </c>
      <c r="U26">
        <f>S26*U30/S30</f>
        <v>89.311136624569471</v>
      </c>
      <c r="V26">
        <f t="shared" si="1"/>
        <v>0.89311136624569476</v>
      </c>
    </row>
    <row r="27" spans="1:22" x14ac:dyDescent="0.25">
      <c r="A27" s="37"/>
      <c r="B27" s="11">
        <v>0.75</v>
      </c>
      <c r="C27" s="15">
        <f>S2*EXP(S3/S5*11)</f>
        <v>401.80517807892221</v>
      </c>
      <c r="D27" s="7">
        <f>S2*EXP(S3/S5*(35-Q28))</f>
        <v>322.29502072304189</v>
      </c>
      <c r="E27" s="7">
        <f>S2*EXP(S3/S5*(59-Q28))</f>
        <v>250.50210896280623</v>
      </c>
      <c r="F27" s="7">
        <f>S2*EXP(S3/S5*(83-Q28))</f>
        <v>194.70144606651496</v>
      </c>
      <c r="G27" s="7">
        <f>S2*EXP(S3/S5*(107-Q28))</f>
        <v>151.33067444961347</v>
      </c>
      <c r="H27" s="7">
        <f>S2*EXP(S3/S5*(131-Q28))</f>
        <v>117.62097042438678</v>
      </c>
      <c r="I27" s="7">
        <f>S2*EXP(S3/S5*(155-Q28))</f>
        <v>91.420280348917771</v>
      </c>
      <c r="J27" s="7">
        <f>S2*EXP(S3/S5*(179-Q28))</f>
        <v>71.05593185398422</v>
      </c>
      <c r="K27" s="7">
        <f>S2*EXP(S3/S5*(203-Q28))</f>
        <v>55.227849142094861</v>
      </c>
      <c r="L27" s="7">
        <f>S2*EXP(S3/S5*(227-Q28))</f>
        <v>42.925555140558778</v>
      </c>
      <c r="M27" s="7">
        <f>S2*EXP(S3/S5*(251-Q28))</f>
        <v>33.363661861687724</v>
      </c>
      <c r="N27" s="7">
        <f>S2*EXP(S3/S5*(275-Q28))</f>
        <v>25.931730624708358</v>
      </c>
      <c r="O27" s="7">
        <f>S2*EXP(S3/S5*(299-Q28))</f>
        <v>20.15530117707592</v>
      </c>
      <c r="P27" s="8">
        <f>S2*EXP(S3/S5*(323-Q28))</f>
        <v>15.665601784077099</v>
      </c>
      <c r="Q27" t="s">
        <v>28</v>
      </c>
      <c r="R27">
        <v>18</v>
      </c>
      <c r="S27">
        <v>81.17</v>
      </c>
      <c r="T27">
        <v>0.81169999999999998</v>
      </c>
      <c r="U27">
        <f>S27*U30/S30</f>
        <v>93.191733639494842</v>
      </c>
      <c r="V27">
        <f t="shared" si="1"/>
        <v>0.93191733639494845</v>
      </c>
    </row>
    <row r="28" spans="1:22" ht="15.75" thickBot="1" x14ac:dyDescent="0.3">
      <c r="A28" s="38"/>
      <c r="B28" s="3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>
        <v>3</v>
      </c>
      <c r="R28">
        <v>20</v>
      </c>
      <c r="S28">
        <v>83.92</v>
      </c>
      <c r="T28">
        <v>0.83919999999999995</v>
      </c>
      <c r="U28">
        <f>S28*U30/S30</f>
        <v>96.349024110218153</v>
      </c>
      <c r="V28">
        <f t="shared" si="1"/>
        <v>0.96349024110218151</v>
      </c>
    </row>
    <row r="29" spans="1:22" x14ac:dyDescent="0.25">
      <c r="R29">
        <v>22</v>
      </c>
      <c r="S29">
        <v>86.15</v>
      </c>
      <c r="T29">
        <v>0.86150000000000004</v>
      </c>
      <c r="U29">
        <f>S29*U30/S30</f>
        <v>98.909299655568319</v>
      </c>
      <c r="V29">
        <f t="shared" si="1"/>
        <v>0.98909299655568317</v>
      </c>
    </row>
    <row r="30" spans="1:22" ht="15" customHeight="1" x14ac:dyDescent="0.25">
      <c r="A30" s="42" t="s">
        <v>134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R30">
        <v>23</v>
      </c>
      <c r="S30">
        <v>87.1</v>
      </c>
      <c r="T30">
        <v>0.871</v>
      </c>
      <c r="U30">
        <v>100</v>
      </c>
      <c r="V30">
        <f t="shared" si="1"/>
        <v>1</v>
      </c>
    </row>
    <row r="31" spans="1:22" ht="15.75" customHeight="1" thickBo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R31">
        <v>24</v>
      </c>
      <c r="S31">
        <v>87.96</v>
      </c>
      <c r="T31">
        <v>0.87960000000000005</v>
      </c>
    </row>
    <row r="32" spans="1:22" ht="15.75" thickBot="1" x14ac:dyDescent="0.3">
      <c r="B32" s="12" t="s">
        <v>21</v>
      </c>
      <c r="C32" s="13" t="str">
        <f>TEXT(S1, "dddd")</f>
        <v>lunes</v>
      </c>
      <c r="D32" s="13" t="str">
        <f>TEXT(S1+1, "dddd")</f>
        <v>martes</v>
      </c>
      <c r="E32" s="13" t="str">
        <f>TEXT(S1+2, "dddd")</f>
        <v>miércoles</v>
      </c>
      <c r="F32" s="13" t="str">
        <f>TEXT(S1+3, "dddd")</f>
        <v>jueves</v>
      </c>
      <c r="G32" s="13" t="str">
        <f>TEXT(S1+4, "dddd")</f>
        <v>viernes</v>
      </c>
      <c r="H32" s="13" t="str">
        <f>TEXT(S1+5, "dddd")</f>
        <v>sábado</v>
      </c>
      <c r="I32" s="13" t="str">
        <f>TEXT(S1+6, "dddd")</f>
        <v>domingo</v>
      </c>
      <c r="J32" s="13" t="str">
        <f>TEXT(S1+7, "dddd")</f>
        <v>lunes</v>
      </c>
      <c r="K32" s="13" t="str">
        <f>TEXT(S1+8, "dddd")</f>
        <v>martes</v>
      </c>
      <c r="L32" s="13" t="str">
        <f>TEXT(S1+9, "dddd")</f>
        <v>miércoles</v>
      </c>
      <c r="M32" s="13" t="str">
        <f>TEXT(S1+10, "dddd")</f>
        <v>jueves</v>
      </c>
      <c r="N32" s="13" t="str">
        <f>TEXT(S1+11, "dddd")</f>
        <v>viernes</v>
      </c>
      <c r="O32" s="13" t="str">
        <f>TEXT(S1+12, "dddd")</f>
        <v>sábado</v>
      </c>
      <c r="P32" s="14" t="str">
        <f>TEXT(S1+13, "dddd")</f>
        <v>domingo</v>
      </c>
      <c r="R32">
        <v>36</v>
      </c>
      <c r="S32">
        <v>93.19</v>
      </c>
      <c r="T32">
        <v>0.93189999999999995</v>
      </c>
    </row>
    <row r="33" spans="1:20" ht="15.75" thickBot="1" x14ac:dyDescent="0.3">
      <c r="B33" s="19"/>
      <c r="C33" s="19" t="s">
        <v>0</v>
      </c>
      <c r="D33" s="13" t="s">
        <v>1</v>
      </c>
      <c r="E33" s="13" t="s">
        <v>2</v>
      </c>
      <c r="F33" s="13" t="s">
        <v>3</v>
      </c>
      <c r="G33" s="13" t="s">
        <v>4</v>
      </c>
      <c r="H33" s="13" t="s">
        <v>5</v>
      </c>
      <c r="I33" s="13" t="s">
        <v>6</v>
      </c>
      <c r="J33" s="13" t="s">
        <v>7</v>
      </c>
      <c r="K33" s="13" t="s">
        <v>8</v>
      </c>
      <c r="L33" s="13" t="s">
        <v>9</v>
      </c>
      <c r="M33" s="13" t="s">
        <v>14</v>
      </c>
      <c r="N33" s="13" t="s">
        <v>15</v>
      </c>
      <c r="O33" s="13" t="s">
        <v>16</v>
      </c>
      <c r="P33" s="14" t="s">
        <v>17</v>
      </c>
      <c r="R33">
        <v>48</v>
      </c>
      <c r="S33">
        <v>95.08</v>
      </c>
      <c r="T33">
        <v>0.95079999999999998</v>
      </c>
    </row>
    <row r="34" spans="1:20" x14ac:dyDescent="0.25">
      <c r="B34" s="17">
        <v>0.29166666666666669</v>
      </c>
      <c r="C34" s="21">
        <v>451</v>
      </c>
      <c r="D34" s="7" t="s">
        <v>122</v>
      </c>
      <c r="E34" s="7" t="s">
        <v>125</v>
      </c>
      <c r="F34" s="7" t="s">
        <v>122</v>
      </c>
      <c r="G34" s="23" t="s">
        <v>122</v>
      </c>
      <c r="H34" s="7"/>
      <c r="I34" s="7"/>
      <c r="J34" s="23" t="s">
        <v>126</v>
      </c>
      <c r="K34" s="23" t="s">
        <v>124</v>
      </c>
      <c r="L34" s="23" t="s">
        <v>131</v>
      </c>
      <c r="M34" s="23" t="s">
        <v>126</v>
      </c>
      <c r="N34" s="23" t="s">
        <v>131</v>
      </c>
      <c r="O34" s="7"/>
      <c r="P34" s="8"/>
      <c r="R34">
        <v>60</v>
      </c>
      <c r="S34">
        <v>95.55</v>
      </c>
      <c r="T34">
        <v>0.95550000000000002</v>
      </c>
    </row>
    <row r="35" spans="1:20" x14ac:dyDescent="0.25">
      <c r="B35" s="17">
        <v>0.33333333333333331</v>
      </c>
      <c r="C35" s="15"/>
      <c r="D35" s="7" t="s">
        <v>122</v>
      </c>
      <c r="E35" s="7" t="s">
        <v>125</v>
      </c>
      <c r="F35" s="7" t="s">
        <v>122</v>
      </c>
      <c r="G35" s="23" t="s">
        <v>122</v>
      </c>
      <c r="H35" s="7"/>
      <c r="I35" s="7"/>
      <c r="J35" s="23" t="s">
        <v>126</v>
      </c>
      <c r="K35" s="23" t="s">
        <v>124</v>
      </c>
      <c r="L35" s="23" t="s">
        <v>132</v>
      </c>
      <c r="M35" s="23" t="s">
        <v>126</v>
      </c>
      <c r="N35" s="23" t="s">
        <v>131</v>
      </c>
      <c r="O35" s="7"/>
      <c r="P35" s="8"/>
      <c r="R35">
        <v>72</v>
      </c>
      <c r="S35">
        <v>95.6</v>
      </c>
      <c r="T35">
        <v>0.95599999999999996</v>
      </c>
    </row>
    <row r="36" spans="1:20" x14ac:dyDescent="0.25">
      <c r="B36" s="17">
        <v>0.375</v>
      </c>
      <c r="C36" s="15"/>
      <c r="D36" s="23" t="s">
        <v>122</v>
      </c>
      <c r="E36" s="23" t="s">
        <v>125</v>
      </c>
      <c r="F36" s="23" t="s">
        <v>125</v>
      </c>
      <c r="G36" s="23" t="s">
        <v>122</v>
      </c>
      <c r="H36" s="7"/>
      <c r="I36" s="7"/>
      <c r="J36" s="23" t="s">
        <v>129</v>
      </c>
      <c r="K36" s="23" t="s">
        <v>131</v>
      </c>
      <c r="L36" s="23" t="s">
        <v>131</v>
      </c>
      <c r="M36" s="23" t="s">
        <v>133</v>
      </c>
      <c r="N36" s="23" t="s">
        <v>131</v>
      </c>
      <c r="O36" s="7"/>
      <c r="P36" s="8"/>
    </row>
    <row r="37" spans="1:20" x14ac:dyDescent="0.25">
      <c r="B37" s="17">
        <v>0.41666666666666669</v>
      </c>
      <c r="C37" s="15"/>
      <c r="D37" s="23" t="s">
        <v>122</v>
      </c>
      <c r="E37" s="23" t="s">
        <v>125</v>
      </c>
      <c r="F37" s="23" t="s">
        <v>125</v>
      </c>
      <c r="G37" s="23" t="s">
        <v>127</v>
      </c>
      <c r="H37" s="7"/>
      <c r="I37" s="7"/>
      <c r="J37" s="23" t="s">
        <v>130</v>
      </c>
      <c r="K37" s="23" t="s">
        <v>131</v>
      </c>
      <c r="L37" s="23" t="s">
        <v>126</v>
      </c>
      <c r="M37" s="23" t="s">
        <v>133</v>
      </c>
      <c r="N37" s="23" t="s">
        <v>131</v>
      </c>
      <c r="O37" s="7"/>
      <c r="P37" s="8"/>
    </row>
    <row r="38" spans="1:20" x14ac:dyDescent="0.25">
      <c r="B38" s="17">
        <v>0.45833333333333331</v>
      </c>
      <c r="C38" s="15"/>
      <c r="D38" s="23" t="s">
        <v>122</v>
      </c>
      <c r="E38" s="23" t="s">
        <v>125</v>
      </c>
      <c r="F38" s="23" t="s">
        <v>124</v>
      </c>
      <c r="G38" s="23" t="s">
        <v>127</v>
      </c>
      <c r="H38" s="7"/>
      <c r="I38" s="7"/>
      <c r="J38" s="23" t="s">
        <v>130</v>
      </c>
      <c r="K38" s="23" t="s">
        <v>131</v>
      </c>
      <c r="L38" s="23" t="s">
        <v>131</v>
      </c>
      <c r="M38" s="7"/>
      <c r="N38" s="23" t="s">
        <v>133</v>
      </c>
      <c r="O38" s="7"/>
      <c r="P38" s="8"/>
    </row>
    <row r="39" spans="1:20" x14ac:dyDescent="0.25">
      <c r="B39" s="17">
        <v>0.5</v>
      </c>
      <c r="C39" s="15"/>
      <c r="D39" s="23" t="s">
        <v>122</v>
      </c>
      <c r="E39" s="23" t="s">
        <v>125</v>
      </c>
      <c r="F39" s="23" t="s">
        <v>122</v>
      </c>
      <c r="G39" s="23" t="s">
        <v>128</v>
      </c>
      <c r="H39" s="7"/>
      <c r="I39" s="7"/>
      <c r="J39" s="23" t="s">
        <v>130</v>
      </c>
      <c r="K39" s="23" t="s">
        <v>131</v>
      </c>
      <c r="L39" s="23" t="s">
        <v>133</v>
      </c>
      <c r="M39" s="7"/>
      <c r="N39" s="23" t="s">
        <v>133</v>
      </c>
      <c r="O39" s="7"/>
      <c r="P39" s="8"/>
    </row>
    <row r="40" spans="1:20" x14ac:dyDescent="0.25">
      <c r="B40" s="17">
        <v>0.54166666666666663</v>
      </c>
      <c r="C40" s="15"/>
      <c r="D40" s="23" t="s">
        <v>122</v>
      </c>
      <c r="E40" s="23" t="s">
        <v>122</v>
      </c>
      <c r="F40" s="23" t="s">
        <v>124</v>
      </c>
      <c r="G40" s="7"/>
      <c r="H40" s="7"/>
      <c r="I40" s="7"/>
      <c r="J40" s="23" t="s">
        <v>130</v>
      </c>
      <c r="K40" s="23" t="s">
        <v>131</v>
      </c>
      <c r="L40" s="23" t="s">
        <v>131</v>
      </c>
      <c r="M40" s="7"/>
      <c r="N40" s="23" t="s">
        <v>133</v>
      </c>
      <c r="O40" s="7"/>
      <c r="P40" s="8"/>
    </row>
    <row r="41" spans="1:20" x14ac:dyDescent="0.25">
      <c r="A41" s="26" t="s">
        <v>136</v>
      </c>
      <c r="B41" s="17">
        <v>0.58333333333333337</v>
      </c>
      <c r="C41" s="20" t="s">
        <v>123</v>
      </c>
      <c r="D41" s="23" t="s">
        <v>122</v>
      </c>
      <c r="E41" s="23" t="s">
        <v>122</v>
      </c>
      <c r="F41" s="23" t="s">
        <v>122</v>
      </c>
      <c r="G41" s="7"/>
      <c r="H41" s="7"/>
      <c r="I41" s="7"/>
      <c r="J41" s="23" t="s">
        <v>126</v>
      </c>
      <c r="K41" s="23" t="s">
        <v>131</v>
      </c>
      <c r="L41" s="7"/>
      <c r="M41" s="7"/>
      <c r="N41" s="7"/>
      <c r="O41" s="7"/>
      <c r="P41" s="8"/>
    </row>
    <row r="42" spans="1:20" x14ac:dyDescent="0.25">
      <c r="B42" s="17">
        <v>0.625</v>
      </c>
      <c r="C42" s="15" t="s">
        <v>123</v>
      </c>
      <c r="D42" s="23" t="s">
        <v>122</v>
      </c>
      <c r="E42" s="23" t="s">
        <v>122</v>
      </c>
      <c r="F42" s="23" t="s">
        <v>122</v>
      </c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20" x14ac:dyDescent="0.25">
      <c r="B43" s="17">
        <v>0.66666666666666663</v>
      </c>
      <c r="C43" s="15" t="s">
        <v>123</v>
      </c>
      <c r="D43" s="23" t="s">
        <v>124</v>
      </c>
      <c r="E43" s="23" t="s">
        <v>126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20" x14ac:dyDescent="0.25">
      <c r="B44" s="17">
        <v>0.70833333333333337</v>
      </c>
      <c r="C44" s="15" t="s">
        <v>122</v>
      </c>
      <c r="D44" s="23" t="s">
        <v>124</v>
      </c>
      <c r="E44" s="23" t="s">
        <v>126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20" ht="15.75" thickBot="1" x14ac:dyDescent="0.3">
      <c r="B45" s="18">
        <v>0.75</v>
      </c>
      <c r="C45" s="16" t="s">
        <v>122</v>
      </c>
      <c r="D45" s="9" t="s">
        <v>122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</row>
    <row r="46" spans="1:20" x14ac:dyDescent="0.25">
      <c r="A46" s="27" t="s">
        <v>137</v>
      </c>
      <c r="C46" s="28">
        <v>201</v>
      </c>
      <c r="D46" s="25">
        <v>287</v>
      </c>
      <c r="E46">
        <v>281</v>
      </c>
      <c r="F46">
        <v>218</v>
      </c>
      <c r="G46">
        <v>170</v>
      </c>
      <c r="H46">
        <v>132</v>
      </c>
      <c r="I46">
        <v>102</v>
      </c>
      <c r="J46">
        <v>79</v>
      </c>
      <c r="K46">
        <v>62</v>
      </c>
      <c r="L46">
        <v>48</v>
      </c>
      <c r="M46">
        <v>37</v>
      </c>
      <c r="N46">
        <v>29</v>
      </c>
      <c r="O46">
        <v>22</v>
      </c>
      <c r="P46">
        <v>17</v>
      </c>
    </row>
    <row r="49" spans="1:16" ht="15" customHeight="1" x14ac:dyDescent="0.25">
      <c r="A49" s="39" t="s">
        <v>135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</row>
    <row r="50" spans="1:16" ht="15.75" customHeight="1" thickBot="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 spans="1:16" ht="15.75" thickBot="1" x14ac:dyDescent="0.3">
      <c r="B51" s="12" t="s">
        <v>21</v>
      </c>
      <c r="C51" s="13" t="str">
        <f>TEXT(S20, "dddd")</f>
        <v>lunes</v>
      </c>
      <c r="D51" s="13" t="str">
        <f>TEXT(S20+1, "dddd")</f>
        <v>martes</v>
      </c>
      <c r="E51" s="13" t="str">
        <f>TEXT(S20+2, "dddd")</f>
        <v>miércoles</v>
      </c>
      <c r="F51" s="13" t="str">
        <f>TEXT(S20+3, "dddd")</f>
        <v>jueves</v>
      </c>
      <c r="G51" s="13" t="str">
        <f>TEXT(S20+4, "dddd")</f>
        <v>viernes</v>
      </c>
      <c r="H51" s="13" t="str">
        <f>TEXT(S20+5, "dddd")</f>
        <v>sábado</v>
      </c>
      <c r="I51" s="13" t="str">
        <f>TEXT(S20+6, "dddd")</f>
        <v>domingo</v>
      </c>
      <c r="J51" s="13" t="str">
        <f>TEXT(S20+7, "dddd")</f>
        <v>lunes</v>
      </c>
      <c r="K51" s="13" t="str">
        <f>TEXT(S20+8, "dddd")</f>
        <v>martes</v>
      </c>
      <c r="L51" s="13" t="str">
        <f>TEXT(S20+9, "dddd")</f>
        <v>miércoles</v>
      </c>
      <c r="M51" s="13" t="str">
        <f>TEXT(S20+10, "dddd")</f>
        <v>jueves</v>
      </c>
      <c r="N51" s="13" t="str">
        <f>TEXT(S20+11, "dddd")</f>
        <v>viernes</v>
      </c>
      <c r="O51" s="13" t="str">
        <f>TEXT(S20+12, "dddd")</f>
        <v>sábado</v>
      </c>
      <c r="P51" s="14" t="str">
        <f>TEXT(S20+13, "dddd")</f>
        <v>domingo</v>
      </c>
    </row>
    <row r="52" spans="1:16" ht="15.75" thickBot="1" x14ac:dyDescent="0.3">
      <c r="B52" s="19"/>
      <c r="C52" s="19" t="s">
        <v>0</v>
      </c>
      <c r="D52" s="13" t="s">
        <v>1</v>
      </c>
      <c r="E52" s="13" t="s">
        <v>2</v>
      </c>
      <c r="F52" s="13" t="s">
        <v>3</v>
      </c>
      <c r="G52" s="13" t="s">
        <v>4</v>
      </c>
      <c r="H52" s="13" t="s">
        <v>5</v>
      </c>
      <c r="I52" s="13" t="s">
        <v>6</v>
      </c>
      <c r="J52" s="13" t="s">
        <v>7</v>
      </c>
      <c r="K52" s="13" t="s">
        <v>8</v>
      </c>
      <c r="L52" s="13" t="s">
        <v>9</v>
      </c>
      <c r="M52" s="13" t="s">
        <v>14</v>
      </c>
      <c r="N52" s="13" t="s">
        <v>15</v>
      </c>
      <c r="O52" s="13" t="s">
        <v>16</v>
      </c>
      <c r="P52" s="14" t="s">
        <v>17</v>
      </c>
    </row>
    <row r="53" spans="1:16" x14ac:dyDescent="0.25">
      <c r="B53" s="17">
        <v>0.29166666666666669</v>
      </c>
      <c r="C53" s="21">
        <v>451</v>
      </c>
      <c r="D53" s="7" t="s">
        <v>122</v>
      </c>
      <c r="E53" s="7" t="s">
        <v>125</v>
      </c>
      <c r="F53" s="7" t="s">
        <v>122</v>
      </c>
      <c r="G53" s="23" t="s">
        <v>122</v>
      </c>
      <c r="H53" s="7"/>
      <c r="I53" s="7"/>
      <c r="J53" s="23" t="s">
        <v>126</v>
      </c>
      <c r="K53" s="23" t="s">
        <v>124</v>
      </c>
      <c r="L53" s="23" t="s">
        <v>131</v>
      </c>
      <c r="M53" s="23" t="s">
        <v>126</v>
      </c>
      <c r="N53" s="23" t="s">
        <v>131</v>
      </c>
      <c r="O53" s="7"/>
      <c r="P53" s="8"/>
    </row>
    <row r="54" spans="1:16" x14ac:dyDescent="0.25">
      <c r="B54" s="17">
        <v>0.33333333333333331</v>
      </c>
      <c r="C54" s="15"/>
      <c r="D54" s="7" t="s">
        <v>122</v>
      </c>
      <c r="E54" s="7" t="s">
        <v>125</v>
      </c>
      <c r="F54" s="7" t="s">
        <v>122</v>
      </c>
      <c r="G54" s="23" t="s">
        <v>122</v>
      </c>
      <c r="H54" s="7"/>
      <c r="I54" s="7"/>
      <c r="J54" s="23" t="s">
        <v>126</v>
      </c>
      <c r="K54" s="23" t="s">
        <v>124</v>
      </c>
      <c r="L54" s="23" t="s">
        <v>132</v>
      </c>
      <c r="M54" s="23" t="s">
        <v>126</v>
      </c>
      <c r="N54" s="23" t="s">
        <v>131</v>
      </c>
      <c r="O54" s="7"/>
      <c r="P54" s="8"/>
    </row>
    <row r="55" spans="1:16" x14ac:dyDescent="0.25">
      <c r="B55" s="17">
        <v>0.375</v>
      </c>
      <c r="C55" s="15"/>
      <c r="D55" s="23" t="s">
        <v>122</v>
      </c>
      <c r="E55" s="23" t="s">
        <v>125</v>
      </c>
      <c r="F55" s="23" t="s">
        <v>125</v>
      </c>
      <c r="G55" s="23" t="s">
        <v>122</v>
      </c>
      <c r="H55" s="7"/>
      <c r="I55" s="7"/>
      <c r="J55" s="23" t="s">
        <v>129</v>
      </c>
      <c r="K55" s="23" t="s">
        <v>131</v>
      </c>
      <c r="L55" s="23" t="s">
        <v>131</v>
      </c>
      <c r="M55" s="23" t="s">
        <v>133</v>
      </c>
      <c r="N55" s="23" t="s">
        <v>131</v>
      </c>
      <c r="O55" s="7"/>
      <c r="P55" s="8"/>
    </row>
    <row r="56" spans="1:16" x14ac:dyDescent="0.25">
      <c r="B56" s="17">
        <v>0.41666666666666669</v>
      </c>
      <c r="C56" s="15"/>
      <c r="D56" s="23" t="s">
        <v>122</v>
      </c>
      <c r="E56" s="23" t="s">
        <v>125</v>
      </c>
      <c r="F56" s="23" t="s">
        <v>125</v>
      </c>
      <c r="G56" s="23" t="s">
        <v>127</v>
      </c>
      <c r="H56" s="7"/>
      <c r="I56" s="7"/>
      <c r="J56" s="23" t="s">
        <v>130</v>
      </c>
      <c r="K56" s="23" t="s">
        <v>131</v>
      </c>
      <c r="L56" s="23" t="s">
        <v>126</v>
      </c>
      <c r="M56" s="23" t="s">
        <v>133</v>
      </c>
      <c r="N56" s="23" t="s">
        <v>131</v>
      </c>
      <c r="O56" s="7"/>
      <c r="P56" s="8"/>
    </row>
    <row r="57" spans="1:16" x14ac:dyDescent="0.25">
      <c r="B57" s="17">
        <v>0.45833333333333331</v>
      </c>
      <c r="C57" s="15"/>
      <c r="D57" s="23" t="s">
        <v>122</v>
      </c>
      <c r="E57" s="23" t="s">
        <v>125</v>
      </c>
      <c r="F57" s="23" t="s">
        <v>124</v>
      </c>
      <c r="G57" s="23" t="s">
        <v>127</v>
      </c>
      <c r="H57" s="7"/>
      <c r="I57" s="7"/>
      <c r="J57" s="23" t="s">
        <v>130</v>
      </c>
      <c r="K57" s="23" t="s">
        <v>131</v>
      </c>
      <c r="L57" s="23" t="s">
        <v>131</v>
      </c>
      <c r="M57" s="7"/>
      <c r="N57" s="23" t="s">
        <v>133</v>
      </c>
      <c r="O57" s="7"/>
      <c r="P57" s="8"/>
    </row>
    <row r="58" spans="1:16" x14ac:dyDescent="0.25">
      <c r="B58" s="17">
        <v>0.5</v>
      </c>
      <c r="C58" s="15"/>
      <c r="D58" s="23" t="s">
        <v>122</v>
      </c>
      <c r="E58" s="23" t="s">
        <v>125</v>
      </c>
      <c r="F58" s="23" t="s">
        <v>122</v>
      </c>
      <c r="G58" s="23" t="s">
        <v>128</v>
      </c>
      <c r="H58" s="7"/>
      <c r="I58" s="7"/>
      <c r="J58" s="23" t="s">
        <v>130</v>
      </c>
      <c r="K58" s="23" t="s">
        <v>131</v>
      </c>
      <c r="L58" s="23" t="s">
        <v>133</v>
      </c>
      <c r="M58" s="7"/>
      <c r="N58" s="23" t="s">
        <v>133</v>
      </c>
      <c r="O58" s="7"/>
      <c r="P58" s="8"/>
    </row>
    <row r="59" spans="1:16" x14ac:dyDescent="0.25">
      <c r="B59" s="17">
        <v>0.54166666666666663</v>
      </c>
      <c r="C59" s="15"/>
      <c r="D59" s="23" t="s">
        <v>122</v>
      </c>
      <c r="E59" s="23" t="s">
        <v>122</v>
      </c>
      <c r="F59" s="23" t="s">
        <v>124</v>
      </c>
      <c r="G59" s="7"/>
      <c r="H59" s="7"/>
      <c r="I59" s="7"/>
      <c r="J59" s="23" t="s">
        <v>130</v>
      </c>
      <c r="K59" s="23" t="s">
        <v>131</v>
      </c>
      <c r="L59" s="23" t="s">
        <v>131</v>
      </c>
      <c r="M59" s="7"/>
      <c r="N59" s="23" t="s">
        <v>133</v>
      </c>
      <c r="O59" s="7"/>
      <c r="P59" s="8"/>
    </row>
    <row r="60" spans="1:16" x14ac:dyDescent="0.25">
      <c r="A60" s="26" t="s">
        <v>136</v>
      </c>
      <c r="B60" s="17">
        <v>0.58333333333333337</v>
      </c>
      <c r="C60" s="20" t="s">
        <v>123</v>
      </c>
      <c r="D60" s="23" t="s">
        <v>122</v>
      </c>
      <c r="E60" s="23" t="s">
        <v>122</v>
      </c>
      <c r="F60" s="23" t="s">
        <v>122</v>
      </c>
      <c r="G60" s="29" t="s">
        <v>122</v>
      </c>
      <c r="H60" s="7"/>
      <c r="I60" s="7"/>
      <c r="J60" s="23" t="s">
        <v>126</v>
      </c>
      <c r="K60" s="23" t="s">
        <v>131</v>
      </c>
      <c r="L60" s="7"/>
      <c r="M60" s="7"/>
      <c r="N60" s="7"/>
      <c r="O60" s="7"/>
      <c r="P60" s="8"/>
    </row>
    <row r="61" spans="1:16" x14ac:dyDescent="0.25">
      <c r="B61" s="17">
        <v>0.625</v>
      </c>
      <c r="C61" s="15" t="s">
        <v>123</v>
      </c>
      <c r="D61" s="23" t="s">
        <v>122</v>
      </c>
      <c r="E61" s="23" t="s">
        <v>122</v>
      </c>
      <c r="F61" s="23" t="s">
        <v>122</v>
      </c>
      <c r="G61" s="29" t="s">
        <v>122</v>
      </c>
      <c r="H61" s="7"/>
      <c r="I61" s="7"/>
      <c r="J61" s="7"/>
      <c r="K61" s="7"/>
      <c r="L61" s="7"/>
      <c r="M61" s="7"/>
      <c r="N61" s="7"/>
      <c r="O61" s="7"/>
      <c r="P61" s="8"/>
    </row>
    <row r="62" spans="1:16" x14ac:dyDescent="0.25">
      <c r="B62" s="17">
        <v>0.66666666666666663</v>
      </c>
      <c r="C62" s="15" t="s">
        <v>123</v>
      </c>
      <c r="D62" s="23" t="s">
        <v>124</v>
      </c>
      <c r="E62" s="23" t="s">
        <v>126</v>
      </c>
      <c r="F62" s="7"/>
      <c r="G62" s="29" t="s">
        <v>122</v>
      </c>
      <c r="H62" s="7"/>
      <c r="I62" s="7"/>
      <c r="J62" s="7"/>
      <c r="K62" s="7"/>
      <c r="L62" s="7"/>
      <c r="M62" s="7"/>
      <c r="N62" s="7"/>
      <c r="O62" s="7"/>
      <c r="P62" s="8"/>
    </row>
    <row r="63" spans="1:16" x14ac:dyDescent="0.25">
      <c r="B63" s="17">
        <v>0.70833333333333337</v>
      </c>
      <c r="C63" s="15" t="s">
        <v>122</v>
      </c>
      <c r="D63" s="23" t="s">
        <v>124</v>
      </c>
      <c r="E63" s="23" t="s">
        <v>126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 ht="15.75" thickBot="1" x14ac:dyDescent="0.3">
      <c r="B64" s="18">
        <v>0.75</v>
      </c>
      <c r="C64" s="16" t="s">
        <v>122</v>
      </c>
      <c r="D64" s="9" t="s">
        <v>122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</row>
    <row r="65" spans="1:16" x14ac:dyDescent="0.25">
      <c r="A65" s="27" t="s">
        <v>137</v>
      </c>
      <c r="C65" s="28">
        <v>201</v>
      </c>
      <c r="D65" s="25">
        <v>287</v>
      </c>
      <c r="E65">
        <v>281</v>
      </c>
      <c r="F65">
        <v>218</v>
      </c>
      <c r="G65">
        <v>170</v>
      </c>
      <c r="H65" s="25">
        <v>132</v>
      </c>
      <c r="I65">
        <v>102</v>
      </c>
      <c r="J65">
        <v>79</v>
      </c>
      <c r="K65">
        <v>62</v>
      </c>
      <c r="L65">
        <v>48</v>
      </c>
      <c r="M65">
        <v>37</v>
      </c>
      <c r="N65">
        <v>29</v>
      </c>
      <c r="O65">
        <v>22</v>
      </c>
      <c r="P65">
        <v>17</v>
      </c>
    </row>
    <row r="66" spans="1:16" x14ac:dyDescent="0.25">
      <c r="A66" s="28" t="s">
        <v>138</v>
      </c>
      <c r="G66" s="28">
        <v>76</v>
      </c>
      <c r="H66" s="28">
        <v>105</v>
      </c>
    </row>
    <row r="67" spans="1:16" x14ac:dyDescent="0.25">
      <c r="A67" s="35" t="s">
        <v>144</v>
      </c>
    </row>
    <row r="71" spans="1:16" x14ac:dyDescent="0.25">
      <c r="A71" s="40" t="s">
        <v>145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spans="1:16" ht="15.75" thickBot="1" x14ac:dyDescent="0.3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</row>
    <row r="73" spans="1:16" ht="15.75" thickBot="1" x14ac:dyDescent="0.3">
      <c r="B73" s="12" t="s">
        <v>21</v>
      </c>
      <c r="C73" s="13" t="str">
        <f>TEXT(S42, "dddd")</f>
        <v>sábado</v>
      </c>
      <c r="D73" s="13" t="str">
        <f>TEXT(S42+1, "dddd")</f>
        <v>domingo</v>
      </c>
      <c r="E73" s="13" t="str">
        <f>TEXT(S42+2, "dddd")</f>
        <v>lunes</v>
      </c>
      <c r="F73" s="13" t="str">
        <f>TEXT(S42+3, "dddd")</f>
        <v>martes</v>
      </c>
      <c r="G73" s="13" t="str">
        <f>TEXT(S42+4, "dddd")</f>
        <v>miércoles</v>
      </c>
      <c r="H73" s="13" t="str">
        <f>TEXT(S42+5, "dddd")</f>
        <v>jueves</v>
      </c>
      <c r="I73" s="13" t="str">
        <f>TEXT(S42+6, "dddd")</f>
        <v>viernes</v>
      </c>
      <c r="J73" s="13" t="str">
        <f>TEXT(S42+7, "dddd")</f>
        <v>sábado</v>
      </c>
      <c r="K73" s="13" t="str">
        <f>TEXT(S42+8, "dddd")</f>
        <v>domingo</v>
      </c>
      <c r="L73" s="13" t="str">
        <f>TEXT(S42+9, "dddd")</f>
        <v>lunes</v>
      </c>
      <c r="M73" s="13" t="str">
        <f>TEXT(S42+10, "dddd")</f>
        <v>martes</v>
      </c>
      <c r="N73" s="13" t="str">
        <f>TEXT(S42+11, "dddd")</f>
        <v>miércoles</v>
      </c>
      <c r="O73" s="13" t="str">
        <f>TEXT(S42+12, "dddd")</f>
        <v>jueves</v>
      </c>
      <c r="P73" s="14" t="str">
        <f>TEXT(S42+13, "dddd")</f>
        <v>viernes</v>
      </c>
    </row>
    <row r="74" spans="1:16" ht="15.75" thickBot="1" x14ac:dyDescent="0.3">
      <c r="B74" s="19"/>
      <c r="C74" s="19" t="s">
        <v>0</v>
      </c>
      <c r="D74" s="13" t="s">
        <v>1</v>
      </c>
      <c r="E74" s="13" t="s">
        <v>2</v>
      </c>
      <c r="F74" s="13" t="s">
        <v>3</v>
      </c>
      <c r="G74" s="13" t="s">
        <v>4</v>
      </c>
      <c r="H74" s="13" t="s">
        <v>5</v>
      </c>
      <c r="I74" s="13" t="s">
        <v>6</v>
      </c>
      <c r="J74" s="13" t="s">
        <v>7</v>
      </c>
      <c r="K74" s="13" t="s">
        <v>8</v>
      </c>
      <c r="L74" s="13" t="s">
        <v>9</v>
      </c>
      <c r="M74" s="13" t="s">
        <v>14</v>
      </c>
      <c r="N74" s="13" t="s">
        <v>15</v>
      </c>
      <c r="O74" s="13" t="s">
        <v>16</v>
      </c>
      <c r="P74" s="14" t="s">
        <v>17</v>
      </c>
    </row>
    <row r="75" spans="1:16" x14ac:dyDescent="0.25">
      <c r="B75" s="17">
        <v>0.29166666666666669</v>
      </c>
      <c r="C75" s="21">
        <v>451</v>
      </c>
      <c r="D75" s="7" t="s">
        <v>122</v>
      </c>
      <c r="E75" s="7" t="s">
        <v>125</v>
      </c>
      <c r="F75" s="7" t="s">
        <v>122</v>
      </c>
      <c r="G75" s="23" t="s">
        <v>122</v>
      </c>
      <c r="H75" s="7"/>
      <c r="I75" s="7"/>
      <c r="J75" s="23" t="s">
        <v>126</v>
      </c>
      <c r="K75" s="23" t="s">
        <v>124</v>
      </c>
      <c r="L75" s="23" t="s">
        <v>131</v>
      </c>
      <c r="M75" s="23" t="s">
        <v>126</v>
      </c>
      <c r="N75" s="23" t="s">
        <v>131</v>
      </c>
      <c r="O75" s="7"/>
      <c r="P75" s="8"/>
    </row>
    <row r="76" spans="1:16" x14ac:dyDescent="0.25">
      <c r="B76" s="17">
        <v>0.33333333333333331</v>
      </c>
      <c r="C76" s="15"/>
      <c r="D76" s="7" t="s">
        <v>122</v>
      </c>
      <c r="E76" s="7" t="s">
        <v>125</v>
      </c>
      <c r="F76" s="7" t="s">
        <v>122</v>
      </c>
      <c r="G76" s="23" t="s">
        <v>122</v>
      </c>
      <c r="H76" s="7"/>
      <c r="I76" s="7"/>
      <c r="J76" s="23" t="s">
        <v>126</v>
      </c>
      <c r="K76" s="23" t="s">
        <v>124</v>
      </c>
      <c r="L76" s="23" t="s">
        <v>132</v>
      </c>
      <c r="M76" s="23" t="s">
        <v>126</v>
      </c>
      <c r="N76" s="23" t="s">
        <v>131</v>
      </c>
      <c r="O76" s="7"/>
      <c r="P76" s="8"/>
    </row>
    <row r="77" spans="1:16" x14ac:dyDescent="0.25">
      <c r="B77" s="17">
        <v>0.375</v>
      </c>
      <c r="C77" s="15"/>
      <c r="D77" s="23" t="s">
        <v>122</v>
      </c>
      <c r="E77" s="23" t="s">
        <v>125</v>
      </c>
      <c r="F77" s="23" t="s">
        <v>122</v>
      </c>
      <c r="G77" s="23" t="s">
        <v>127</v>
      </c>
      <c r="H77" s="7"/>
      <c r="I77" s="7"/>
      <c r="J77" s="23" t="s">
        <v>129</v>
      </c>
      <c r="K77" s="23" t="s">
        <v>131</v>
      </c>
      <c r="L77" s="23" t="s">
        <v>131</v>
      </c>
      <c r="M77" s="23" t="s">
        <v>133</v>
      </c>
      <c r="N77" s="23" t="s">
        <v>131</v>
      </c>
      <c r="O77" s="7"/>
      <c r="P77" s="8"/>
    </row>
    <row r="78" spans="1:16" x14ac:dyDescent="0.25">
      <c r="B78" s="17">
        <v>0.41666666666666669</v>
      </c>
      <c r="C78" s="15"/>
      <c r="D78" s="23" t="s">
        <v>122</v>
      </c>
      <c r="E78" s="23" t="s">
        <v>125</v>
      </c>
      <c r="F78" s="23" t="s">
        <v>122</v>
      </c>
      <c r="G78" s="23" t="s">
        <v>127</v>
      </c>
      <c r="H78" s="7"/>
      <c r="I78" s="7"/>
      <c r="J78" s="23" t="s">
        <v>130</v>
      </c>
      <c r="K78" s="23" t="s">
        <v>131</v>
      </c>
      <c r="L78" s="23" t="s">
        <v>126</v>
      </c>
      <c r="M78" s="23" t="s">
        <v>133</v>
      </c>
      <c r="N78" s="23" t="s">
        <v>131</v>
      </c>
      <c r="O78" s="7"/>
      <c r="P78" s="8"/>
    </row>
    <row r="79" spans="1:16" x14ac:dyDescent="0.25">
      <c r="B79" s="17">
        <v>0.45833333333333331</v>
      </c>
      <c r="C79" s="15"/>
      <c r="D79" s="23" t="s">
        <v>122</v>
      </c>
      <c r="E79" s="23" t="s">
        <v>125</v>
      </c>
      <c r="F79" s="23" t="s">
        <v>124</v>
      </c>
      <c r="G79" s="23" t="s">
        <v>122</v>
      </c>
      <c r="H79" s="7"/>
      <c r="I79" s="7"/>
      <c r="J79" s="23" t="s">
        <v>130</v>
      </c>
      <c r="K79" s="23" t="s">
        <v>131</v>
      </c>
      <c r="L79" s="23" t="s">
        <v>131</v>
      </c>
      <c r="M79" s="7"/>
      <c r="N79" s="23" t="s">
        <v>133</v>
      </c>
      <c r="O79" s="7"/>
      <c r="P79" s="8"/>
    </row>
    <row r="80" spans="1:16" x14ac:dyDescent="0.25">
      <c r="B80" s="17">
        <v>0.5</v>
      </c>
      <c r="C80" s="15"/>
      <c r="D80" s="23" t="s">
        <v>122</v>
      </c>
      <c r="E80" s="23" t="s">
        <v>125</v>
      </c>
      <c r="F80" s="23" t="s">
        <v>122</v>
      </c>
      <c r="G80" s="31" t="s">
        <v>140</v>
      </c>
      <c r="H80" s="7"/>
      <c r="I80" s="7"/>
      <c r="J80" s="23" t="s">
        <v>130</v>
      </c>
      <c r="K80" s="23" t="s">
        <v>131</v>
      </c>
      <c r="L80" s="23" t="s">
        <v>133</v>
      </c>
      <c r="M80" s="7"/>
      <c r="N80" s="23" t="s">
        <v>133</v>
      </c>
      <c r="O80" s="7"/>
      <c r="P80" s="8"/>
    </row>
    <row r="81" spans="1:16" x14ac:dyDescent="0.25">
      <c r="B81" s="17">
        <v>0.54166666666666663</v>
      </c>
      <c r="C81" s="15"/>
      <c r="D81" s="23" t="s">
        <v>122</v>
      </c>
      <c r="E81" s="23" t="s">
        <v>122</v>
      </c>
      <c r="F81" s="23" t="s">
        <v>124</v>
      </c>
      <c r="G81" s="7"/>
      <c r="H81" s="7"/>
      <c r="I81" s="7"/>
      <c r="J81" s="23" t="s">
        <v>130</v>
      </c>
      <c r="K81" s="23" t="s">
        <v>131</v>
      </c>
      <c r="L81" s="23" t="s">
        <v>131</v>
      </c>
      <c r="M81" s="7"/>
      <c r="N81" s="23" t="s">
        <v>133</v>
      </c>
      <c r="O81" s="7"/>
      <c r="P81" s="8"/>
    </row>
    <row r="82" spans="1:16" x14ac:dyDescent="0.25">
      <c r="A82" s="26" t="s">
        <v>136</v>
      </c>
      <c r="B82" s="17">
        <v>0.58333333333333337</v>
      </c>
      <c r="C82" s="20" t="s">
        <v>123</v>
      </c>
      <c r="D82" s="23" t="s">
        <v>122</v>
      </c>
      <c r="E82" s="24" t="s">
        <v>122</v>
      </c>
      <c r="F82" s="23" t="s">
        <v>122</v>
      </c>
      <c r="G82" s="23"/>
      <c r="H82" s="7"/>
      <c r="I82" s="7"/>
      <c r="J82" s="23" t="s">
        <v>126</v>
      </c>
      <c r="K82" s="23" t="s">
        <v>131</v>
      </c>
      <c r="L82" s="7"/>
      <c r="M82" s="7"/>
      <c r="N82" s="7"/>
      <c r="O82" s="7"/>
      <c r="P82" s="8"/>
    </row>
    <row r="83" spans="1:16" x14ac:dyDescent="0.25">
      <c r="B83" s="17">
        <v>0.625</v>
      </c>
      <c r="C83" s="15" t="s">
        <v>123</v>
      </c>
      <c r="D83" s="23" t="s">
        <v>122</v>
      </c>
      <c r="E83" s="23" t="s">
        <v>122</v>
      </c>
      <c r="F83" s="31" t="s">
        <v>140</v>
      </c>
      <c r="G83" s="23"/>
      <c r="H83" s="7"/>
      <c r="I83" s="7"/>
      <c r="J83" s="7"/>
      <c r="K83" s="7"/>
      <c r="L83" s="7"/>
      <c r="M83" s="7"/>
      <c r="N83" s="7"/>
      <c r="O83" s="7"/>
      <c r="P83" s="8"/>
    </row>
    <row r="84" spans="1:16" x14ac:dyDescent="0.25">
      <c r="B84" s="17">
        <v>0.66666666666666663</v>
      </c>
      <c r="C84" s="15" t="s">
        <v>123</v>
      </c>
      <c r="D84" s="23" t="s">
        <v>124</v>
      </c>
      <c r="E84" s="23" t="s">
        <v>126</v>
      </c>
      <c r="F84" s="23"/>
      <c r="G84" s="23"/>
      <c r="H84" s="7"/>
      <c r="I84" s="7"/>
      <c r="J84" s="7"/>
      <c r="K84" s="7"/>
      <c r="L84" s="7"/>
      <c r="M84" s="7"/>
      <c r="N84" s="7"/>
      <c r="O84" s="7"/>
      <c r="P84" s="8"/>
    </row>
    <row r="85" spans="1:16" x14ac:dyDescent="0.25">
      <c r="B85" s="17">
        <v>0.70833333333333337</v>
      </c>
      <c r="C85" s="15" t="s">
        <v>122</v>
      </c>
      <c r="D85" s="23" t="s">
        <v>124</v>
      </c>
      <c r="E85" s="23" t="s">
        <v>126</v>
      </c>
      <c r="F85" s="23"/>
      <c r="G85" s="7"/>
      <c r="H85" s="7"/>
      <c r="I85" s="7"/>
      <c r="J85" s="7"/>
      <c r="K85" s="7"/>
      <c r="L85" s="7"/>
      <c r="M85" s="7"/>
      <c r="N85" s="7"/>
      <c r="O85" s="7"/>
      <c r="P85" s="8"/>
    </row>
    <row r="86" spans="1:16" ht="15.75" thickBot="1" x14ac:dyDescent="0.3">
      <c r="B86" s="18">
        <v>0.75</v>
      </c>
      <c r="C86" s="16" t="s">
        <v>122</v>
      </c>
      <c r="D86" s="9" t="s">
        <v>122</v>
      </c>
      <c r="E86" s="34" t="s">
        <v>139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10"/>
    </row>
    <row r="87" spans="1:16" x14ac:dyDescent="0.25">
      <c r="A87" s="27" t="s">
        <v>137</v>
      </c>
      <c r="C87" s="28">
        <v>201</v>
      </c>
      <c r="D87" s="25">
        <v>287</v>
      </c>
      <c r="E87">
        <v>281</v>
      </c>
      <c r="F87" s="25">
        <v>218</v>
      </c>
      <c r="G87" s="30">
        <v>170</v>
      </c>
      <c r="H87" s="30">
        <v>132</v>
      </c>
      <c r="I87">
        <v>102</v>
      </c>
      <c r="J87">
        <v>79</v>
      </c>
      <c r="K87">
        <v>62</v>
      </c>
      <c r="L87">
        <v>48</v>
      </c>
      <c r="M87">
        <v>37</v>
      </c>
      <c r="N87">
        <v>29</v>
      </c>
      <c r="O87">
        <v>22</v>
      </c>
      <c r="P87">
        <v>17</v>
      </c>
    </row>
    <row r="88" spans="1:16" x14ac:dyDescent="0.25">
      <c r="A88" s="28" t="s">
        <v>138</v>
      </c>
      <c r="E88" s="28">
        <v>125</v>
      </c>
      <c r="F88" s="28">
        <v>174</v>
      </c>
      <c r="G88" s="30"/>
      <c r="H88" s="30"/>
    </row>
    <row r="89" spans="1:16" x14ac:dyDescent="0.25">
      <c r="A89" s="32" t="s">
        <v>141</v>
      </c>
    </row>
    <row r="90" spans="1:16" x14ac:dyDescent="0.25">
      <c r="A90" s="35" t="s">
        <v>144</v>
      </c>
    </row>
    <row r="93" spans="1:16" x14ac:dyDescent="0.25">
      <c r="A93" s="41" t="s">
        <v>142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ht="15.75" thickBot="1" x14ac:dyDescent="0.3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ht="15.75" thickBot="1" x14ac:dyDescent="0.3">
      <c r="B95" s="12" t="s">
        <v>21</v>
      </c>
      <c r="C95" s="13" t="str">
        <f>TEXT(S64, "dddd")</f>
        <v>sábado</v>
      </c>
      <c r="D95" s="13" t="str">
        <f>TEXT(S64+1, "dddd")</f>
        <v>domingo</v>
      </c>
      <c r="E95" s="13" t="str">
        <f>TEXT(S64+2, "dddd")</f>
        <v>lunes</v>
      </c>
      <c r="F95" s="13" t="str">
        <f>TEXT(S64+3, "dddd")</f>
        <v>martes</v>
      </c>
      <c r="G95" s="13" t="str">
        <f>TEXT(S64+4, "dddd")</f>
        <v>miércoles</v>
      </c>
      <c r="H95" s="13" t="str">
        <f>TEXT(S64+5, "dddd")</f>
        <v>jueves</v>
      </c>
      <c r="I95" s="13" t="str">
        <f>TEXT(S64+6, "dddd")</f>
        <v>viernes</v>
      </c>
      <c r="J95" s="13" t="str">
        <f>TEXT(S64+7, "dddd")</f>
        <v>sábado</v>
      </c>
      <c r="K95" s="13" t="str">
        <f>TEXT(S64+8, "dddd")</f>
        <v>domingo</v>
      </c>
      <c r="L95" s="13" t="str">
        <f>TEXT(S64+9, "dddd")</f>
        <v>lunes</v>
      </c>
      <c r="M95" s="13" t="str">
        <f>TEXT(S64+10, "dddd")</f>
        <v>martes</v>
      </c>
      <c r="N95" s="13" t="str">
        <f>TEXT(S64+11, "dddd")</f>
        <v>miércoles</v>
      </c>
      <c r="O95" s="13" t="str">
        <f>TEXT(S64+12, "dddd")</f>
        <v>jueves</v>
      </c>
      <c r="P95" s="14" t="str">
        <f>TEXT(S64+13, "dddd")</f>
        <v>viernes</v>
      </c>
    </row>
    <row r="96" spans="1:16" ht="15.75" thickBot="1" x14ac:dyDescent="0.3">
      <c r="B96" s="19"/>
      <c r="C96" s="19" t="s">
        <v>0</v>
      </c>
      <c r="D96" s="13" t="s">
        <v>1</v>
      </c>
      <c r="E96" s="13" t="s">
        <v>2</v>
      </c>
      <c r="F96" s="13" t="s">
        <v>3</v>
      </c>
      <c r="G96" s="13" t="s">
        <v>4</v>
      </c>
      <c r="H96" s="13" t="s">
        <v>5</v>
      </c>
      <c r="I96" s="13" t="s">
        <v>6</v>
      </c>
      <c r="J96" s="13" t="s">
        <v>7</v>
      </c>
      <c r="K96" s="13" t="s">
        <v>8</v>
      </c>
      <c r="L96" s="13" t="s">
        <v>9</v>
      </c>
      <c r="M96" s="13" t="s">
        <v>14</v>
      </c>
      <c r="N96" s="13" t="s">
        <v>15</v>
      </c>
      <c r="O96" s="13" t="s">
        <v>16</v>
      </c>
      <c r="P96" s="14" t="s">
        <v>17</v>
      </c>
    </row>
    <row r="97" spans="1:16" x14ac:dyDescent="0.25">
      <c r="B97" s="17">
        <v>0.29166666666666669</v>
      </c>
      <c r="C97" s="21">
        <v>451</v>
      </c>
      <c r="D97" s="7" t="s">
        <v>122</v>
      </c>
      <c r="E97" s="7" t="s">
        <v>125</v>
      </c>
      <c r="F97" s="7" t="s">
        <v>122</v>
      </c>
      <c r="G97" s="23" t="s">
        <v>122</v>
      </c>
      <c r="H97" s="7"/>
      <c r="I97" s="7"/>
      <c r="J97" s="23" t="s">
        <v>126</v>
      </c>
      <c r="K97" s="23" t="s">
        <v>124</v>
      </c>
      <c r="L97" s="23" t="s">
        <v>131</v>
      </c>
      <c r="M97" s="23" t="s">
        <v>126</v>
      </c>
      <c r="N97" s="23" t="s">
        <v>131</v>
      </c>
      <c r="O97" s="7"/>
      <c r="P97" s="8"/>
    </row>
    <row r="98" spans="1:16" x14ac:dyDescent="0.25">
      <c r="B98" s="17">
        <v>0.33333333333333331</v>
      </c>
      <c r="C98" s="15"/>
      <c r="D98" s="7" t="s">
        <v>122</v>
      </c>
      <c r="E98" s="7" t="s">
        <v>125</v>
      </c>
      <c r="F98" s="7" t="s">
        <v>122</v>
      </c>
      <c r="G98" s="23" t="s">
        <v>122</v>
      </c>
      <c r="H98" s="7"/>
      <c r="I98" s="7"/>
      <c r="J98" s="23" t="s">
        <v>126</v>
      </c>
      <c r="K98" s="23" t="s">
        <v>124</v>
      </c>
      <c r="L98" s="23" t="s">
        <v>132</v>
      </c>
      <c r="M98" s="23" t="s">
        <v>126</v>
      </c>
      <c r="N98" s="23" t="s">
        <v>131</v>
      </c>
      <c r="O98" s="7"/>
      <c r="P98" s="8"/>
    </row>
    <row r="99" spans="1:16" x14ac:dyDescent="0.25">
      <c r="B99" s="17">
        <v>0.375</v>
      </c>
      <c r="C99" s="15"/>
      <c r="D99" s="23" t="s">
        <v>122</v>
      </c>
      <c r="E99" s="23" t="s">
        <v>125</v>
      </c>
      <c r="F99" s="23" t="s">
        <v>122</v>
      </c>
      <c r="G99" s="23" t="s">
        <v>127</v>
      </c>
      <c r="H99" s="7"/>
      <c r="I99" s="7"/>
      <c r="J99" s="23" t="s">
        <v>129</v>
      </c>
      <c r="K99" s="23" t="s">
        <v>131</v>
      </c>
      <c r="L99" s="23" t="s">
        <v>131</v>
      </c>
      <c r="M99" s="23" t="s">
        <v>133</v>
      </c>
      <c r="N99" s="23" t="s">
        <v>131</v>
      </c>
      <c r="O99" s="7"/>
      <c r="P99" s="8"/>
    </row>
    <row r="100" spans="1:16" x14ac:dyDescent="0.25">
      <c r="B100" s="17">
        <v>0.41666666666666669</v>
      </c>
      <c r="C100" s="15"/>
      <c r="D100" s="23" t="s">
        <v>122</v>
      </c>
      <c r="E100" s="23" t="s">
        <v>125</v>
      </c>
      <c r="F100" s="23" t="s">
        <v>122</v>
      </c>
      <c r="G100" s="23" t="s">
        <v>127</v>
      </c>
      <c r="H100" s="7"/>
      <c r="I100" s="7"/>
      <c r="J100" s="23" t="s">
        <v>130</v>
      </c>
      <c r="K100" s="23" t="s">
        <v>131</v>
      </c>
      <c r="L100" s="23" t="s">
        <v>126</v>
      </c>
      <c r="M100" s="23" t="s">
        <v>133</v>
      </c>
      <c r="N100" s="23" t="s">
        <v>131</v>
      </c>
      <c r="O100" s="7"/>
      <c r="P100" s="8"/>
    </row>
    <row r="101" spans="1:16" x14ac:dyDescent="0.25">
      <c r="B101" s="17">
        <v>0.45833333333333331</v>
      </c>
      <c r="C101" s="15"/>
      <c r="D101" s="23" t="s">
        <v>122</v>
      </c>
      <c r="E101" s="23" t="s">
        <v>125</v>
      </c>
      <c r="F101" s="23" t="s">
        <v>124</v>
      </c>
      <c r="G101" s="23" t="s">
        <v>122</v>
      </c>
      <c r="H101" s="7"/>
      <c r="I101" s="7"/>
      <c r="J101" s="23" t="s">
        <v>130</v>
      </c>
      <c r="K101" s="23" t="s">
        <v>131</v>
      </c>
      <c r="L101" s="23" t="s">
        <v>131</v>
      </c>
      <c r="M101" s="7"/>
      <c r="N101" s="23" t="s">
        <v>133</v>
      </c>
      <c r="O101" s="7"/>
      <c r="P101" s="8"/>
    </row>
    <row r="102" spans="1:16" x14ac:dyDescent="0.25">
      <c r="B102" s="17">
        <v>0.5</v>
      </c>
      <c r="C102" s="15"/>
      <c r="D102" s="23" t="s">
        <v>122</v>
      </c>
      <c r="E102" s="23" t="s">
        <v>125</v>
      </c>
      <c r="F102" s="23" t="s">
        <v>122</v>
      </c>
      <c r="G102" s="23"/>
      <c r="H102" s="7"/>
      <c r="I102" s="7"/>
      <c r="J102" s="23" t="s">
        <v>130</v>
      </c>
      <c r="K102" s="23" t="s">
        <v>131</v>
      </c>
      <c r="L102" s="23" t="s">
        <v>133</v>
      </c>
      <c r="M102" s="7"/>
      <c r="N102" s="23" t="s">
        <v>133</v>
      </c>
      <c r="O102" s="7"/>
      <c r="P102" s="8"/>
    </row>
    <row r="103" spans="1:16" x14ac:dyDescent="0.25">
      <c r="B103" s="17">
        <v>0.54166666666666663</v>
      </c>
      <c r="C103" s="15"/>
      <c r="D103" s="23" t="s">
        <v>122</v>
      </c>
      <c r="E103" s="23" t="s">
        <v>122</v>
      </c>
      <c r="F103" s="23" t="s">
        <v>124</v>
      </c>
      <c r="G103" s="7"/>
      <c r="H103" s="7"/>
      <c r="I103" s="7"/>
      <c r="J103" s="23" t="s">
        <v>130</v>
      </c>
      <c r="K103" s="23" t="s">
        <v>131</v>
      </c>
      <c r="L103" s="23" t="s">
        <v>131</v>
      </c>
      <c r="M103" s="7"/>
      <c r="N103" s="23" t="s">
        <v>133</v>
      </c>
      <c r="O103" s="7"/>
      <c r="P103" s="8"/>
    </row>
    <row r="104" spans="1:16" x14ac:dyDescent="0.25">
      <c r="A104" s="26" t="s">
        <v>136</v>
      </c>
      <c r="B104" s="17">
        <v>0.58333333333333337</v>
      </c>
      <c r="C104" s="20" t="s">
        <v>123</v>
      </c>
      <c r="D104" s="23" t="s">
        <v>122</v>
      </c>
      <c r="E104" s="23" t="s">
        <v>122</v>
      </c>
      <c r="F104" s="23" t="s">
        <v>122</v>
      </c>
      <c r="G104" s="23"/>
      <c r="H104" s="7"/>
      <c r="I104" s="7"/>
      <c r="J104" s="23" t="s">
        <v>126</v>
      </c>
      <c r="K104" s="23" t="s">
        <v>131</v>
      </c>
      <c r="L104" s="24"/>
      <c r="M104" s="7"/>
      <c r="N104" s="7"/>
      <c r="O104" s="7"/>
      <c r="P104" s="8"/>
    </row>
    <row r="105" spans="1:16" x14ac:dyDescent="0.25">
      <c r="B105" s="17">
        <v>0.625</v>
      </c>
      <c r="C105" s="15" t="s">
        <v>123</v>
      </c>
      <c r="D105" s="23" t="s">
        <v>122</v>
      </c>
      <c r="E105" s="23" t="s">
        <v>122</v>
      </c>
      <c r="F105" s="23"/>
      <c r="G105" s="23"/>
      <c r="H105" s="7"/>
      <c r="I105" s="7"/>
      <c r="J105" s="7"/>
      <c r="K105" s="7"/>
      <c r="L105" s="7"/>
      <c r="M105" s="7"/>
      <c r="N105" s="7"/>
      <c r="O105" s="7"/>
      <c r="P105" s="8"/>
    </row>
    <row r="106" spans="1:16" x14ac:dyDescent="0.25">
      <c r="B106" s="17">
        <v>0.66666666666666663</v>
      </c>
      <c r="C106" s="15" t="s">
        <v>123</v>
      </c>
      <c r="D106" s="23" t="s">
        <v>124</v>
      </c>
      <c r="E106" s="23" t="s">
        <v>126</v>
      </c>
      <c r="F106" s="23"/>
      <c r="G106" s="23"/>
      <c r="H106" s="7"/>
      <c r="I106" s="7"/>
      <c r="J106" s="7"/>
      <c r="K106" s="7"/>
      <c r="L106" s="7"/>
      <c r="M106" s="7"/>
      <c r="N106" s="7"/>
      <c r="O106" s="7"/>
      <c r="P106" s="8"/>
    </row>
    <row r="107" spans="1:16" x14ac:dyDescent="0.25">
      <c r="B107" s="17">
        <v>0.70833333333333337</v>
      </c>
      <c r="C107" s="15" t="s">
        <v>122</v>
      </c>
      <c r="D107" s="23" t="s">
        <v>124</v>
      </c>
      <c r="E107" s="23" t="s">
        <v>126</v>
      </c>
      <c r="F107" s="23"/>
      <c r="G107" s="7"/>
      <c r="H107" s="7"/>
      <c r="I107" s="7"/>
      <c r="J107" s="7"/>
      <c r="K107" s="7"/>
      <c r="L107" s="7"/>
      <c r="M107" s="7"/>
      <c r="N107" s="7"/>
      <c r="O107" s="7"/>
      <c r="P107" s="8"/>
    </row>
    <row r="108" spans="1:16" ht="15.75" thickBot="1" x14ac:dyDescent="0.3">
      <c r="B108" s="18">
        <v>0.75</v>
      </c>
      <c r="C108" s="16" t="s">
        <v>122</v>
      </c>
      <c r="D108" s="9" t="s">
        <v>122</v>
      </c>
      <c r="E108" s="9" t="s">
        <v>139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0"/>
    </row>
    <row r="109" spans="1:16" x14ac:dyDescent="0.25">
      <c r="A109" s="27" t="s">
        <v>137</v>
      </c>
      <c r="C109" s="28">
        <v>201</v>
      </c>
      <c r="D109" s="25">
        <v>287</v>
      </c>
      <c r="E109">
        <v>281</v>
      </c>
      <c r="F109" s="30">
        <v>218</v>
      </c>
      <c r="G109" s="30">
        <v>170</v>
      </c>
      <c r="H109" s="30">
        <v>132</v>
      </c>
      <c r="I109">
        <v>102</v>
      </c>
      <c r="J109">
        <v>79</v>
      </c>
      <c r="K109">
        <v>62</v>
      </c>
      <c r="L109">
        <v>48</v>
      </c>
      <c r="M109">
        <v>37</v>
      </c>
      <c r="N109">
        <v>29</v>
      </c>
      <c r="O109">
        <v>22</v>
      </c>
      <c r="P109">
        <v>17</v>
      </c>
    </row>
    <row r="110" spans="1:16" x14ac:dyDescent="0.25">
      <c r="A110" s="28" t="s">
        <v>138</v>
      </c>
      <c r="E110" s="30"/>
      <c r="F110" s="30"/>
      <c r="G110" s="30"/>
      <c r="H110" s="30"/>
      <c r="L110" s="33" t="s">
        <v>143</v>
      </c>
    </row>
    <row r="111" spans="1:16" x14ac:dyDescent="0.25">
      <c r="A111" s="30"/>
    </row>
  </sheetData>
  <mergeCells count="6">
    <mergeCell ref="A49:P50"/>
    <mergeCell ref="A71:P72"/>
    <mergeCell ref="A93:P94"/>
    <mergeCell ref="A1:A14"/>
    <mergeCell ref="A15:A28"/>
    <mergeCell ref="A30:K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Nacho</cp:lastModifiedBy>
  <dcterms:created xsi:type="dcterms:W3CDTF">2017-04-18T21:56:39Z</dcterms:created>
  <dcterms:modified xsi:type="dcterms:W3CDTF">2017-07-22T14:11:53Z</dcterms:modified>
</cp:coreProperties>
</file>