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 Passport for Mac/solarSystemArch/zody/concordance/"/>
    </mc:Choice>
  </mc:AlternateContent>
  <xr:revisionPtr revIDLastSave="0" documentId="13_ncr:1_{2CEF125A-6D3D-6248-BDE2-659B62825F5B}" xr6:coauthVersionLast="46" xr6:coauthVersionMax="46" xr10:uidLastSave="{00000000-0000-0000-0000-000000000000}"/>
  <bookViews>
    <workbookView xWindow="-37300" yWindow="-9660" windowWidth="35260" windowHeight="16560" xr2:uid="{2885FF58-A304-6E4A-8AE2-C002E937BAEA}"/>
  </bookViews>
  <sheets>
    <sheet name="Sheet1" sheetId="1" r:id="rId1"/>
  </sheets>
  <definedNames>
    <definedName name="LCperDay">Sheet1!$G$2</definedName>
    <definedName name="mag12flux">Sheet1!$AG$2</definedName>
    <definedName name="plateScale">Sheet1!$AF$3</definedName>
    <definedName name="_xlnm.Print_Area" localSheetId="0">Sheet1!$A$1:$AG$28</definedName>
    <definedName name="_xlnm.Print_Titles" localSheetId="0">Sheet1!$A:$A</definedName>
    <definedName name="zce">Sheet1!$G$3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0" i="1" l="1"/>
  <c r="L34" i="1"/>
  <c r="K34" i="1"/>
  <c r="L33" i="1"/>
  <c r="K33" i="1"/>
  <c r="L32" i="1"/>
  <c r="K32" i="1"/>
  <c r="AE31" i="1" l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30" i="1" l="1"/>
  <c r="AE32" i="1" s="1"/>
  <c r="AG28" i="1"/>
  <c r="AI28" i="1" s="1"/>
  <c r="AG27" i="1"/>
  <c r="AI27" i="1" s="1"/>
  <c r="AG26" i="1"/>
  <c r="AI26" i="1" s="1"/>
  <c r="AG25" i="1"/>
  <c r="AI25" i="1" s="1"/>
  <c r="AG24" i="1"/>
  <c r="AI24" i="1" s="1"/>
  <c r="AG23" i="1"/>
  <c r="AI23" i="1" s="1"/>
  <c r="AG22" i="1"/>
  <c r="AI22" i="1" s="1"/>
  <c r="AG21" i="1"/>
  <c r="AI21" i="1" s="1"/>
  <c r="AG20" i="1"/>
  <c r="AI20" i="1" s="1"/>
  <c r="AG19" i="1"/>
  <c r="AI19" i="1" s="1"/>
  <c r="AG18" i="1"/>
  <c r="AI18" i="1" s="1"/>
  <c r="AG17" i="1"/>
  <c r="AG16" i="1"/>
  <c r="AG15" i="1"/>
  <c r="AG14" i="1"/>
  <c r="AI14" i="1" s="1"/>
  <c r="AG13" i="1"/>
  <c r="AI13" i="1" s="1"/>
  <c r="AG12" i="1"/>
  <c r="AI12" i="1" s="1"/>
  <c r="AG11" i="1"/>
  <c r="AI11" i="1" s="1"/>
  <c r="AG10" i="1"/>
  <c r="AI10" i="1" s="1"/>
  <c r="AG9" i="1"/>
  <c r="AI9" i="1" s="1"/>
  <c r="AG8" i="1"/>
  <c r="AI8" i="1" s="1"/>
  <c r="AG7" i="1"/>
  <c r="AI7" i="1" s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30" i="1" s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I30" i="1" l="1"/>
  <c r="AG6" i="1"/>
  <c r="F6" i="1"/>
  <c r="AG30" i="1" l="1"/>
  <c r="AI6" i="1"/>
  <c r="AC28" i="1"/>
  <c r="AB28" i="1"/>
  <c r="AA28" i="1"/>
  <c r="Z28" i="1"/>
  <c r="Y28" i="1"/>
  <c r="X28" i="1"/>
  <c r="G28" i="1"/>
  <c r="F28" i="1"/>
  <c r="AB24" i="1"/>
  <c r="AC23" i="1"/>
  <c r="AB23" i="1"/>
  <c r="AA23" i="1"/>
  <c r="AC22" i="1"/>
  <c r="AB22" i="1"/>
  <c r="AB20" i="1"/>
  <c r="AA13" i="1"/>
  <c r="AC12" i="1"/>
  <c r="AB12" i="1"/>
  <c r="AA12" i="1"/>
  <c r="AA9" i="1"/>
  <c r="AA8" i="1"/>
  <c r="Z27" i="1"/>
  <c r="AC27" i="1" s="1"/>
  <c r="Y27" i="1"/>
  <c r="AB27" i="1" s="1"/>
  <c r="X27" i="1"/>
  <c r="AA27" i="1" s="1"/>
  <c r="Z26" i="1"/>
  <c r="AC26" i="1" s="1"/>
  <c r="Y26" i="1"/>
  <c r="AB26" i="1" s="1"/>
  <c r="X26" i="1"/>
  <c r="AA26" i="1" s="1"/>
  <c r="Z25" i="1"/>
  <c r="AC25" i="1" s="1"/>
  <c r="Y25" i="1"/>
  <c r="AB25" i="1" s="1"/>
  <c r="X25" i="1"/>
  <c r="AA25" i="1" s="1"/>
  <c r="Z24" i="1"/>
  <c r="AC24" i="1" s="1"/>
  <c r="Y24" i="1"/>
  <c r="X24" i="1"/>
  <c r="AA24" i="1" s="1"/>
  <c r="Z23" i="1"/>
  <c r="Y23" i="1"/>
  <c r="X23" i="1"/>
  <c r="Z22" i="1"/>
  <c r="Y22" i="1"/>
  <c r="X22" i="1"/>
  <c r="AA22" i="1" s="1"/>
  <c r="Z21" i="1"/>
  <c r="AC21" i="1" s="1"/>
  <c r="Y21" i="1"/>
  <c r="AB21" i="1" s="1"/>
  <c r="X21" i="1"/>
  <c r="AA21" i="1" s="1"/>
  <c r="Z20" i="1"/>
  <c r="AC20" i="1" s="1"/>
  <c r="Y20" i="1"/>
  <c r="X20" i="1"/>
  <c r="AA20" i="1" s="1"/>
  <c r="Z19" i="1"/>
  <c r="AC19" i="1" s="1"/>
  <c r="Y19" i="1"/>
  <c r="AB19" i="1" s="1"/>
  <c r="X19" i="1"/>
  <c r="AA19" i="1" s="1"/>
  <c r="Z18" i="1"/>
  <c r="AC18" i="1" s="1"/>
  <c r="Y18" i="1"/>
  <c r="AB18" i="1" s="1"/>
  <c r="X18" i="1"/>
  <c r="AA18" i="1" s="1"/>
  <c r="Z17" i="1"/>
  <c r="AC17" i="1" s="1"/>
  <c r="Y17" i="1"/>
  <c r="AB17" i="1" s="1"/>
  <c r="X17" i="1"/>
  <c r="AA17" i="1" s="1"/>
  <c r="Z16" i="1"/>
  <c r="AC16" i="1" s="1"/>
  <c r="Y16" i="1"/>
  <c r="AB16" i="1" s="1"/>
  <c r="X16" i="1"/>
  <c r="AA16" i="1" s="1"/>
  <c r="Z15" i="1"/>
  <c r="AC15" i="1" s="1"/>
  <c r="Y15" i="1"/>
  <c r="AB15" i="1" s="1"/>
  <c r="X15" i="1"/>
  <c r="AA15" i="1" s="1"/>
  <c r="Z14" i="1"/>
  <c r="AC14" i="1" s="1"/>
  <c r="Y14" i="1"/>
  <c r="AB14" i="1" s="1"/>
  <c r="X14" i="1"/>
  <c r="AA14" i="1" s="1"/>
  <c r="Z13" i="1"/>
  <c r="AC13" i="1" s="1"/>
  <c r="Y13" i="1"/>
  <c r="AB13" i="1" s="1"/>
  <c r="X13" i="1"/>
  <c r="Z12" i="1"/>
  <c r="Y12" i="1"/>
  <c r="X12" i="1"/>
  <c r="Z11" i="1"/>
  <c r="AC11" i="1" s="1"/>
  <c r="Y11" i="1"/>
  <c r="AB11" i="1" s="1"/>
  <c r="X11" i="1"/>
  <c r="AA11" i="1" s="1"/>
  <c r="Z10" i="1"/>
  <c r="AC10" i="1" s="1"/>
  <c r="Y10" i="1"/>
  <c r="AB10" i="1" s="1"/>
  <c r="X10" i="1"/>
  <c r="AA10" i="1" s="1"/>
  <c r="Z9" i="1"/>
  <c r="AC9" i="1" s="1"/>
  <c r="Y9" i="1"/>
  <c r="AB9" i="1" s="1"/>
  <c r="X9" i="1"/>
  <c r="Z8" i="1"/>
  <c r="AC8" i="1" s="1"/>
  <c r="Y8" i="1"/>
  <c r="AB8" i="1" s="1"/>
  <c r="X8" i="1"/>
  <c r="Z7" i="1"/>
  <c r="AC7" i="1" s="1"/>
  <c r="Y7" i="1"/>
  <c r="AB7" i="1" s="1"/>
  <c r="X7" i="1"/>
  <c r="AA7" i="1" s="1"/>
  <c r="Z6" i="1"/>
  <c r="AC6" i="1" s="1"/>
  <c r="Y6" i="1"/>
  <c r="AB6" i="1" s="1"/>
  <c r="X6" i="1"/>
  <c r="AA6" i="1" s="1"/>
  <c r="H28" i="1" l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H16" i="1" l="1"/>
  <c r="H12" i="1"/>
  <c r="H9" i="1"/>
  <c r="H15" i="1"/>
  <c r="H13" i="1"/>
  <c r="H14" i="1"/>
  <c r="H20" i="1"/>
  <c r="H26" i="1"/>
  <c r="H10" i="1"/>
  <c r="H11" i="1"/>
  <c r="H23" i="1"/>
  <c r="H18" i="1"/>
  <c r="H19" i="1"/>
  <c r="H8" i="1"/>
  <c r="H22" i="1"/>
  <c r="H17" i="1"/>
  <c r="H6" i="1"/>
  <c r="H24" i="1"/>
  <c r="H7" i="1"/>
  <c r="H25" i="1"/>
  <c r="H21" i="1"/>
  <c r="H27" i="1"/>
</calcChain>
</file>

<file path=xl/sharedStrings.xml><?xml version="1.0" encoding="utf-8"?>
<sst xmlns="http://schemas.openxmlformats.org/spreadsheetml/2006/main" count="73" uniqueCount="59">
  <si>
    <t>RA</t>
  </si>
  <si>
    <t>DEC</t>
  </si>
  <si>
    <t>roll</t>
  </si>
  <si>
    <t>LCStart</t>
  </si>
  <si>
    <t>LCEnd</t>
  </si>
  <si>
    <t>SCStart</t>
  </si>
  <si>
    <t>SCEnd</t>
  </si>
  <si>
    <t>Canonical concordance</t>
  </si>
  <si>
    <t>Campaign</t>
  </si>
  <si>
    <t>EcLon</t>
  </si>
  <si>
    <t>EcLat</t>
  </si>
  <si>
    <t>+VV</t>
  </si>
  <si>
    <t>C Peterson:  elevation -53 to +30 from normal (90 relEcLon)</t>
  </si>
  <si>
    <t>Solar Elevation Angle</t>
  </si>
  <si>
    <t>J. Van Cleve, Ball</t>
  </si>
  <si>
    <t>LCperDay</t>
  </si>
  <si>
    <t>ZeroCadenceEpoch</t>
  </si>
  <si>
    <t>days MJD-55000</t>
  </si>
  <si>
    <t>c</t>
  </si>
  <si>
    <t>GalLon</t>
  </si>
  <si>
    <t>GalLat</t>
  </si>
  <si>
    <t>nCad</t>
  </si>
  <si>
    <t>Cal start D</t>
  </si>
  <si>
    <t>Cal start T</t>
  </si>
  <si>
    <t>Cal end D</t>
  </si>
  <si>
    <t>Cal end T</t>
  </si>
  <si>
    <t>MJDStart</t>
  </si>
  <si>
    <t>MJDEnd</t>
  </si>
  <si>
    <t>LengthDays</t>
  </si>
  <si>
    <t>Leinert</t>
  </si>
  <si>
    <t>mag12</t>
  </si>
  <si>
    <t>S10mid</t>
  </si>
  <si>
    <t>selmid</t>
  </si>
  <si>
    <t>mag/4pix</t>
  </si>
  <si>
    <t>median</t>
  </si>
  <si>
    <t>&lt;15</t>
  </si>
  <si>
    <t>Ecliptic Longitude of Sun</t>
  </si>
  <si>
    <t>Boresight Ecliptic Lon - Sun</t>
  </si>
  <si>
    <t>Boresight</t>
  </si>
  <si>
    <t>kepler-o-centric</t>
  </si>
  <si>
    <t>Notes</t>
  </si>
  <si>
    <t>mag/"2</t>
  </si>
  <si>
    <t>e-/pix/s</t>
  </si>
  <si>
    <t>IFOV</t>
  </si>
  <si>
    <t>arcsec/pix</t>
  </si>
  <si>
    <t>mid-Campaign sky bright (Leinert)</t>
  </si>
  <si>
    <t>Start</t>
  </si>
  <si>
    <t>Mid</t>
  </si>
  <si>
    <t>End</t>
  </si>
  <si>
    <t>RCIs</t>
  </si>
  <si>
    <t>m.o</t>
  </si>
  <si>
    <t>ch</t>
  </si>
  <si>
    <t>Earth</t>
  </si>
  <si>
    <t>Cadences</t>
  </si>
  <si>
    <t>Ch 42</t>
  </si>
  <si>
    <t>medByPix</t>
  </si>
  <si>
    <t>medByCad</t>
  </si>
  <si>
    <t>bkg</t>
  </si>
  <si>
    <t>obs/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</si>
</sst>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ourier"/>
      <family val="1"/>
    </font>
    <font>
      <u/>
      <sz val="14"/>
      <color theme="1"/>
      <name val="Calibri"/>
      <family val="2"/>
      <scheme val="minor"/>
    </font>
    <font>
      <sz val="12"/>
      <name val="Courier"/>
      <family val="1"/>
    </font>
    <font>
      <sz val="10"/>
      <color theme="1"/>
      <name val="Courier"/>
      <family val="1"/>
    </font>
    <font>
      <u/>
      <sz val="12"/>
      <color theme="1"/>
      <name val="Calibri"/>
      <family val="2"/>
      <scheme val="minor"/>
    </font>
    <font>
      <sz val="12"/>
      <color rgb="FF000000"/>
      <name val="Courier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CC5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15" fontId="1" fillId="0" borderId="1" xfId="0" applyNumberFormat="1" applyFont="1" applyBorder="1"/>
    <xf numFmtId="21" fontId="1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2" borderId="1" xfId="0" applyNumberFormat="1" applyFont="1" applyFill="1" applyBorder="1"/>
    <xf numFmtId="0" fontId="1" fillId="2" borderId="1" xfId="0" applyFont="1" applyFill="1" applyBorder="1"/>
    <xf numFmtId="0" fontId="0" fillId="2" borderId="0" xfId="0" applyFill="1"/>
    <xf numFmtId="164" fontId="1" fillId="3" borderId="1" xfId="0" applyNumberFormat="1" applyFont="1" applyFill="1" applyBorder="1"/>
    <xf numFmtId="0" fontId="1" fillId="3" borderId="1" xfId="0" applyFont="1" applyFill="1" applyBorder="1"/>
    <xf numFmtId="0" fontId="0" fillId="3" borderId="0" xfId="0" applyFill="1"/>
    <xf numFmtId="15" fontId="1" fillId="4" borderId="1" xfId="0" applyNumberFormat="1" applyFont="1" applyFill="1" applyBorder="1"/>
    <xf numFmtId="21" fontId="1" fillId="4" borderId="1" xfId="0" applyNumberFormat="1" applyFont="1" applyFill="1" applyBorder="1"/>
    <xf numFmtId="164" fontId="1" fillId="4" borderId="1" xfId="0" applyNumberFormat="1" applyFont="1" applyFill="1" applyBorder="1"/>
    <xf numFmtId="0" fontId="1" fillId="4" borderId="1" xfId="0" applyFont="1" applyFill="1" applyBorder="1"/>
    <xf numFmtId="0" fontId="0" fillId="4" borderId="0" xfId="0" applyFill="1"/>
    <xf numFmtId="0" fontId="0" fillId="4" borderId="0" xfId="0" quotePrefix="1" applyFill="1"/>
    <xf numFmtId="0" fontId="2" fillId="0" borderId="0" xfId="0" applyFont="1"/>
    <xf numFmtId="11" fontId="0" fillId="0" borderId="0" xfId="0" applyNumberFormat="1"/>
    <xf numFmtId="0" fontId="4" fillId="0" borderId="0" xfId="0" applyFont="1"/>
    <xf numFmtId="3" fontId="0" fillId="0" borderId="1" xfId="0" applyNumberFormat="1" applyBorder="1"/>
    <xf numFmtId="0" fontId="0" fillId="0" borderId="0" xfId="0" quotePrefix="1"/>
    <xf numFmtId="0" fontId="0" fillId="0" borderId="0" xfId="0" applyAlignment="1">
      <alignment horizontal="center"/>
    </xf>
    <xf numFmtId="2" fontId="1" fillId="0" borderId="1" xfId="0" applyNumberFormat="1" applyFont="1" applyBorder="1"/>
    <xf numFmtId="2" fontId="1" fillId="0" borderId="1" xfId="0" quotePrefix="1" applyNumberFormat="1" applyFont="1" applyBorder="1"/>
    <xf numFmtId="2" fontId="1" fillId="0" borderId="2" xfId="0" applyNumberFormat="1" applyFont="1" applyBorder="1"/>
    <xf numFmtId="2" fontId="3" fillId="0" borderId="1" xfId="0" applyNumberFormat="1" applyFont="1" applyBorder="1"/>
    <xf numFmtId="2" fontId="1" fillId="4" borderId="1" xfId="0" applyNumberFormat="1" applyFont="1" applyFill="1" applyBorder="1"/>
    <xf numFmtId="2" fontId="1" fillId="4" borderId="2" xfId="0" applyNumberFormat="1" applyFont="1" applyFill="1" applyBorder="1"/>
    <xf numFmtId="0" fontId="5" fillId="0" borderId="0" xfId="0" applyFont="1"/>
    <xf numFmtId="2" fontId="1" fillId="4" borderId="1" xfId="0" quotePrefix="1" applyNumberFormat="1" applyFont="1" applyFill="1" applyBorder="1"/>
    <xf numFmtId="3" fontId="0" fillId="4" borderId="1" xfId="0" applyNumberFormat="1" applyFill="1" applyBorder="1"/>
    <xf numFmtId="0" fontId="1" fillId="0" borderId="1" xfId="0" applyFont="1" applyFill="1" applyBorder="1"/>
    <xf numFmtId="15" fontId="1" fillId="0" borderId="1" xfId="0" applyNumberFormat="1" applyFont="1" applyFill="1" applyBorder="1"/>
    <xf numFmtId="21" fontId="1" fillId="0" borderId="1" xfId="0" applyNumberFormat="1" applyFont="1" applyFill="1" applyBorder="1"/>
    <xf numFmtId="2" fontId="1" fillId="0" borderId="1" xfId="0" applyNumberFormat="1" applyFont="1" applyFill="1" applyBorder="1"/>
    <xf numFmtId="2" fontId="1" fillId="0" borderId="2" xfId="0" applyNumberFormat="1" applyFont="1" applyFill="1" applyBorder="1"/>
    <xf numFmtId="2" fontId="1" fillId="0" borderId="1" xfId="0" quotePrefix="1" applyNumberFormat="1" applyFont="1" applyFill="1" applyBorder="1"/>
    <xf numFmtId="3" fontId="0" fillId="0" borderId="1" xfId="0" applyNumberFormat="1" applyFill="1" applyBorder="1"/>
    <xf numFmtId="0" fontId="0" fillId="4" borderId="0" xfId="0" quotePrefix="1" applyFill="1" applyAlignment="1">
      <alignment horizontal="center"/>
    </xf>
    <xf numFmtId="2" fontId="0" fillId="0" borderId="0" xfId="0" applyNumberFormat="1"/>
    <xf numFmtId="1" fontId="0" fillId="0" borderId="0" xfId="0" applyNumberFormat="1"/>
    <xf numFmtId="1" fontId="1" fillId="0" borderId="1" xfId="0" applyNumberFormat="1" applyFont="1" applyBorder="1"/>
    <xf numFmtId="1" fontId="1" fillId="4" borderId="1" xfId="0" applyNumberFormat="1" applyFont="1" applyFill="1" applyBorder="1"/>
    <xf numFmtId="1" fontId="1" fillId="0" borderId="1" xfId="0" applyNumberFormat="1" applyFont="1" applyFill="1" applyBorder="1"/>
    <xf numFmtId="1" fontId="6" fillId="0" borderId="0" xfId="0" applyNumberFormat="1" applyFont="1"/>
    <xf numFmtId="0" fontId="1" fillId="0" borderId="0" xfId="0" applyFont="1"/>
    <xf numFmtId="1" fontId="1" fillId="0" borderId="0" xfId="0" applyNumberFormat="1" applyFont="1"/>
    <xf numFmtId="0" fontId="0" fillId="0" borderId="0" xfId="0" applyAlignment="1">
      <alignment horizontal="right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" fontId="0" fillId="0" borderId="1" xfId="0" applyNumberFormat="1" applyFill="1" applyBorder="1"/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4" borderId="1" xfId="0" applyFill="1" applyBorder="1"/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CC5FF"/>
      <color rgb="FF8E8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0D5A-F2A3-E646-89CD-B478F36DC257}">
  <sheetPr>
    <pageSetUpPr fitToPage="1"/>
  </sheetPr>
  <dimension ref="A1:AI53"/>
  <sheetViews>
    <sheetView tabSelected="1" workbookViewId="0">
      <selection sqref="A1:AI28"/>
    </sheetView>
  </sheetViews>
  <sheetFormatPr baseColWidth="10" defaultRowHeight="16" x14ac:dyDescent="0.2"/>
  <cols>
    <col min="1" max="1" width="4.6640625" bestFit="1" customWidth="1"/>
    <col min="2" max="2" width="11.6640625" hidden="1" customWidth="1"/>
    <col min="3" max="3" width="10.5" hidden="1" customWidth="1"/>
    <col min="4" max="4" width="11.6640625" hidden="1" customWidth="1"/>
    <col min="5" max="5" width="10.5" hidden="1" customWidth="1"/>
    <col min="6" max="6" width="12.83203125" hidden="1" customWidth="1"/>
    <col min="7" max="7" width="12.6640625" hidden="1" customWidth="1"/>
    <col min="8" max="8" width="8.1640625" hidden="1" customWidth="1"/>
    <col min="9" max="10" width="8.1640625" style="42" hidden="1" customWidth="1"/>
    <col min="11" max="11" width="7" style="42" hidden="1" customWidth="1"/>
    <col min="12" max="13" width="9.33203125" style="42" hidden="1" customWidth="1"/>
    <col min="14" max="15" width="9.33203125" hidden="1" customWidth="1"/>
    <col min="16" max="16" width="10.5" hidden="1" customWidth="1"/>
    <col min="17" max="17" width="9.33203125" customWidth="1"/>
    <col min="18" max="18" width="8.1640625" customWidth="1"/>
    <col min="19" max="26" width="9.33203125" customWidth="1"/>
    <col min="27" max="27" width="9.83203125" customWidth="1"/>
    <col min="28" max="28" width="9.33203125" bestFit="1" customWidth="1"/>
    <col min="29" max="29" width="10.6640625" customWidth="1"/>
    <col min="31" max="31" width="10.5" customWidth="1"/>
    <col min="32" max="32" width="9.83203125" customWidth="1"/>
    <col min="33" max="33" width="8.83203125" customWidth="1"/>
    <col min="34" max="34" width="10.83203125" style="59"/>
    <col min="35" max="35" width="10.83203125" style="63"/>
  </cols>
  <sheetData>
    <row r="1" spans="1:35" ht="19" x14ac:dyDescent="0.25">
      <c r="F1" s="18" t="s">
        <v>7</v>
      </c>
      <c r="H1" t="s">
        <v>14</v>
      </c>
      <c r="Y1" s="30" t="s">
        <v>40</v>
      </c>
      <c r="AD1" s="20"/>
      <c r="AE1" s="20"/>
      <c r="AF1" s="62" t="s">
        <v>54</v>
      </c>
      <c r="AG1" s="62"/>
      <c r="AH1" s="62"/>
    </row>
    <row r="2" spans="1:35" x14ac:dyDescent="0.2">
      <c r="F2" t="s">
        <v>15</v>
      </c>
      <c r="G2">
        <v>48.939007686300002</v>
      </c>
      <c r="S2" s="40" t="s">
        <v>11</v>
      </c>
      <c r="Y2" t="s">
        <v>12</v>
      </c>
      <c r="AD2" s="20"/>
      <c r="AF2" t="s">
        <v>30</v>
      </c>
      <c r="AG2" s="19">
        <v>215700</v>
      </c>
      <c r="AH2" t="s">
        <v>42</v>
      </c>
    </row>
    <row r="3" spans="1:35" ht="17" thickBot="1" x14ac:dyDescent="0.25">
      <c r="C3" s="17" t="s">
        <v>11</v>
      </c>
      <c r="F3" t="s">
        <v>16</v>
      </c>
      <c r="G3">
        <v>-58.578337985090911</v>
      </c>
      <c r="H3" t="s">
        <v>17</v>
      </c>
      <c r="U3" s="50" t="s">
        <v>39</v>
      </c>
      <c r="V3" s="50"/>
      <c r="W3" s="50"/>
      <c r="AE3" t="s">
        <v>43</v>
      </c>
      <c r="AF3">
        <v>3.98</v>
      </c>
      <c r="AG3" t="s">
        <v>44</v>
      </c>
      <c r="AH3" s="60" t="s">
        <v>55</v>
      </c>
      <c r="AI3" s="63" t="s">
        <v>57</v>
      </c>
    </row>
    <row r="4" spans="1:35" ht="17" thickBot="1" x14ac:dyDescent="0.25">
      <c r="Q4" s="56" t="s">
        <v>38</v>
      </c>
      <c r="R4" s="57"/>
      <c r="S4" s="57"/>
      <c r="T4" s="58"/>
      <c r="U4" s="52" t="s">
        <v>36</v>
      </c>
      <c r="V4" s="52"/>
      <c r="W4" s="53"/>
      <c r="X4" s="51" t="s">
        <v>37</v>
      </c>
      <c r="Y4" s="52"/>
      <c r="Z4" s="53"/>
      <c r="AA4" s="51" t="s">
        <v>13</v>
      </c>
      <c r="AB4" s="52"/>
      <c r="AC4" s="53"/>
      <c r="AD4" t="s">
        <v>29</v>
      </c>
      <c r="AE4" s="51" t="s">
        <v>45</v>
      </c>
      <c r="AF4" s="52"/>
      <c r="AG4" s="53"/>
      <c r="AH4" s="60" t="s">
        <v>56</v>
      </c>
      <c r="AI4" s="63" t="s">
        <v>58</v>
      </c>
    </row>
    <row r="5" spans="1:35" x14ac:dyDescent="0.2">
      <c r="A5" t="s">
        <v>8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s="42" t="s">
        <v>3</v>
      </c>
      <c r="J5" s="42" t="s">
        <v>4</v>
      </c>
      <c r="K5" s="42" t="s">
        <v>21</v>
      </c>
      <c r="L5" s="42" t="s">
        <v>5</v>
      </c>
      <c r="M5" s="42" t="s">
        <v>6</v>
      </c>
      <c r="N5" t="s">
        <v>0</v>
      </c>
      <c r="O5" t="s">
        <v>1</v>
      </c>
      <c r="P5" t="s">
        <v>2</v>
      </c>
      <c r="Q5" t="s">
        <v>9</v>
      </c>
      <c r="R5" t="s">
        <v>10</v>
      </c>
      <c r="S5" t="s">
        <v>19</v>
      </c>
      <c r="T5" t="s">
        <v>20</v>
      </c>
      <c r="U5" s="23" t="s">
        <v>46</v>
      </c>
      <c r="V5" s="23" t="s">
        <v>47</v>
      </c>
      <c r="W5" s="23" t="s">
        <v>48</v>
      </c>
      <c r="X5" s="23" t="s">
        <v>46</v>
      </c>
      <c r="Y5" s="23" t="s">
        <v>47</v>
      </c>
      <c r="Z5" s="23" t="s">
        <v>48</v>
      </c>
      <c r="AA5" s="23" t="s">
        <v>46</v>
      </c>
      <c r="AB5" s="23" t="s">
        <v>47</v>
      </c>
      <c r="AC5" s="23" t="s">
        <v>48</v>
      </c>
      <c r="AD5" t="s">
        <v>31</v>
      </c>
      <c r="AE5" t="s">
        <v>41</v>
      </c>
      <c r="AF5" t="s">
        <v>33</v>
      </c>
      <c r="AG5" t="s">
        <v>42</v>
      </c>
      <c r="AH5" s="60" t="s">
        <v>42</v>
      </c>
      <c r="AI5" s="63" t="s">
        <v>29</v>
      </c>
    </row>
    <row r="6" spans="1:35" x14ac:dyDescent="0.2">
      <c r="A6" s="3">
        <v>0</v>
      </c>
      <c r="B6" s="1">
        <v>41710</v>
      </c>
      <c r="C6" s="2">
        <v>1.2847222222222223E-2</v>
      </c>
      <c r="D6" s="1">
        <v>41786</v>
      </c>
      <c r="E6" s="2">
        <v>0.70015046296296291</v>
      </c>
      <c r="F6" s="24">
        <f>55000+zce+I6/LCperDay</f>
        <v>56728.012852430002</v>
      </c>
      <c r="G6" s="24">
        <f t="shared" ref="G6:G28" si="0">55000+zce+J6/LCperDay</f>
        <v>56804.679711391473</v>
      </c>
      <c r="H6" s="24">
        <f>G6-F6</f>
        <v>76.666858961471007</v>
      </c>
      <c r="I6" s="43">
        <v>87434</v>
      </c>
      <c r="J6" s="43">
        <v>91186</v>
      </c>
      <c r="K6" s="43">
        <f>J6-I6</f>
        <v>3752</v>
      </c>
      <c r="L6" s="43">
        <v>2611480</v>
      </c>
      <c r="M6" s="43">
        <v>2724069</v>
      </c>
      <c r="N6" s="24">
        <v>98.298543899999999</v>
      </c>
      <c r="O6" s="24">
        <v>21.590416699999999</v>
      </c>
      <c r="P6" s="24">
        <v>177.47547299999999</v>
      </c>
      <c r="Q6" s="24">
        <v>97.716399999999993</v>
      </c>
      <c r="R6" s="24">
        <v>-1.6874</v>
      </c>
      <c r="S6" s="24">
        <v>191.6395</v>
      </c>
      <c r="T6" s="24">
        <v>5.8535000000000004</v>
      </c>
      <c r="U6" s="24">
        <v>318.78050000000002</v>
      </c>
      <c r="V6" s="24">
        <v>356.80829999999997</v>
      </c>
      <c r="W6" s="24">
        <v>33.1768</v>
      </c>
      <c r="X6" s="24">
        <f>$Q6-U6+360*(($Q6-U6)&lt;0)</f>
        <v>138.93589999999998</v>
      </c>
      <c r="Y6" s="24">
        <f t="shared" ref="Y6:Y27" si="1">$Q6-V6+360*(($Q6-V6)&lt;0)</f>
        <v>100.90809999999999</v>
      </c>
      <c r="Z6" s="24">
        <f t="shared" ref="Z6:Z27" si="2">$Q6-W6+360*(($Q6-W6)&lt;0)</f>
        <v>64.539599999999993</v>
      </c>
      <c r="AA6" s="24">
        <f>90-X6</f>
        <v>-48.935899999999975</v>
      </c>
      <c r="AB6" s="24">
        <f t="shared" ref="AB6:AB27" si="3">90-Y6</f>
        <v>-10.90809999999999</v>
      </c>
      <c r="AC6" s="24">
        <f t="shared" ref="AC6:AC27" si="4">90-Z6</f>
        <v>25.460400000000007</v>
      </c>
      <c r="AD6" s="24">
        <v>174.12629999999999</v>
      </c>
      <c r="AE6" s="25">
        <f>10-2.5*LOG10(AD6*(1/3600)^2)</f>
        <v>22.179351574287701</v>
      </c>
      <c r="AF6" s="25">
        <f t="shared" ref="AF6:AF28" si="5">10-2.5*LOG10(AD6*(2*plateScale/3600)^2)</f>
        <v>17.674786235599356</v>
      </c>
      <c r="AG6" s="21">
        <f t="shared" ref="AG6:AG28" si="6">2.512^(12-AE6)*mag12flux*plateScale^2</f>
        <v>289.51814486998308</v>
      </c>
      <c r="AH6" s="61">
        <v>348.7</v>
      </c>
      <c r="AI6" s="64">
        <f>AH6/AG6</f>
        <v>1.2044150122493853</v>
      </c>
    </row>
    <row r="7" spans="1:35" x14ac:dyDescent="0.2">
      <c r="A7" s="3">
        <v>1</v>
      </c>
      <c r="B7" s="1">
        <v>41789</v>
      </c>
      <c r="C7" s="2">
        <v>0.66300925925925924</v>
      </c>
      <c r="D7" s="1">
        <v>41871</v>
      </c>
      <c r="E7" s="2">
        <v>0.84695601851851843</v>
      </c>
      <c r="F7" s="24">
        <f t="shared" ref="F7:F28" si="7">55000+zce+I7/LCperDay</f>
        <v>56807.663016670893</v>
      </c>
      <c r="G7" s="24">
        <f t="shared" si="0"/>
        <v>56889.826513441702</v>
      </c>
      <c r="H7" s="24">
        <f t="shared" ref="H7:H27" si="8">G7-F7</f>
        <v>82.163496770808706</v>
      </c>
      <c r="I7" s="43">
        <v>91332</v>
      </c>
      <c r="J7" s="43">
        <v>95353</v>
      </c>
      <c r="K7" s="43">
        <f t="shared" ref="K7:K28" si="9">J7-I7</f>
        <v>4021</v>
      </c>
      <c r="L7" s="43">
        <v>2728420</v>
      </c>
      <c r="M7" s="43">
        <v>2849079</v>
      </c>
      <c r="N7" s="24">
        <v>173.93960999999999</v>
      </c>
      <c r="O7" s="24">
        <v>1.4172989</v>
      </c>
      <c r="P7" s="24">
        <v>157.64120600000001</v>
      </c>
      <c r="Q7" s="24">
        <v>173.87690000000001</v>
      </c>
      <c r="R7" s="24">
        <v>-1.1119000000000001</v>
      </c>
      <c r="S7" s="24">
        <v>264.54680000000002</v>
      </c>
      <c r="T7" s="24">
        <v>58.529600000000002</v>
      </c>
      <c r="U7" s="24">
        <v>35.953000000000003</v>
      </c>
      <c r="V7" s="24">
        <v>73.413799999999995</v>
      </c>
      <c r="W7" s="24">
        <v>110.44799999999999</v>
      </c>
      <c r="X7" s="26">
        <f t="shared" ref="X7:X27" si="10">$Q7-U7+360*(($Q7-U7)&lt;0)</f>
        <v>137.9239</v>
      </c>
      <c r="Y7" s="26">
        <f t="shared" si="1"/>
        <v>100.46310000000001</v>
      </c>
      <c r="Z7" s="26">
        <f t="shared" si="2"/>
        <v>63.428900000000013</v>
      </c>
      <c r="AA7" s="26">
        <f t="shared" ref="AA7:AA27" si="11">90-X7</f>
        <v>-47.923900000000003</v>
      </c>
      <c r="AB7" s="26">
        <f t="shared" si="3"/>
        <v>-10.463100000000011</v>
      </c>
      <c r="AC7" s="26">
        <f t="shared" si="4"/>
        <v>26.571099999999987</v>
      </c>
      <c r="AD7" s="26">
        <v>175.46619999999999</v>
      </c>
      <c r="AE7" s="25">
        <f t="shared" ref="AE7:AE28" si="12">10-2.5*LOG10(AD7*(1/3600)^2)</f>
        <v>22.171028826720974</v>
      </c>
      <c r="AF7" s="25">
        <f t="shared" si="5"/>
        <v>17.66646348803263</v>
      </c>
      <c r="AG7" s="21">
        <f t="shared" si="6"/>
        <v>291.74609365050839</v>
      </c>
      <c r="AH7" s="61">
        <v>307.89999999999998</v>
      </c>
      <c r="AI7" s="64">
        <f t="shared" ref="AI7:AI28" si="13">AH7/AG7</f>
        <v>1.0553697434209448</v>
      </c>
    </row>
    <row r="8" spans="1:35" x14ac:dyDescent="0.2">
      <c r="A8" s="3">
        <v>2</v>
      </c>
      <c r="B8" s="1">
        <v>41874</v>
      </c>
      <c r="C8" s="2">
        <v>0.76893518518518522</v>
      </c>
      <c r="D8" s="1">
        <v>41953</v>
      </c>
      <c r="E8" s="2">
        <v>0.5609143518518519</v>
      </c>
      <c r="F8" s="24">
        <f t="shared" si="7"/>
        <v>56892.768951525512</v>
      </c>
      <c r="G8" s="24">
        <f t="shared" si="0"/>
        <v>56971.54047106082</v>
      </c>
      <c r="H8" s="24">
        <f t="shared" si="8"/>
        <v>78.771519535308471</v>
      </c>
      <c r="I8" s="43">
        <v>95497</v>
      </c>
      <c r="J8" s="43">
        <v>99352</v>
      </c>
      <c r="K8" s="43">
        <f t="shared" si="9"/>
        <v>3855</v>
      </c>
      <c r="L8" s="43">
        <v>2853370</v>
      </c>
      <c r="M8" s="43">
        <v>2969049</v>
      </c>
      <c r="N8" s="24">
        <v>246.12639999999999</v>
      </c>
      <c r="O8" s="24">
        <v>-22.447299999999998</v>
      </c>
      <c r="P8" s="24">
        <v>171.22800000000001</v>
      </c>
      <c r="Q8" s="24">
        <v>248.0317</v>
      </c>
      <c r="R8" s="24">
        <v>-0.75380000000000003</v>
      </c>
      <c r="S8" s="24">
        <v>-5.6982999999999997</v>
      </c>
      <c r="T8" s="24">
        <v>18.5322</v>
      </c>
      <c r="U8" s="24">
        <v>113.10980000000001</v>
      </c>
      <c r="V8" s="24">
        <v>149.3081</v>
      </c>
      <c r="W8" s="24">
        <v>186.9478</v>
      </c>
      <c r="X8" s="26">
        <f t="shared" si="10"/>
        <v>134.92189999999999</v>
      </c>
      <c r="Y8" s="26">
        <f t="shared" si="1"/>
        <v>98.723600000000005</v>
      </c>
      <c r="Z8" s="26">
        <f t="shared" si="2"/>
        <v>61.0839</v>
      </c>
      <c r="AA8" s="26">
        <f t="shared" si="11"/>
        <v>-44.921899999999994</v>
      </c>
      <c r="AB8" s="26">
        <f t="shared" si="3"/>
        <v>-8.7236000000000047</v>
      </c>
      <c r="AC8" s="26">
        <f t="shared" si="4"/>
        <v>28.9161</v>
      </c>
      <c r="AD8" s="26">
        <v>179.6754</v>
      </c>
      <c r="AE8" s="25">
        <f t="shared" si="12"/>
        <v>22.14529095290581</v>
      </c>
      <c r="AF8" s="25">
        <f t="shared" si="5"/>
        <v>17.640725614217466</v>
      </c>
      <c r="AG8" s="21">
        <f t="shared" si="6"/>
        <v>298.74504077113716</v>
      </c>
      <c r="AH8" s="61">
        <v>442.4</v>
      </c>
      <c r="AI8" s="65">
        <f t="shared" si="13"/>
        <v>1.4808614022781859</v>
      </c>
    </row>
    <row r="9" spans="1:35" x14ac:dyDescent="0.2">
      <c r="A9" s="3">
        <v>3</v>
      </c>
      <c r="B9" s="1">
        <v>41958</v>
      </c>
      <c r="C9" s="2">
        <v>0.58755787037037044</v>
      </c>
      <c r="D9" s="1">
        <v>42027</v>
      </c>
      <c r="E9" s="2">
        <v>0.77574074074074073</v>
      </c>
      <c r="F9" s="24">
        <f t="shared" si="7"/>
        <v>56976.587569718467</v>
      </c>
      <c r="G9" s="24">
        <f t="shared" si="0"/>
        <v>57045.755298285781</v>
      </c>
      <c r="H9" s="24">
        <f t="shared" si="8"/>
        <v>69.167728567314043</v>
      </c>
      <c r="I9" s="43">
        <v>99599</v>
      </c>
      <c r="J9" s="43">
        <v>102984</v>
      </c>
      <c r="K9" s="43">
        <f t="shared" si="9"/>
        <v>3385</v>
      </c>
      <c r="L9" s="43">
        <v>2976430</v>
      </c>
      <c r="M9" s="43">
        <v>3078009</v>
      </c>
      <c r="N9" s="24">
        <v>336.66534639999998</v>
      </c>
      <c r="O9" s="24">
        <v>-11.0966638</v>
      </c>
      <c r="P9" s="24">
        <v>-158.4948181</v>
      </c>
      <c r="Q9" s="24">
        <v>334.32220000000001</v>
      </c>
      <c r="R9" s="24">
        <v>-1.2326999999999999</v>
      </c>
      <c r="S9" s="24">
        <v>51.068600000000004</v>
      </c>
      <c r="T9" s="24">
        <v>-52.4255</v>
      </c>
      <c r="U9" s="24">
        <v>191.92859999999999</v>
      </c>
      <c r="V9" s="24">
        <v>226.64750000000001</v>
      </c>
      <c r="W9" s="27">
        <v>262.32459999999998</v>
      </c>
      <c r="X9" s="26">
        <f t="shared" si="10"/>
        <v>142.39360000000002</v>
      </c>
      <c r="Y9" s="26">
        <f t="shared" si="1"/>
        <v>107.6747</v>
      </c>
      <c r="Z9" s="26">
        <f t="shared" si="2"/>
        <v>71.997600000000034</v>
      </c>
      <c r="AA9" s="26">
        <f t="shared" si="11"/>
        <v>-52.393600000000021</v>
      </c>
      <c r="AB9" s="26">
        <f t="shared" si="3"/>
        <v>-17.674700000000001</v>
      </c>
      <c r="AC9" s="26">
        <f>90-Z9</f>
        <v>18.002399999999966</v>
      </c>
      <c r="AD9" s="26">
        <v>161.94470000000001</v>
      </c>
      <c r="AE9" s="25">
        <f t="shared" si="12"/>
        <v>22.258095655518318</v>
      </c>
      <c r="AF9" s="25">
        <f t="shared" si="5"/>
        <v>17.753530316829973</v>
      </c>
      <c r="AG9" s="21">
        <f t="shared" si="6"/>
        <v>269.26295565794658</v>
      </c>
      <c r="AH9" s="61">
        <v>344.9</v>
      </c>
      <c r="AI9" s="64">
        <f t="shared" si="13"/>
        <v>1.2809040113120409</v>
      </c>
    </row>
    <row r="10" spans="1:35" x14ac:dyDescent="0.2">
      <c r="A10" s="3">
        <v>4</v>
      </c>
      <c r="B10" s="1">
        <v>42043</v>
      </c>
      <c r="C10" s="2">
        <v>0.28482638888888889</v>
      </c>
      <c r="D10" s="1">
        <v>42114</v>
      </c>
      <c r="E10" s="2">
        <v>0.18943287037037038</v>
      </c>
      <c r="F10" s="24">
        <f t="shared" si="7"/>
        <v>57061.284832616999</v>
      </c>
      <c r="G10" s="24">
        <f t="shared" si="0"/>
        <v>57132.168983399875</v>
      </c>
      <c r="H10" s="24">
        <f t="shared" si="8"/>
        <v>70.884150782876532</v>
      </c>
      <c r="I10" s="43">
        <v>103744</v>
      </c>
      <c r="J10" s="43">
        <v>107213</v>
      </c>
      <c r="K10" s="43">
        <f t="shared" si="9"/>
        <v>3469</v>
      </c>
      <c r="L10" s="43">
        <v>3100780</v>
      </c>
      <c r="M10" s="43">
        <v>3204879</v>
      </c>
      <c r="N10" s="24">
        <v>59.075911599999998</v>
      </c>
      <c r="O10" s="24">
        <v>18.6605794</v>
      </c>
      <c r="P10" s="24">
        <v>-167.6992793</v>
      </c>
      <c r="Q10" s="24">
        <v>60.848999999999997</v>
      </c>
      <c r="R10" s="24">
        <v>-1.7565999999999999</v>
      </c>
      <c r="S10" s="24">
        <v>172.45359999999999</v>
      </c>
      <c r="T10" s="24">
        <v>-25.9466</v>
      </c>
      <c r="U10" s="24">
        <v>278.45920000000001</v>
      </c>
      <c r="V10" s="24">
        <v>314.9246</v>
      </c>
      <c r="W10" s="24">
        <v>350.2894</v>
      </c>
      <c r="X10" s="26">
        <f t="shared" si="10"/>
        <v>142.38979999999998</v>
      </c>
      <c r="Y10" s="26">
        <f t="shared" si="1"/>
        <v>105.92439999999999</v>
      </c>
      <c r="Z10" s="26">
        <f t="shared" si="2"/>
        <v>70.559599999999989</v>
      </c>
      <c r="AA10" s="26">
        <f t="shared" si="11"/>
        <v>-52.38979999999998</v>
      </c>
      <c r="AB10" s="26">
        <f t="shared" si="3"/>
        <v>-15.924399999999991</v>
      </c>
      <c r="AC10" s="26">
        <f t="shared" si="4"/>
        <v>19.440400000000011</v>
      </c>
      <c r="AD10" s="26">
        <v>164.05539999999999</v>
      </c>
      <c r="AE10" s="25">
        <f t="shared" si="12"/>
        <v>22.244036178664842</v>
      </c>
      <c r="AF10" s="25">
        <f t="shared" si="5"/>
        <v>17.739470839976498</v>
      </c>
      <c r="AG10" s="21">
        <f t="shared" si="6"/>
        <v>272.77255739045489</v>
      </c>
      <c r="AH10" s="61">
        <v>362.6</v>
      </c>
      <c r="AI10" s="64">
        <f t="shared" si="13"/>
        <v>1.3293126092628278</v>
      </c>
    </row>
    <row r="11" spans="1:35" x14ac:dyDescent="0.2">
      <c r="A11" s="3">
        <v>5</v>
      </c>
      <c r="B11" s="1">
        <v>42121</v>
      </c>
      <c r="C11" s="2">
        <v>9.5960648148148142E-2</v>
      </c>
      <c r="D11" s="1">
        <v>42195</v>
      </c>
      <c r="E11" s="2">
        <v>0.9442476851851852</v>
      </c>
      <c r="F11" s="24">
        <f t="shared" si="7"/>
        <v>57139.095973055511</v>
      </c>
      <c r="G11" s="24">
        <f t="shared" si="0"/>
        <v>57213.923808214604</v>
      </c>
      <c r="H11" s="24">
        <f t="shared" si="8"/>
        <v>74.827835159092501</v>
      </c>
      <c r="I11" s="43">
        <v>107552</v>
      </c>
      <c r="J11" s="43">
        <v>111214</v>
      </c>
      <c r="K11" s="43">
        <f t="shared" si="9"/>
        <v>3662</v>
      </c>
      <c r="L11" s="43">
        <v>3215020</v>
      </c>
      <c r="M11" s="43">
        <v>3324909</v>
      </c>
      <c r="N11" s="24">
        <v>130.15764780000001</v>
      </c>
      <c r="O11" s="24">
        <v>16.829613999999999</v>
      </c>
      <c r="P11" s="24">
        <v>166.0591297</v>
      </c>
      <c r="Q11" s="24">
        <v>128.13290000000001</v>
      </c>
      <c r="R11" s="24">
        <v>-1.5001</v>
      </c>
      <c r="S11" s="24">
        <v>209.06290000000001</v>
      </c>
      <c r="T11" s="24">
        <v>31.513500000000001</v>
      </c>
      <c r="U11" s="24">
        <v>357.0471</v>
      </c>
      <c r="V11" s="24">
        <v>32.526400000000002</v>
      </c>
      <c r="W11" s="24">
        <v>66.783000000000001</v>
      </c>
      <c r="X11" s="26">
        <f t="shared" si="10"/>
        <v>131.08580000000001</v>
      </c>
      <c r="Y11" s="26">
        <f t="shared" si="1"/>
        <v>95.606500000000011</v>
      </c>
      <c r="Z11" s="26">
        <f t="shared" si="2"/>
        <v>61.349900000000005</v>
      </c>
      <c r="AA11" s="26">
        <f t="shared" si="11"/>
        <v>-41.085800000000006</v>
      </c>
      <c r="AB11" s="26">
        <f t="shared" si="3"/>
        <v>-5.6065000000000111</v>
      </c>
      <c r="AC11" s="26">
        <f t="shared" si="4"/>
        <v>28.650099999999995</v>
      </c>
      <c r="AD11" s="26">
        <v>186.3973</v>
      </c>
      <c r="AE11" s="25">
        <f t="shared" si="12"/>
        <v>22.105413460771061</v>
      </c>
      <c r="AF11" s="25">
        <f t="shared" si="5"/>
        <v>17.600848122082713</v>
      </c>
      <c r="AG11" s="21">
        <f t="shared" si="6"/>
        <v>309.92205601974769</v>
      </c>
      <c r="AH11" s="61">
        <v>344.6</v>
      </c>
      <c r="AI11" s="64">
        <f t="shared" si="13"/>
        <v>1.1118924687891292</v>
      </c>
    </row>
    <row r="12" spans="1:35" x14ac:dyDescent="0.2">
      <c r="A12" s="3">
        <v>6</v>
      </c>
      <c r="B12" s="1">
        <v>42198</v>
      </c>
      <c r="C12" s="2">
        <v>0.94796296296296301</v>
      </c>
      <c r="D12" s="1">
        <v>42277</v>
      </c>
      <c r="E12" s="2">
        <v>0.88297453703703699</v>
      </c>
      <c r="F12" s="24">
        <f t="shared" si="7"/>
        <v>57216.947980689627</v>
      </c>
      <c r="G12" s="24">
        <f t="shared" si="0"/>
        <v>57295.862535409564</v>
      </c>
      <c r="H12" s="24">
        <f t="shared" si="8"/>
        <v>78.914554719936859</v>
      </c>
      <c r="I12" s="43">
        <v>111362</v>
      </c>
      <c r="J12" s="43">
        <v>115224</v>
      </c>
      <c r="K12" s="43">
        <f t="shared" si="9"/>
        <v>3862</v>
      </c>
      <c r="L12" s="43">
        <v>3329320</v>
      </c>
      <c r="M12" s="43">
        <v>3445209</v>
      </c>
      <c r="N12" s="24">
        <v>204.86503440000001</v>
      </c>
      <c r="O12" s="24">
        <v>-11.295358500000001</v>
      </c>
      <c r="P12" s="24">
        <v>159.63560000000001</v>
      </c>
      <c r="Q12" s="24">
        <v>207.148</v>
      </c>
      <c r="R12" s="24">
        <v>-0.87070000000000003</v>
      </c>
      <c r="S12" s="24">
        <v>-38.6297</v>
      </c>
      <c r="T12" s="24">
        <v>49.847499999999997</v>
      </c>
      <c r="U12" s="24">
        <v>69.512200000000007</v>
      </c>
      <c r="V12" s="24">
        <v>105.062</v>
      </c>
      <c r="W12" s="24">
        <v>141.09710000000001</v>
      </c>
      <c r="X12" s="26">
        <f t="shared" si="10"/>
        <v>137.63579999999999</v>
      </c>
      <c r="Y12" s="26">
        <f t="shared" si="1"/>
        <v>102.086</v>
      </c>
      <c r="Z12" s="26">
        <f t="shared" si="2"/>
        <v>66.050899999999984</v>
      </c>
      <c r="AA12" s="26">
        <f t="shared" si="11"/>
        <v>-47.635799999999989</v>
      </c>
      <c r="AB12" s="26">
        <f t="shared" si="3"/>
        <v>-12.085999999999999</v>
      </c>
      <c r="AC12" s="26">
        <f t="shared" si="4"/>
        <v>23.949100000000016</v>
      </c>
      <c r="AD12" s="26">
        <v>171.98330000000001</v>
      </c>
      <c r="AE12" s="25">
        <f t="shared" si="12"/>
        <v>22.192796809096119</v>
      </c>
      <c r="AF12" s="25">
        <f t="shared" si="5"/>
        <v>17.688231470407775</v>
      </c>
      <c r="AG12" s="21">
        <f t="shared" si="6"/>
        <v>285.9548253020468</v>
      </c>
      <c r="AH12" s="61">
        <v>319.3</v>
      </c>
      <c r="AI12" s="64">
        <f t="shared" si="13"/>
        <v>1.1166099388696502</v>
      </c>
    </row>
    <row r="13" spans="1:35" x14ac:dyDescent="0.2">
      <c r="A13" s="3">
        <v>7</v>
      </c>
      <c r="B13" s="1">
        <v>42281</v>
      </c>
      <c r="C13" s="2">
        <v>0.74489583333333342</v>
      </c>
      <c r="D13" s="1">
        <v>42364</v>
      </c>
      <c r="E13" s="2">
        <v>0.35796296296296298</v>
      </c>
      <c r="F13" s="24">
        <f t="shared" si="7"/>
        <v>57299.744918992372</v>
      </c>
      <c r="G13" s="24">
        <f t="shared" si="0"/>
        <v>57382.337521317066</v>
      </c>
      <c r="H13" s="24">
        <f t="shared" si="8"/>
        <v>82.592602324693871</v>
      </c>
      <c r="I13" s="43">
        <v>115414</v>
      </c>
      <c r="J13" s="43">
        <v>119456</v>
      </c>
      <c r="K13" s="43">
        <f t="shared" si="9"/>
        <v>4042</v>
      </c>
      <c r="L13" s="43">
        <v>3450880</v>
      </c>
      <c r="M13" s="43">
        <v>3572169</v>
      </c>
      <c r="N13" s="24">
        <v>287.82850660999998</v>
      </c>
      <c r="O13" s="24">
        <v>-23.360018149999998</v>
      </c>
      <c r="P13" s="24">
        <v>-172.78037531999999</v>
      </c>
      <c r="Q13" s="24">
        <v>286.32659999999998</v>
      </c>
      <c r="R13" s="24">
        <v>-0.86729999999999996</v>
      </c>
      <c r="S13" s="24">
        <v>13.8344</v>
      </c>
      <c r="T13" s="24">
        <v>-14.570600000000001</v>
      </c>
      <c r="U13" s="24">
        <v>144.68989999999999</v>
      </c>
      <c r="V13" s="24">
        <v>184.0153</v>
      </c>
      <c r="W13" s="24">
        <v>225.25139999999999</v>
      </c>
      <c r="X13" s="26">
        <f t="shared" si="10"/>
        <v>141.63669999999999</v>
      </c>
      <c r="Y13" s="26">
        <f t="shared" si="1"/>
        <v>102.31129999999999</v>
      </c>
      <c r="Z13" s="26">
        <f t="shared" si="2"/>
        <v>61.075199999999995</v>
      </c>
      <c r="AA13" s="26">
        <f t="shared" si="11"/>
        <v>-51.63669999999999</v>
      </c>
      <c r="AB13" s="26">
        <f t="shared" si="3"/>
        <v>-12.311299999999989</v>
      </c>
      <c r="AC13" s="26">
        <f t="shared" si="4"/>
        <v>28.924800000000005</v>
      </c>
      <c r="AD13" s="26">
        <v>171.48689999999999</v>
      </c>
      <c r="AE13" s="25">
        <f t="shared" si="12"/>
        <v>22.195935129842969</v>
      </c>
      <c r="AF13" s="25">
        <f t="shared" si="5"/>
        <v>17.691369791154624</v>
      </c>
      <c r="AG13" s="21">
        <f t="shared" si="6"/>
        <v>285.12942578297509</v>
      </c>
      <c r="AH13" s="61">
        <v>417.1</v>
      </c>
      <c r="AI13" s="65">
        <f t="shared" si="13"/>
        <v>1.4628444568799914</v>
      </c>
    </row>
    <row r="14" spans="1:35" x14ac:dyDescent="0.2">
      <c r="A14" s="3">
        <v>8</v>
      </c>
      <c r="B14" s="1">
        <v>42373</v>
      </c>
      <c r="C14" s="2">
        <v>0.55306712962962956</v>
      </c>
      <c r="D14" s="1">
        <v>42452</v>
      </c>
      <c r="E14" s="2">
        <v>0.28373842592592591</v>
      </c>
      <c r="F14" s="24">
        <f t="shared" si="7"/>
        <v>57391.553073926778</v>
      </c>
      <c r="G14" s="24">
        <f t="shared" si="0"/>
        <v>57470.263292668671</v>
      </c>
      <c r="H14" s="24">
        <f t="shared" si="8"/>
        <v>78.710218741893186</v>
      </c>
      <c r="I14" s="43">
        <v>119907</v>
      </c>
      <c r="J14" s="43">
        <v>123759</v>
      </c>
      <c r="K14" s="43">
        <f t="shared" si="9"/>
        <v>3852</v>
      </c>
      <c r="L14" s="43">
        <v>3585670</v>
      </c>
      <c r="M14" s="43">
        <v>3701259</v>
      </c>
      <c r="N14" s="24">
        <v>16.3379975</v>
      </c>
      <c r="O14" s="24">
        <v>5.2623458999999997</v>
      </c>
      <c r="P14" s="24">
        <v>-157.35387610000001</v>
      </c>
      <c r="Q14" s="24">
        <v>17.0716</v>
      </c>
      <c r="R14" s="24">
        <v>-1.5811999999999999</v>
      </c>
      <c r="S14" s="24">
        <v>129.37370000000001</v>
      </c>
      <c r="T14" s="24">
        <v>-57.433500000000002</v>
      </c>
      <c r="U14" s="24">
        <v>234.66650000000001</v>
      </c>
      <c r="V14" s="24">
        <v>275.42849999999999</v>
      </c>
      <c r="W14" s="24">
        <v>315.93759999999997</v>
      </c>
      <c r="X14" s="26">
        <f t="shared" si="10"/>
        <v>142.40509999999998</v>
      </c>
      <c r="Y14" s="26">
        <f t="shared" si="1"/>
        <v>101.6431</v>
      </c>
      <c r="Z14" s="26">
        <f t="shared" si="2"/>
        <v>61.134000000000015</v>
      </c>
      <c r="AA14" s="26">
        <f t="shared" si="11"/>
        <v>-52.405099999999976</v>
      </c>
      <c r="AB14" s="26">
        <f t="shared" si="3"/>
        <v>-11.643100000000004</v>
      </c>
      <c r="AC14" s="26">
        <f t="shared" si="4"/>
        <v>28.865999999999985</v>
      </c>
      <c r="AD14" s="26">
        <v>172.5703</v>
      </c>
      <c r="AE14" s="25">
        <f t="shared" si="12"/>
        <v>22.18909736860968</v>
      </c>
      <c r="AF14" s="25">
        <f t="shared" si="5"/>
        <v>17.684532029921336</v>
      </c>
      <c r="AG14" s="21">
        <f t="shared" si="6"/>
        <v>286.93087202362796</v>
      </c>
      <c r="AH14" s="61">
        <v>364.4</v>
      </c>
      <c r="AI14" s="64">
        <f t="shared" si="13"/>
        <v>1.2699923066138128</v>
      </c>
    </row>
    <row r="15" spans="1:35" s="16" customFormat="1" x14ac:dyDescent="0.2">
      <c r="A15" s="15">
        <v>91</v>
      </c>
      <c r="B15" s="12">
        <v>42482</v>
      </c>
      <c r="C15" s="13">
        <v>0.58679398148148143</v>
      </c>
      <c r="D15" s="12">
        <v>42508</v>
      </c>
      <c r="E15" s="13">
        <v>0.9461342592592592</v>
      </c>
      <c r="F15" s="28">
        <f t="shared" si="7"/>
        <v>57500.586751810151</v>
      </c>
      <c r="G15" s="28">
        <f t="shared" si="0"/>
        <v>57526.925659379805</v>
      </c>
      <c r="H15" s="28">
        <f t="shared" si="8"/>
        <v>26.338907569654111</v>
      </c>
      <c r="I15" s="44">
        <v>125243</v>
      </c>
      <c r="J15" s="44">
        <v>126532</v>
      </c>
      <c r="K15" s="44">
        <f t="shared" si="9"/>
        <v>1289</v>
      </c>
      <c r="L15" s="44">
        <v>3745750</v>
      </c>
      <c r="M15" s="44">
        <v>3784449</v>
      </c>
      <c r="N15" s="28">
        <v>270.35448229999997</v>
      </c>
      <c r="O15" s="28">
        <v>-21.779809799999999</v>
      </c>
      <c r="P15" s="28">
        <v>0.46734170000000003</v>
      </c>
      <c r="Q15" s="28">
        <v>270.32889999999998</v>
      </c>
      <c r="R15" s="28">
        <v>1.7196</v>
      </c>
      <c r="S15" s="28">
        <v>7.9734999999999996</v>
      </c>
      <c r="T15" s="28">
        <v>0.55889999999999995</v>
      </c>
      <c r="U15" s="28">
        <v>346.24689999999998</v>
      </c>
      <c r="V15" s="28">
        <v>359.0949</v>
      </c>
      <c r="W15" s="28">
        <v>11.741899999999999</v>
      </c>
      <c r="X15" s="29">
        <f t="shared" si="10"/>
        <v>284.08199999999999</v>
      </c>
      <c r="Y15" s="29">
        <f t="shared" si="1"/>
        <v>271.23399999999998</v>
      </c>
      <c r="Z15" s="29">
        <f t="shared" si="2"/>
        <v>258.58699999999999</v>
      </c>
      <c r="AA15" s="29">
        <f>X15-270</f>
        <v>14.081999999999994</v>
      </c>
      <c r="AB15" s="29">
        <f t="shared" ref="AB15:AB16" si="14">Y15-270</f>
        <v>1.2339999999999804</v>
      </c>
      <c r="AC15" s="29">
        <f t="shared" ref="AC15:AC16" si="15">Z15-270</f>
        <v>-11.413000000000011</v>
      </c>
      <c r="AD15" s="29">
        <v>204.18020000000001</v>
      </c>
      <c r="AE15" s="31">
        <f t="shared" si="12"/>
        <v>22.006478441629454</v>
      </c>
      <c r="AF15" s="31">
        <f t="shared" si="5"/>
        <v>17.50191310294111</v>
      </c>
      <c r="AG15" s="32">
        <f t="shared" si="6"/>
        <v>339.49113229551244</v>
      </c>
      <c r="AH15" s="66"/>
      <c r="AI15" s="67"/>
    </row>
    <row r="16" spans="1:35" s="16" customFormat="1" x14ac:dyDescent="0.2">
      <c r="A16" s="15">
        <v>92</v>
      </c>
      <c r="B16" s="12">
        <v>42512</v>
      </c>
      <c r="C16" s="13">
        <v>0.62413194444444442</v>
      </c>
      <c r="D16" s="12">
        <v>42553</v>
      </c>
      <c r="E16" s="13">
        <v>0.94087962962962957</v>
      </c>
      <c r="F16" s="28">
        <f t="shared" si="7"/>
        <v>57530.624140582368</v>
      </c>
      <c r="G16" s="28">
        <f t="shared" si="0"/>
        <v>57571.920441744718</v>
      </c>
      <c r="H16" s="28">
        <f t="shared" si="8"/>
        <v>41.296301162350574</v>
      </c>
      <c r="I16" s="44">
        <v>126713</v>
      </c>
      <c r="J16" s="44">
        <v>128734</v>
      </c>
      <c r="K16" s="44">
        <f t="shared" si="9"/>
        <v>2021</v>
      </c>
      <c r="L16" s="44">
        <v>3789850</v>
      </c>
      <c r="M16" s="44">
        <v>3850509</v>
      </c>
      <c r="N16" s="28">
        <v>270.35438240000002</v>
      </c>
      <c r="O16" s="28">
        <v>-21.780470000000001</v>
      </c>
      <c r="P16" s="28">
        <v>0.46734170000000003</v>
      </c>
      <c r="Q16" s="28">
        <v>270.32889999999998</v>
      </c>
      <c r="R16" s="28">
        <v>1.7196</v>
      </c>
      <c r="S16" s="28">
        <v>7.9729000000000001</v>
      </c>
      <c r="T16" s="28">
        <v>0.55869999999999997</v>
      </c>
      <c r="U16" s="28">
        <v>15.232699999999999</v>
      </c>
      <c r="V16" s="28">
        <v>34.579799999999999</v>
      </c>
      <c r="W16" s="28">
        <v>53.576000000000001</v>
      </c>
      <c r="X16" s="29">
        <f t="shared" si="10"/>
        <v>255.09619999999998</v>
      </c>
      <c r="Y16" s="29">
        <f t="shared" si="1"/>
        <v>235.74909999999997</v>
      </c>
      <c r="Z16" s="29">
        <f t="shared" si="2"/>
        <v>216.75289999999998</v>
      </c>
      <c r="AA16" s="29">
        <f t="shared" ref="AA16" si="16">X16-270</f>
        <v>-14.903800000000018</v>
      </c>
      <c r="AB16" s="29">
        <f t="shared" si="14"/>
        <v>-34.25090000000003</v>
      </c>
      <c r="AC16" s="29">
        <f t="shared" si="15"/>
        <v>-53.247100000000017</v>
      </c>
      <c r="AD16" s="29">
        <v>144.39189999999999</v>
      </c>
      <c r="AE16" s="31">
        <f t="shared" si="12"/>
        <v>22.382655425945785</v>
      </c>
      <c r="AF16" s="31">
        <f t="shared" si="5"/>
        <v>17.878090087257441</v>
      </c>
      <c r="AG16" s="32">
        <f t="shared" si="6"/>
        <v>240.07683374336628</v>
      </c>
      <c r="AH16" s="66"/>
      <c r="AI16" s="67"/>
    </row>
    <row r="17" spans="1:35" s="11" customFormat="1" x14ac:dyDescent="0.2">
      <c r="A17" s="33">
        <v>101</v>
      </c>
      <c r="B17" s="34">
        <v>42557</v>
      </c>
      <c r="C17" s="35">
        <v>0.82325231481481476</v>
      </c>
      <c r="D17" s="34">
        <v>42564</v>
      </c>
      <c r="E17" s="35">
        <v>5.5497685185185185E-2</v>
      </c>
      <c r="F17" s="36">
        <f t="shared" si="7"/>
        <v>57575.823258925331</v>
      </c>
      <c r="G17" s="36">
        <f t="shared" si="0"/>
        <v>57582.055506255616</v>
      </c>
      <c r="H17" s="36">
        <f t="shared" si="8"/>
        <v>6.2322473302847357</v>
      </c>
      <c r="I17" s="45">
        <v>128925</v>
      </c>
      <c r="J17" s="45">
        <v>129230</v>
      </c>
      <c r="K17" s="45">
        <f t="shared" si="9"/>
        <v>305</v>
      </c>
      <c r="L17" s="45">
        <v>3856210</v>
      </c>
      <c r="M17" s="45">
        <v>3865389</v>
      </c>
      <c r="N17" s="36">
        <v>186.77944299999999</v>
      </c>
      <c r="O17" s="36">
        <v>-4.0271572000000004</v>
      </c>
      <c r="P17" s="36">
        <v>0.46734170000000003</v>
      </c>
      <c r="Q17" s="36">
        <v>187.8168</v>
      </c>
      <c r="R17" s="36">
        <v>-0.99990000000000001</v>
      </c>
      <c r="S17" s="36">
        <v>291.33150000000001</v>
      </c>
      <c r="T17" s="36">
        <v>58.2941</v>
      </c>
      <c r="U17" s="36">
        <v>57.118600000000001</v>
      </c>
      <c r="V17" s="36">
        <v>59.946800000000003</v>
      </c>
      <c r="W17" s="36">
        <v>62.774999999999999</v>
      </c>
      <c r="X17" s="37">
        <f t="shared" si="10"/>
        <v>130.69819999999999</v>
      </c>
      <c r="Y17" s="37">
        <f t="shared" si="1"/>
        <v>127.87</v>
      </c>
      <c r="Z17" s="37">
        <f t="shared" si="2"/>
        <v>125.04179999999999</v>
      </c>
      <c r="AA17" s="37">
        <f t="shared" si="11"/>
        <v>-40.698199999999986</v>
      </c>
      <c r="AB17" s="37">
        <f t="shared" si="3"/>
        <v>-37.870000000000005</v>
      </c>
      <c r="AC17" s="37">
        <f t="shared" si="4"/>
        <v>-35.041799999999995</v>
      </c>
      <c r="AD17" s="37">
        <v>142.9907</v>
      </c>
      <c r="AE17" s="38">
        <f t="shared" si="12"/>
        <v>22.393243023286082</v>
      </c>
      <c r="AF17" s="38">
        <f t="shared" si="5"/>
        <v>17.888677684597738</v>
      </c>
      <c r="AG17" s="39">
        <f t="shared" si="6"/>
        <v>237.7469794237544</v>
      </c>
      <c r="AH17" s="61"/>
      <c r="AI17" s="64"/>
    </row>
    <row r="18" spans="1:35" x14ac:dyDescent="0.2">
      <c r="A18" s="33">
        <v>102</v>
      </c>
      <c r="B18" s="34">
        <v>42564</v>
      </c>
      <c r="C18" s="35">
        <v>7.5937500000000005E-2</v>
      </c>
      <c r="D18" s="34">
        <v>42633</v>
      </c>
      <c r="E18" s="35">
        <v>0.20281249999999998</v>
      </c>
      <c r="F18" s="36">
        <f t="shared" si="7"/>
        <v>57582.075939853421</v>
      </c>
      <c r="G18" s="36">
        <f t="shared" si="0"/>
        <v>57651.202801225132</v>
      </c>
      <c r="H18" s="36">
        <f t="shared" si="8"/>
        <v>69.126861371711129</v>
      </c>
      <c r="I18" s="45">
        <v>129231</v>
      </c>
      <c r="J18" s="45">
        <v>132614</v>
      </c>
      <c r="K18" s="45">
        <f t="shared" si="9"/>
        <v>3383</v>
      </c>
      <c r="L18" s="45">
        <v>3865390</v>
      </c>
      <c r="M18" s="45">
        <v>3966909</v>
      </c>
      <c r="N18" s="36">
        <v>186.77944299999999</v>
      </c>
      <c r="O18" s="36">
        <v>-4.0271572000000004</v>
      </c>
      <c r="P18" s="36">
        <v>157.62805</v>
      </c>
      <c r="Q18" s="36">
        <v>187.8168</v>
      </c>
      <c r="R18" s="36">
        <v>-0.99990000000000001</v>
      </c>
      <c r="S18" s="36">
        <v>291.33150000000001</v>
      </c>
      <c r="T18" s="36">
        <v>58.2941</v>
      </c>
      <c r="U18" s="36">
        <v>62.793100000000003</v>
      </c>
      <c r="V18" s="36">
        <v>93.960999999999999</v>
      </c>
      <c r="W18" s="36">
        <v>125.2578</v>
      </c>
      <c r="X18" s="37">
        <f t="shared" si="10"/>
        <v>125.02369999999999</v>
      </c>
      <c r="Y18" s="37">
        <f t="shared" si="1"/>
        <v>93.855800000000002</v>
      </c>
      <c r="Z18" s="37">
        <f t="shared" si="2"/>
        <v>62.558999999999997</v>
      </c>
      <c r="AA18" s="37">
        <f t="shared" si="11"/>
        <v>-35.023699999999991</v>
      </c>
      <c r="AB18" s="37">
        <f t="shared" si="3"/>
        <v>-3.8558000000000021</v>
      </c>
      <c r="AC18" s="37">
        <f t="shared" si="4"/>
        <v>27.441000000000003</v>
      </c>
      <c r="AD18" s="37">
        <v>191.08340000000001</v>
      </c>
      <c r="AE18" s="38">
        <f t="shared" si="12"/>
        <v>22.078455103330473</v>
      </c>
      <c r="AF18" s="38">
        <f t="shared" si="5"/>
        <v>17.573889764642125</v>
      </c>
      <c r="AG18" s="39">
        <f t="shared" si="6"/>
        <v>317.71400325698261</v>
      </c>
      <c r="AH18" s="61">
        <v>346</v>
      </c>
      <c r="AI18" s="64">
        <f t="shared" si="13"/>
        <v>1.0890297451577491</v>
      </c>
    </row>
    <row r="19" spans="1:35" s="8" customFormat="1" x14ac:dyDescent="0.2">
      <c r="A19" s="33">
        <v>111</v>
      </c>
      <c r="B19" s="34">
        <v>42637</v>
      </c>
      <c r="C19" s="35">
        <v>0.80034722222222221</v>
      </c>
      <c r="D19" s="34">
        <v>42661</v>
      </c>
      <c r="E19" s="35">
        <v>9.4664351851851847E-2</v>
      </c>
      <c r="F19" s="36">
        <f t="shared" si="7"/>
        <v>57655.800360731089</v>
      </c>
      <c r="G19" s="36">
        <f t="shared" si="0"/>
        <v>57679.094662227908</v>
      </c>
      <c r="H19" s="36">
        <f t="shared" si="8"/>
        <v>23.294301496818662</v>
      </c>
      <c r="I19" s="45">
        <v>132839</v>
      </c>
      <c r="J19" s="45">
        <v>133979</v>
      </c>
      <c r="K19" s="45">
        <f t="shared" si="9"/>
        <v>1140</v>
      </c>
      <c r="L19" s="45">
        <v>3973630</v>
      </c>
      <c r="M19" s="45">
        <v>4007859</v>
      </c>
      <c r="N19" s="36">
        <v>260.38800639999999</v>
      </c>
      <c r="O19" s="36">
        <v>-23.9759578</v>
      </c>
      <c r="P19" s="36">
        <v>176.7437075</v>
      </c>
      <c r="Q19" s="36">
        <v>261.22340000000003</v>
      </c>
      <c r="R19" s="36">
        <v>-0.76910000000000001</v>
      </c>
      <c r="S19" s="36">
        <v>1.2578</v>
      </c>
      <c r="T19" s="36">
        <v>7.2110000000000003</v>
      </c>
      <c r="U19" s="36">
        <v>129.46700000000001</v>
      </c>
      <c r="V19" s="36">
        <v>140.197</v>
      </c>
      <c r="W19" s="36">
        <v>151.03190000000001</v>
      </c>
      <c r="X19" s="37">
        <f t="shared" si="10"/>
        <v>131.75640000000001</v>
      </c>
      <c r="Y19" s="37">
        <f t="shared" si="1"/>
        <v>121.02640000000002</v>
      </c>
      <c r="Z19" s="37">
        <f t="shared" si="2"/>
        <v>110.19150000000002</v>
      </c>
      <c r="AA19" s="37">
        <f t="shared" si="11"/>
        <v>-41.756400000000014</v>
      </c>
      <c r="AB19" s="37">
        <f t="shared" si="3"/>
        <v>-31.026400000000024</v>
      </c>
      <c r="AC19" s="37">
        <f t="shared" si="4"/>
        <v>-20.191500000000019</v>
      </c>
      <c r="AD19" s="37">
        <v>146.21170000000001</v>
      </c>
      <c r="AE19" s="38">
        <f t="shared" si="12"/>
        <v>22.369057187156493</v>
      </c>
      <c r="AF19" s="38">
        <f t="shared" si="5"/>
        <v>17.864491848468148</v>
      </c>
      <c r="AG19" s="39">
        <f t="shared" si="6"/>
        <v>243.10271956266234</v>
      </c>
      <c r="AH19" s="61">
        <v>571.79999999999995</v>
      </c>
      <c r="AI19" s="65">
        <f t="shared" si="13"/>
        <v>2.3520921568819073</v>
      </c>
    </row>
    <row r="20" spans="1:35" s="8" customFormat="1" x14ac:dyDescent="0.2">
      <c r="A20" s="33">
        <v>112</v>
      </c>
      <c r="B20" s="34">
        <v>42664</v>
      </c>
      <c r="C20" s="35">
        <v>0.26186342592592593</v>
      </c>
      <c r="D20" s="34">
        <v>42711</v>
      </c>
      <c r="E20" s="35">
        <v>0.97434027777777776</v>
      </c>
      <c r="F20" s="36">
        <f t="shared" si="7"/>
        <v>57682.261869887567</v>
      </c>
      <c r="G20" s="36">
        <f t="shared" si="0"/>
        <v>57729.974320760441</v>
      </c>
      <c r="H20" s="36">
        <f t="shared" si="8"/>
        <v>47.712450872873887</v>
      </c>
      <c r="I20" s="45">
        <v>134134</v>
      </c>
      <c r="J20" s="45">
        <v>136469</v>
      </c>
      <c r="K20" s="45">
        <f t="shared" si="9"/>
        <v>2335</v>
      </c>
      <c r="L20" s="45">
        <v>4012480</v>
      </c>
      <c r="M20" s="45">
        <v>4082559</v>
      </c>
      <c r="N20" s="36">
        <v>260.38800639999999</v>
      </c>
      <c r="O20" s="36">
        <v>-23.9759578</v>
      </c>
      <c r="P20" s="36">
        <v>176.42370750000001</v>
      </c>
      <c r="Q20" s="36">
        <v>261.22340000000003</v>
      </c>
      <c r="R20" s="36">
        <v>-0.76910000000000001</v>
      </c>
      <c r="S20" s="36">
        <v>1.2578</v>
      </c>
      <c r="T20" s="36">
        <v>7.2110000000000003</v>
      </c>
      <c r="U20" s="36">
        <v>154.01589999999999</v>
      </c>
      <c r="V20" s="36">
        <v>176.72710000000001</v>
      </c>
      <c r="W20" s="36">
        <v>200.14330000000001</v>
      </c>
      <c r="X20" s="37">
        <f t="shared" si="10"/>
        <v>107.20750000000004</v>
      </c>
      <c r="Y20" s="37">
        <f t="shared" si="1"/>
        <v>84.496300000000019</v>
      </c>
      <c r="Z20" s="37">
        <f t="shared" si="2"/>
        <v>61.080100000000016</v>
      </c>
      <c r="AA20" s="37">
        <f t="shared" si="11"/>
        <v>-17.207500000000039</v>
      </c>
      <c r="AB20" s="37">
        <f t="shared" si="3"/>
        <v>5.5036999999999807</v>
      </c>
      <c r="AC20" s="37">
        <f t="shared" si="4"/>
        <v>28.919899999999984</v>
      </c>
      <c r="AD20" s="37">
        <v>221.41050000000001</v>
      </c>
      <c r="AE20" s="38">
        <f t="shared" si="12"/>
        <v>21.918516972146218</v>
      </c>
      <c r="AF20" s="38">
        <f t="shared" si="5"/>
        <v>17.41395163345787</v>
      </c>
      <c r="AG20" s="39">
        <f t="shared" si="6"/>
        <v>368.1414763826125</v>
      </c>
      <c r="AH20" s="61">
        <v>740.4</v>
      </c>
      <c r="AI20" s="65">
        <f t="shared" si="13"/>
        <v>2.0111833289615433</v>
      </c>
    </row>
    <row r="21" spans="1:35" x14ac:dyDescent="0.2">
      <c r="A21" s="3">
        <v>12</v>
      </c>
      <c r="B21" s="1">
        <v>42719</v>
      </c>
      <c r="C21" s="2">
        <v>0.86167824074074073</v>
      </c>
      <c r="D21" s="1">
        <v>42798</v>
      </c>
      <c r="E21" s="2">
        <v>0.77623842592592596</v>
      </c>
      <c r="F21" s="24">
        <f t="shared" si="7"/>
        <v>57737.86168951288</v>
      </c>
      <c r="G21" s="24">
        <f t="shared" si="0"/>
        <v>57816.755810635012</v>
      </c>
      <c r="H21" s="24">
        <f t="shared" si="8"/>
        <v>78.894121122131764</v>
      </c>
      <c r="I21" s="43">
        <v>136855</v>
      </c>
      <c r="J21" s="43">
        <v>140716</v>
      </c>
      <c r="K21" s="43">
        <f t="shared" si="9"/>
        <v>3861</v>
      </c>
      <c r="L21" s="43">
        <v>4094110</v>
      </c>
      <c r="M21" s="43">
        <v>4209969</v>
      </c>
      <c r="N21" s="24">
        <v>351.65881239999999</v>
      </c>
      <c r="O21" s="24">
        <v>-5.1023328000000001</v>
      </c>
      <c r="P21" s="24">
        <v>-156.88084190000001</v>
      </c>
      <c r="Q21" s="24">
        <v>350.32760000000002</v>
      </c>
      <c r="R21" s="24">
        <v>-1.3716999999999999</v>
      </c>
      <c r="S21" s="24">
        <v>76.637200000000007</v>
      </c>
      <c r="T21" s="24">
        <v>-60.112400000000001</v>
      </c>
      <c r="U21" s="24">
        <v>207.99700000000001</v>
      </c>
      <c r="V21" s="24">
        <v>248.2869</v>
      </c>
      <c r="W21" s="24">
        <v>289.19880000000001</v>
      </c>
      <c r="X21" s="26">
        <f t="shared" si="10"/>
        <v>142.3306</v>
      </c>
      <c r="Y21" s="26">
        <f t="shared" si="1"/>
        <v>102.04070000000002</v>
      </c>
      <c r="Z21" s="26">
        <f t="shared" si="2"/>
        <v>61.128800000000012</v>
      </c>
      <c r="AA21" s="26">
        <f t="shared" si="11"/>
        <v>-52.330600000000004</v>
      </c>
      <c r="AB21" s="26">
        <f t="shared" si="3"/>
        <v>-12.040700000000015</v>
      </c>
      <c r="AC21" s="26">
        <f t="shared" si="4"/>
        <v>28.871199999999988</v>
      </c>
      <c r="AD21" s="26">
        <v>171.81360000000001</v>
      </c>
      <c r="AE21" s="25">
        <f t="shared" si="12"/>
        <v>22.193868659650395</v>
      </c>
      <c r="AF21" s="25">
        <f t="shared" si="5"/>
        <v>17.68930332096205</v>
      </c>
      <c r="AG21" s="21">
        <f t="shared" si="6"/>
        <v>285.67265305199521</v>
      </c>
      <c r="AH21" s="61">
        <v>348.9</v>
      </c>
      <c r="AI21" s="64">
        <f t="shared" si="13"/>
        <v>1.2213279649714905</v>
      </c>
    </row>
    <row r="22" spans="1:35" x14ac:dyDescent="0.2">
      <c r="A22" s="3">
        <v>13</v>
      </c>
      <c r="B22" s="1">
        <v>42802</v>
      </c>
      <c r="C22" s="2">
        <v>6.6041666666666665E-2</v>
      </c>
      <c r="D22" s="1">
        <v>42882</v>
      </c>
      <c r="E22" s="2">
        <v>0.65616898148148151</v>
      </c>
      <c r="F22" s="24">
        <f t="shared" si="7"/>
        <v>57820.066053479299</v>
      </c>
      <c r="G22" s="24">
        <f t="shared" si="0"/>
        <v>57900.635729621376</v>
      </c>
      <c r="H22" s="24">
        <f t="shared" si="8"/>
        <v>80.569676142076787</v>
      </c>
      <c r="I22" s="43">
        <v>140878</v>
      </c>
      <c r="J22" s="43">
        <v>144821</v>
      </c>
      <c r="K22" s="43">
        <f t="shared" si="9"/>
        <v>3943</v>
      </c>
      <c r="L22" s="43">
        <v>4214800</v>
      </c>
      <c r="M22" s="43">
        <v>4333119</v>
      </c>
      <c r="N22" s="24">
        <v>72.797116599999995</v>
      </c>
      <c r="O22" s="24">
        <v>20.787075900000001</v>
      </c>
      <c r="P22" s="24">
        <v>-172.79957580000001</v>
      </c>
      <c r="Q22" s="24">
        <v>73.9405</v>
      </c>
      <c r="R22" s="24">
        <v>-1.7566999999999999</v>
      </c>
      <c r="S22" s="24">
        <v>179.73339999999999</v>
      </c>
      <c r="T22" s="24">
        <v>-14.7721</v>
      </c>
      <c r="U22" s="24">
        <v>292.61759999999998</v>
      </c>
      <c r="V22" s="24">
        <v>333.58170000000001</v>
      </c>
      <c r="W22" s="24">
        <v>12.827</v>
      </c>
      <c r="X22" s="26">
        <f t="shared" si="10"/>
        <v>141.3229</v>
      </c>
      <c r="Y22" s="26">
        <f t="shared" si="1"/>
        <v>100.35879999999997</v>
      </c>
      <c r="Z22" s="26">
        <f t="shared" si="2"/>
        <v>61.113500000000002</v>
      </c>
      <c r="AA22" s="26">
        <f t="shared" si="11"/>
        <v>-51.322900000000004</v>
      </c>
      <c r="AB22" s="26">
        <f t="shared" si="3"/>
        <v>-10.358799999999974</v>
      </c>
      <c r="AC22" s="26">
        <f t="shared" si="4"/>
        <v>28.886499999999998</v>
      </c>
      <c r="AD22" s="26">
        <v>175.30029999999999</v>
      </c>
      <c r="AE22" s="25">
        <f t="shared" si="12"/>
        <v>22.17205585552675</v>
      </c>
      <c r="AF22" s="25">
        <f t="shared" si="5"/>
        <v>17.667490516838402</v>
      </c>
      <c r="AG22" s="21">
        <f t="shared" si="6"/>
        <v>291.47023965874706</v>
      </c>
      <c r="AH22" s="61">
        <v>390.1</v>
      </c>
      <c r="AI22" s="64">
        <f t="shared" si="13"/>
        <v>1.3383870698316527</v>
      </c>
    </row>
    <row r="23" spans="1:35" x14ac:dyDescent="0.2">
      <c r="A23" s="3">
        <v>14</v>
      </c>
      <c r="B23" s="1">
        <v>42887</v>
      </c>
      <c r="C23" s="2">
        <v>0.21283564814814815</v>
      </c>
      <c r="D23" s="1">
        <v>42966</v>
      </c>
      <c r="E23" s="2">
        <v>0.92432870370370368</v>
      </c>
      <c r="F23" s="24">
        <f t="shared" si="7"/>
        <v>57905.21285552952</v>
      </c>
      <c r="G23" s="24">
        <f t="shared" si="0"/>
        <v>57984.903886966022</v>
      </c>
      <c r="H23" s="24">
        <f t="shared" si="8"/>
        <v>79.691031436501362</v>
      </c>
      <c r="I23" s="43">
        <v>145045</v>
      </c>
      <c r="J23" s="43">
        <v>148945</v>
      </c>
      <c r="K23" s="43">
        <f t="shared" si="9"/>
        <v>3900</v>
      </c>
      <c r="L23" s="43">
        <v>4339810</v>
      </c>
      <c r="M23" s="43">
        <v>4456839</v>
      </c>
      <c r="N23" s="24">
        <v>160.6824762</v>
      </c>
      <c r="O23" s="24">
        <v>6.8509316</v>
      </c>
      <c r="P23" s="24">
        <v>158.75734639999999</v>
      </c>
      <c r="Q23" s="24">
        <v>159.58269999999999</v>
      </c>
      <c r="R23" s="24">
        <v>-1.2362</v>
      </c>
      <c r="S23" s="24">
        <v>240.58369999999999</v>
      </c>
      <c r="T23" s="24">
        <v>53.349699999999999</v>
      </c>
      <c r="U23" s="24">
        <v>17.156700000000001</v>
      </c>
      <c r="V23" s="24">
        <v>54.095399999999998</v>
      </c>
      <c r="W23" s="24">
        <v>90.093800000000002</v>
      </c>
      <c r="X23" s="26">
        <f t="shared" si="10"/>
        <v>142.42599999999999</v>
      </c>
      <c r="Y23" s="26">
        <f t="shared" si="1"/>
        <v>105.48729999999999</v>
      </c>
      <c r="Z23" s="26">
        <f t="shared" si="2"/>
        <v>69.488899999999987</v>
      </c>
      <c r="AA23" s="26">
        <f t="shared" si="11"/>
        <v>-52.425999999999988</v>
      </c>
      <c r="AB23" s="26">
        <f t="shared" si="3"/>
        <v>-15.487299999999991</v>
      </c>
      <c r="AC23" s="26">
        <f t="shared" si="4"/>
        <v>20.511100000000013</v>
      </c>
      <c r="AD23" s="26">
        <v>164.84889999999999</v>
      </c>
      <c r="AE23" s="25">
        <f t="shared" si="12"/>
        <v>22.238797369990252</v>
      </c>
      <c r="AF23" s="25">
        <f t="shared" si="5"/>
        <v>17.734232031301907</v>
      </c>
      <c r="AG23" s="21">
        <f t="shared" si="6"/>
        <v>274.09196336383025</v>
      </c>
      <c r="AH23" s="61">
        <v>298.10000000000002</v>
      </c>
      <c r="AI23" s="64">
        <f t="shared" si="13"/>
        <v>1.087591173201607</v>
      </c>
    </row>
    <row r="24" spans="1:35" x14ac:dyDescent="0.2">
      <c r="A24" s="3">
        <v>15</v>
      </c>
      <c r="B24" s="1">
        <v>42970</v>
      </c>
      <c r="C24" s="2">
        <v>0.92929398148148146</v>
      </c>
      <c r="D24" s="1">
        <v>43058</v>
      </c>
      <c r="E24" s="2">
        <v>0.95725694444444442</v>
      </c>
      <c r="F24" s="24">
        <f t="shared" si="7"/>
        <v>57988.929305733458</v>
      </c>
      <c r="G24" s="24">
        <f t="shared" si="0"/>
        <v>58076.936811476276</v>
      </c>
      <c r="H24" s="24">
        <f t="shared" si="8"/>
        <v>88.007505742818466</v>
      </c>
      <c r="I24" s="43">
        <v>149142</v>
      </c>
      <c r="J24" s="43">
        <v>153449</v>
      </c>
      <c r="K24" s="43">
        <f t="shared" si="9"/>
        <v>4307</v>
      </c>
      <c r="L24" s="43">
        <v>4462720</v>
      </c>
      <c r="M24" s="43">
        <v>4591959</v>
      </c>
      <c r="N24" s="24">
        <v>233.61757299999999</v>
      </c>
      <c r="O24" s="24">
        <v>-20.079239699999999</v>
      </c>
      <c r="P24" s="24">
        <v>166.77807780000001</v>
      </c>
      <c r="Q24" s="24">
        <v>236.14019999999999</v>
      </c>
      <c r="R24" s="24">
        <v>-0.76359999999999995</v>
      </c>
      <c r="S24" s="24">
        <v>-12.8438</v>
      </c>
      <c r="T24" s="24">
        <v>28.463799999999999</v>
      </c>
      <c r="U24" s="24">
        <v>93.715000000000003</v>
      </c>
      <c r="V24" s="24">
        <v>133.65389999999999</v>
      </c>
      <c r="W24" s="24">
        <v>175.05369999999999</v>
      </c>
      <c r="X24" s="26">
        <f t="shared" si="10"/>
        <v>142.42519999999999</v>
      </c>
      <c r="Y24" s="26">
        <f t="shared" si="1"/>
        <v>102.4863</v>
      </c>
      <c r="Z24" s="26">
        <f t="shared" si="2"/>
        <v>61.086500000000001</v>
      </c>
      <c r="AA24" s="26">
        <f t="shared" si="11"/>
        <v>-52.42519999999999</v>
      </c>
      <c r="AB24" s="26">
        <f t="shared" si="3"/>
        <v>-12.4863</v>
      </c>
      <c r="AC24" s="26">
        <f t="shared" si="4"/>
        <v>28.913499999999999</v>
      </c>
      <c r="AD24" s="26">
        <v>171.15469999999999</v>
      </c>
      <c r="AE24" s="25">
        <f t="shared" si="12"/>
        <v>22.198040429842923</v>
      </c>
      <c r="AF24" s="25">
        <f t="shared" si="5"/>
        <v>17.693475091154575</v>
      </c>
      <c r="AG24" s="21">
        <f t="shared" si="6"/>
        <v>284.57705332582697</v>
      </c>
      <c r="AH24" s="61">
        <v>348.8</v>
      </c>
      <c r="AI24" s="64">
        <f t="shared" si="13"/>
        <v>1.2256785848458445</v>
      </c>
    </row>
    <row r="25" spans="1:35" s="16" customFormat="1" x14ac:dyDescent="0.2">
      <c r="A25" s="15">
        <v>16</v>
      </c>
      <c r="B25" s="12">
        <v>43076</v>
      </c>
      <c r="C25" s="13">
        <v>0.95923611111111118</v>
      </c>
      <c r="D25" s="12">
        <v>43156</v>
      </c>
      <c r="E25" s="13">
        <v>0.52768518518518526</v>
      </c>
      <c r="F25" s="28">
        <f t="shared" si="7"/>
        <v>58094.959244739606</v>
      </c>
      <c r="G25" s="28">
        <f t="shared" si="0"/>
        <v>58174.507240991479</v>
      </c>
      <c r="H25" s="28">
        <f t="shared" si="8"/>
        <v>79.547996251872974</v>
      </c>
      <c r="I25" s="44">
        <v>154331</v>
      </c>
      <c r="J25" s="44">
        <v>158224</v>
      </c>
      <c r="K25" s="44">
        <f t="shared" si="9"/>
        <v>3893</v>
      </c>
      <c r="L25" s="44">
        <v>4618390</v>
      </c>
      <c r="M25" s="44">
        <v>4735209</v>
      </c>
      <c r="N25" s="28">
        <v>133.70996890000001</v>
      </c>
      <c r="O25" s="28">
        <v>18.525393099999999</v>
      </c>
      <c r="P25" s="28">
        <v>-15.060595899999999</v>
      </c>
      <c r="Q25" s="28">
        <v>130.94319999999999</v>
      </c>
      <c r="R25" s="28">
        <v>1.0351999999999999</v>
      </c>
      <c r="S25" s="28">
        <v>208.6413</v>
      </c>
      <c r="T25" s="28">
        <v>35.282600000000002</v>
      </c>
      <c r="U25" s="28">
        <v>192.61070000000001</v>
      </c>
      <c r="V25" s="28">
        <v>232.6763</v>
      </c>
      <c r="W25" s="28">
        <v>273.83300000000003</v>
      </c>
      <c r="X25" s="29">
        <f t="shared" si="10"/>
        <v>298.33249999999998</v>
      </c>
      <c r="Y25" s="29">
        <f t="shared" si="1"/>
        <v>258.26689999999996</v>
      </c>
      <c r="Z25" s="29">
        <f t="shared" si="2"/>
        <v>217.11019999999996</v>
      </c>
      <c r="AA25" s="29">
        <f t="shared" ref="AA25:AA26" si="17">X25-270</f>
        <v>28.332499999999982</v>
      </c>
      <c r="AB25" s="29">
        <f t="shared" ref="AB25:AB26" si="18">Y25-270</f>
        <v>-11.733100000000036</v>
      </c>
      <c r="AC25" s="29">
        <f t="shared" ref="AC25:AC26" si="19">Z25-270</f>
        <v>-52.889800000000037</v>
      </c>
      <c r="AD25" s="29">
        <v>172.6754</v>
      </c>
      <c r="AE25" s="31">
        <f t="shared" si="12"/>
        <v>22.188436327046265</v>
      </c>
      <c r="AF25" s="31">
        <f t="shared" si="5"/>
        <v>17.683870988357921</v>
      </c>
      <c r="AG25" s="32">
        <f t="shared" si="6"/>
        <v>287.10562929883287</v>
      </c>
      <c r="AH25" s="68">
        <v>353.9</v>
      </c>
      <c r="AI25" s="67">
        <f t="shared" si="13"/>
        <v>1.2326473739448851</v>
      </c>
    </row>
    <row r="26" spans="1:35" s="16" customFormat="1" x14ac:dyDescent="0.2">
      <c r="A26" s="15">
        <v>17</v>
      </c>
      <c r="B26" s="12">
        <v>43161</v>
      </c>
      <c r="C26" s="13">
        <v>2.3055555555555555E-2</v>
      </c>
      <c r="D26" s="12">
        <v>43228</v>
      </c>
      <c r="E26" s="13">
        <v>0.10657407407407408</v>
      </c>
      <c r="F26" s="28">
        <f t="shared" si="7"/>
        <v>58179.023066106216</v>
      </c>
      <c r="G26" s="28">
        <f t="shared" si="0"/>
        <v>58246.0861340997</v>
      </c>
      <c r="H26" s="28">
        <f t="shared" si="8"/>
        <v>67.063067993483855</v>
      </c>
      <c r="I26" s="44">
        <v>158445</v>
      </c>
      <c r="J26" s="44">
        <v>161727</v>
      </c>
      <c r="K26" s="44">
        <f t="shared" si="9"/>
        <v>3282</v>
      </c>
      <c r="L26" s="44">
        <v>4741810</v>
      </c>
      <c r="M26" s="44">
        <v>4840299</v>
      </c>
      <c r="N26" s="28">
        <v>202.54961520000001</v>
      </c>
      <c r="O26" s="28">
        <v>-7.7210758999999998</v>
      </c>
      <c r="P26" s="28">
        <v>-20.7870925</v>
      </c>
      <c r="Q26" s="28">
        <v>203.7175</v>
      </c>
      <c r="R26" s="28">
        <v>1.623</v>
      </c>
      <c r="S26" s="28">
        <v>-40.623699999999999</v>
      </c>
      <c r="T26" s="28">
        <v>53.906700000000001</v>
      </c>
      <c r="U26" s="28">
        <v>278.5197</v>
      </c>
      <c r="V26" s="28">
        <v>313.04480000000001</v>
      </c>
      <c r="W26" s="28">
        <v>346.62139999999999</v>
      </c>
      <c r="X26" s="29">
        <f t="shared" si="10"/>
        <v>285.19780000000003</v>
      </c>
      <c r="Y26" s="29">
        <f t="shared" si="1"/>
        <v>250.67269999999999</v>
      </c>
      <c r="Z26" s="29">
        <f t="shared" si="2"/>
        <v>217.09610000000001</v>
      </c>
      <c r="AA26" s="29">
        <f t="shared" si="17"/>
        <v>15.197800000000029</v>
      </c>
      <c r="AB26" s="29">
        <f t="shared" si="18"/>
        <v>-19.327300000000008</v>
      </c>
      <c r="AC26" s="29">
        <f t="shared" si="19"/>
        <v>-52.903899999999993</v>
      </c>
      <c r="AD26" s="29">
        <v>159.6268</v>
      </c>
      <c r="AE26" s="31">
        <f t="shared" si="12"/>
        <v>22.273747984999417</v>
      </c>
      <c r="AF26" s="31">
        <f t="shared" si="5"/>
        <v>17.769182646311073</v>
      </c>
      <c r="AG26" s="32">
        <f t="shared" si="6"/>
        <v>265.40883124743885</v>
      </c>
      <c r="AH26" s="68">
        <v>317.8</v>
      </c>
      <c r="AI26" s="67">
        <f t="shared" si="13"/>
        <v>1.1973979859913448</v>
      </c>
    </row>
    <row r="27" spans="1:35" x14ac:dyDescent="0.2">
      <c r="A27" s="3">
        <v>18</v>
      </c>
      <c r="B27" s="1">
        <v>43233</v>
      </c>
      <c r="C27" s="2">
        <v>3.1053240740740742E-2</v>
      </c>
      <c r="D27" s="1">
        <v>43283</v>
      </c>
      <c r="E27" s="2">
        <v>0.91071759259259266</v>
      </c>
      <c r="F27" s="24">
        <f t="shared" si="7"/>
        <v>58251.031064768322</v>
      </c>
      <c r="G27" s="24">
        <f t="shared" si="0"/>
        <v>58301.890289703049</v>
      </c>
      <c r="H27" s="24">
        <f t="shared" si="8"/>
        <v>50.859224934727536</v>
      </c>
      <c r="I27" s="43">
        <v>161969</v>
      </c>
      <c r="J27" s="43">
        <v>164458</v>
      </c>
      <c r="K27" s="43">
        <f t="shared" si="9"/>
        <v>2489</v>
      </c>
      <c r="L27" s="43">
        <v>4847530</v>
      </c>
      <c r="M27" s="43">
        <v>4922229</v>
      </c>
      <c r="N27" s="24">
        <v>130.16101699999999</v>
      </c>
      <c r="O27" s="24">
        <v>16.8278629</v>
      </c>
      <c r="P27" s="24">
        <v>165.89773880000001</v>
      </c>
      <c r="Q27" s="24">
        <v>128.1361</v>
      </c>
      <c r="R27" s="24">
        <v>-1.5013000000000001</v>
      </c>
      <c r="S27" s="24">
        <v>209.06620000000001</v>
      </c>
      <c r="T27" s="24">
        <v>31.515899999999998</v>
      </c>
      <c r="U27" s="24">
        <v>351.44479999999999</v>
      </c>
      <c r="V27" s="24">
        <v>15.914099999999999</v>
      </c>
      <c r="W27" s="24">
        <v>39.6511</v>
      </c>
      <c r="X27" s="26">
        <f t="shared" si="10"/>
        <v>136.69130000000001</v>
      </c>
      <c r="Y27" s="26">
        <f t="shared" si="1"/>
        <v>112.22199999999999</v>
      </c>
      <c r="Z27" s="26">
        <f t="shared" si="2"/>
        <v>88.484999999999999</v>
      </c>
      <c r="AA27" s="26">
        <f t="shared" si="11"/>
        <v>-46.691300000000012</v>
      </c>
      <c r="AB27" s="26">
        <f t="shared" si="3"/>
        <v>-22.221999999999994</v>
      </c>
      <c r="AC27" s="26">
        <f t="shared" si="4"/>
        <v>1.5150000000000006</v>
      </c>
      <c r="AD27" s="26">
        <v>155.95939999999999</v>
      </c>
      <c r="AE27" s="25">
        <f t="shared" si="12"/>
        <v>22.298983614534102</v>
      </c>
      <c r="AF27" s="25">
        <f t="shared" si="5"/>
        <v>17.794418275845757</v>
      </c>
      <c r="AG27" s="21">
        <f t="shared" si="6"/>
        <v>259.31081027255499</v>
      </c>
      <c r="AH27" s="61">
        <v>289.10000000000002</v>
      </c>
      <c r="AI27" s="64">
        <f t="shared" si="13"/>
        <v>1.1148783180158759</v>
      </c>
    </row>
    <row r="28" spans="1:35" x14ac:dyDescent="0.2">
      <c r="A28" s="15">
        <v>19</v>
      </c>
      <c r="B28" s="12">
        <v>43342</v>
      </c>
      <c r="C28" s="13">
        <v>0.63687499999999997</v>
      </c>
      <c r="D28" s="12">
        <v>43369</v>
      </c>
      <c r="E28" s="13">
        <v>1.6655092592592593E-2</v>
      </c>
      <c r="F28" s="28">
        <f t="shared" si="7"/>
        <v>58360.636883390216</v>
      </c>
      <c r="G28" s="28">
        <f t="shared" si="0"/>
        <v>58386.996224557668</v>
      </c>
      <c r="H28" s="28">
        <f t="shared" ref="H28" si="20">G28-F28</f>
        <v>26.35934116745193</v>
      </c>
      <c r="I28" s="44">
        <v>167333</v>
      </c>
      <c r="J28" s="44">
        <v>168623</v>
      </c>
      <c r="K28" s="44">
        <f t="shared" si="9"/>
        <v>1290</v>
      </c>
      <c r="L28" s="44">
        <v>5008450</v>
      </c>
      <c r="M28" s="44">
        <v>5047179</v>
      </c>
      <c r="N28" s="28">
        <v>347.2590265</v>
      </c>
      <c r="O28" s="28">
        <v>-4.2027029000000002</v>
      </c>
      <c r="P28" s="28">
        <v>22.881833499999999</v>
      </c>
      <c r="Q28" s="28">
        <v>346.64510000000001</v>
      </c>
      <c r="R28" s="28">
        <v>1.1742999999999999</v>
      </c>
      <c r="S28" s="28">
        <v>71.602999999999994</v>
      </c>
      <c r="T28" s="28">
        <v>-56.497500000000002</v>
      </c>
      <c r="U28" s="28">
        <v>92.9</v>
      </c>
      <c r="V28" s="28">
        <v>104.81319999999999</v>
      </c>
      <c r="W28" s="28">
        <v>116.7</v>
      </c>
      <c r="X28" s="29">
        <f t="shared" ref="X28" si="21">$Q28-U28+360*(($Q28-U28)&lt;0)</f>
        <v>253.74510000000001</v>
      </c>
      <c r="Y28" s="29">
        <f t="shared" ref="Y28" si="22">$Q28-V28+360*(($Q28-V28)&lt;0)</f>
        <v>241.83190000000002</v>
      </c>
      <c r="Z28" s="29">
        <f t="shared" ref="Z28" si="23">$Q28-W28+360*(($Q28-W28)&lt;0)</f>
        <v>229.94510000000002</v>
      </c>
      <c r="AA28" s="29">
        <f t="shared" ref="AA28" si="24">X28-270</f>
        <v>-16.254899999999992</v>
      </c>
      <c r="AB28" s="29">
        <f t="shared" ref="AB28:AC28" si="25">Y28-270</f>
        <v>-28.168099999999981</v>
      </c>
      <c r="AC28" s="29">
        <f t="shared" si="25"/>
        <v>-40.054899999999975</v>
      </c>
      <c r="AD28" s="29">
        <v>148.726</v>
      </c>
      <c r="AE28" s="31">
        <f t="shared" si="12"/>
        <v>22.350545259574609</v>
      </c>
      <c r="AF28" s="31">
        <f t="shared" si="5"/>
        <v>17.845979920886265</v>
      </c>
      <c r="AG28" s="32">
        <f t="shared" si="6"/>
        <v>247.28339339607962</v>
      </c>
      <c r="AH28" s="66">
        <v>262.89999999999998</v>
      </c>
      <c r="AI28" s="67">
        <f t="shared" si="13"/>
        <v>1.0631526702600158</v>
      </c>
    </row>
    <row r="29" spans="1:35" x14ac:dyDescent="0.2">
      <c r="J29" s="42" t="s">
        <v>52</v>
      </c>
    </row>
    <row r="30" spans="1:35" x14ac:dyDescent="0.2">
      <c r="A30" t="s">
        <v>18</v>
      </c>
      <c r="B30" t="s">
        <v>32</v>
      </c>
      <c r="I30" s="54" t="s">
        <v>53</v>
      </c>
      <c r="J30" s="54"/>
      <c r="K30" s="55" t="s">
        <v>49</v>
      </c>
      <c r="L30" s="55"/>
      <c r="AD30" t="s">
        <v>34</v>
      </c>
      <c r="AE30" s="41">
        <f>MEDIAN(AE6:AE28)</f>
        <v>22.193868659650395</v>
      </c>
      <c r="AF30" s="41">
        <f>MEDIAN(AF6:AF28)</f>
        <v>17.68930332096205</v>
      </c>
      <c r="AG30" s="42">
        <f>MEDIAN(AG6:AG28)</f>
        <v>285.67265305199521</v>
      </c>
      <c r="AH30" s="42">
        <f>MEDIAN(AH6:AH28)</f>
        <v>348.75</v>
      </c>
      <c r="AI30" s="63">
        <f>MEDIAN(AI6:AI28)</f>
        <v>1.2235032749086674</v>
      </c>
    </row>
    <row r="31" spans="1:35" x14ac:dyDescent="0.2">
      <c r="A31" s="3">
        <v>0</v>
      </c>
      <c r="B31" s="5">
        <v>356.80829999999997</v>
      </c>
      <c r="G31" s="49" t="s">
        <v>50</v>
      </c>
      <c r="H31" s="49" t="s">
        <v>51</v>
      </c>
      <c r="I31" s="42" t="s">
        <v>46</v>
      </c>
      <c r="J31" s="42" t="s">
        <v>48</v>
      </c>
      <c r="K31" s="42" t="s">
        <v>46</v>
      </c>
      <c r="L31" s="42" t="s">
        <v>48</v>
      </c>
      <c r="AE31" s="19">
        <f>(3600/plateScale)^2</f>
        <v>818161.15754652652</v>
      </c>
    </row>
    <row r="32" spans="1:35" x14ac:dyDescent="0.2">
      <c r="A32" s="3">
        <v>1</v>
      </c>
      <c r="B32" s="4">
        <v>73.413799999999995</v>
      </c>
      <c r="G32">
        <v>19.3</v>
      </c>
      <c r="H32" s="47">
        <v>67</v>
      </c>
      <c r="I32" s="46">
        <v>154331</v>
      </c>
      <c r="J32" s="48">
        <v>154347</v>
      </c>
      <c r="K32" s="48">
        <f>I32-$I$25</f>
        <v>0</v>
      </c>
      <c r="L32" s="48">
        <f t="shared" ref="L32:L34" si="26">J32-$I$25</f>
        <v>16</v>
      </c>
      <c r="AD32" s="22" t="s">
        <v>35</v>
      </c>
      <c r="AE32" s="19">
        <f>AE31*2.512^(15-AF30)</f>
        <v>68717.084374807906</v>
      </c>
    </row>
    <row r="33" spans="1:12" x14ac:dyDescent="0.2">
      <c r="A33" s="3">
        <v>2</v>
      </c>
      <c r="B33" s="4">
        <v>149.3081</v>
      </c>
      <c r="G33">
        <v>24.2</v>
      </c>
      <c r="H33" s="47">
        <v>82</v>
      </c>
      <c r="I33" s="46">
        <v>154367</v>
      </c>
      <c r="J33" s="48">
        <v>154431</v>
      </c>
      <c r="K33" s="48">
        <f t="shared" ref="K33:K34" si="27">I33-$I$25</f>
        <v>36</v>
      </c>
      <c r="L33" s="48">
        <f t="shared" si="26"/>
        <v>100</v>
      </c>
    </row>
    <row r="34" spans="1:12" x14ac:dyDescent="0.2">
      <c r="A34" s="3">
        <v>3</v>
      </c>
      <c r="B34" s="4">
        <v>226.64750000000001</v>
      </c>
      <c r="G34">
        <v>24.3</v>
      </c>
      <c r="H34" s="47">
        <v>83</v>
      </c>
      <c r="I34" s="46">
        <v>154429</v>
      </c>
      <c r="J34" s="48">
        <v>154491</v>
      </c>
      <c r="K34" s="48">
        <f t="shared" si="27"/>
        <v>98</v>
      </c>
      <c r="L34" s="48">
        <f t="shared" si="26"/>
        <v>160</v>
      </c>
    </row>
    <row r="35" spans="1:12" x14ac:dyDescent="0.2">
      <c r="A35" s="3">
        <v>4</v>
      </c>
      <c r="B35" s="4">
        <v>314.9246</v>
      </c>
    </row>
    <row r="36" spans="1:12" x14ac:dyDescent="0.2">
      <c r="A36" s="3">
        <v>5</v>
      </c>
      <c r="B36" s="4">
        <v>32.526400000000002</v>
      </c>
    </row>
    <row r="37" spans="1:12" x14ac:dyDescent="0.2">
      <c r="A37" s="3">
        <v>6</v>
      </c>
      <c r="B37" s="4">
        <v>105.062</v>
      </c>
    </row>
    <row r="38" spans="1:12" x14ac:dyDescent="0.2">
      <c r="A38" s="3">
        <v>7</v>
      </c>
      <c r="B38" s="4">
        <v>184.0153</v>
      </c>
    </row>
    <row r="39" spans="1:12" x14ac:dyDescent="0.2">
      <c r="A39" s="3">
        <v>8</v>
      </c>
      <c r="B39" s="4">
        <v>275.42849999999999</v>
      </c>
    </row>
    <row r="40" spans="1:12" x14ac:dyDescent="0.2">
      <c r="A40" s="15">
        <v>91</v>
      </c>
      <c r="B40" s="14">
        <v>359.0949</v>
      </c>
    </row>
    <row r="41" spans="1:12" x14ac:dyDescent="0.2">
      <c r="A41" s="15">
        <v>92</v>
      </c>
      <c r="B41" s="14">
        <v>34.579799999999999</v>
      </c>
    </row>
    <row r="42" spans="1:12" x14ac:dyDescent="0.2">
      <c r="A42" s="10">
        <v>101</v>
      </c>
      <c r="B42" s="9">
        <v>59.946800000000003</v>
      </c>
    </row>
    <row r="43" spans="1:12" x14ac:dyDescent="0.2">
      <c r="A43" s="3">
        <v>102</v>
      </c>
      <c r="B43" s="4">
        <v>93.960999999999999</v>
      </c>
    </row>
    <row r="44" spans="1:12" x14ac:dyDescent="0.2">
      <c r="A44" s="7">
        <v>111</v>
      </c>
      <c r="B44" s="6">
        <v>140.197</v>
      </c>
    </row>
    <row r="45" spans="1:12" x14ac:dyDescent="0.2">
      <c r="A45" s="7">
        <v>112</v>
      </c>
      <c r="B45" s="6">
        <v>176.72710000000001</v>
      </c>
    </row>
    <row r="46" spans="1:12" x14ac:dyDescent="0.2">
      <c r="A46" s="3">
        <v>12</v>
      </c>
      <c r="B46" s="4">
        <v>248.2869</v>
      </c>
    </row>
    <row r="47" spans="1:12" x14ac:dyDescent="0.2">
      <c r="A47" s="3">
        <v>13</v>
      </c>
      <c r="B47" s="4">
        <v>333.58170000000001</v>
      </c>
    </row>
    <row r="48" spans="1:12" x14ac:dyDescent="0.2">
      <c r="A48" s="3">
        <v>14</v>
      </c>
      <c r="B48" s="4">
        <v>54.095399999999998</v>
      </c>
    </row>
    <row r="49" spans="1:2" x14ac:dyDescent="0.2">
      <c r="A49" s="3">
        <v>15</v>
      </c>
      <c r="B49" s="4">
        <v>133.65389999999999</v>
      </c>
    </row>
    <row r="50" spans="1:2" x14ac:dyDescent="0.2">
      <c r="A50" s="15">
        <v>16</v>
      </c>
      <c r="B50" s="14">
        <v>232.6763</v>
      </c>
    </row>
    <row r="51" spans="1:2" x14ac:dyDescent="0.2">
      <c r="A51" s="15">
        <v>17</v>
      </c>
      <c r="B51" s="14">
        <v>313.04480000000001</v>
      </c>
    </row>
    <row r="52" spans="1:2" x14ac:dyDescent="0.2">
      <c r="A52" s="3">
        <v>18</v>
      </c>
      <c r="B52" s="4">
        <v>15.914099999999999</v>
      </c>
    </row>
    <row r="53" spans="1:2" x14ac:dyDescent="0.2">
      <c r="A53" s="15">
        <v>19</v>
      </c>
      <c r="B53" s="14">
        <v>104.81319999999999</v>
      </c>
    </row>
  </sheetData>
  <mergeCells count="9">
    <mergeCell ref="AF1:AH1"/>
    <mergeCell ref="U3:W3"/>
    <mergeCell ref="AE4:AG4"/>
    <mergeCell ref="I30:J30"/>
    <mergeCell ref="K30:L30"/>
    <mergeCell ref="X4:Z4"/>
    <mergeCell ref="U4:W4"/>
    <mergeCell ref="AA4:AC4"/>
    <mergeCell ref="Q4:T4"/>
  </mergeCells>
  <printOptions gridLines="1"/>
  <pageMargins left="0.25" right="0.25" top="0.75" bottom="0.75" header="0.3" footer="0.3"/>
  <pageSetup scale="78" fitToWidth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LCperDay</vt:lpstr>
      <vt:lpstr>mag12flux</vt:lpstr>
      <vt:lpstr>plateScale</vt:lpstr>
      <vt:lpstr>Sheet1!Print_Area</vt:lpstr>
      <vt:lpstr>Sheet1!Print_Titles</vt:lpstr>
      <vt:lpstr>zce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lastPrinted>2020-08-11T23:02:27Z</cp:lastPrinted>
  <dcterms:created xsi:type="dcterms:W3CDTF">2020-07-17T22:53:17Z</dcterms:created>
  <dcterms:modified xsi:type="dcterms:W3CDTF">2021-01-30T00:34:37Z</dcterms:modified>
  <cp:category/>
</cp:coreProperties>
</file>